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queryTables/queryTable1.xml" ContentType="application/vnd.openxmlformats-officedocument.spreadsheetml.query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ThisWorkbook" hidePivotFieldList="1" defaultThemeVersion="166925"/>
  <mc:AlternateContent xmlns:mc="http://schemas.openxmlformats.org/markup-compatibility/2006">
    <mc:Choice Requires="x15">
      <x15ac:absPath xmlns:x15ac="http://schemas.microsoft.com/office/spreadsheetml/2010/11/ac" url="https://escvic-my.sharepoint.com/personal/nitul_deshpande_esc_vic_gov_au/Documents/Desktop/"/>
    </mc:Choice>
  </mc:AlternateContent>
  <xr:revisionPtr revIDLastSave="0" documentId="8_{D86FFC7E-37A6-4083-90C8-A0D809E79230}" xr6:coauthVersionLast="47" xr6:coauthVersionMax="47" xr10:uidLastSave="{00000000-0000-0000-0000-000000000000}"/>
  <workbookProtection workbookAlgorithmName="SHA-512" workbookHashValue="7AfbUB0+SqRCCLJYwlMmCvH5aKN2zYuqQKVDtIJ04lrgwpxUb3ged1JCa49hrhYhvA82u53ExnDaQ2R+NMN+lA==" workbookSaltValue="NyhfmGy0tJNDTqCEQSRYcQ==" workbookSpinCount="100000" lockStructure="1"/>
  <bookViews>
    <workbookView xWindow="-110" yWindow="-110" windowWidth="19420" windowHeight="10420" tabRatio="773" xr2:uid="{7D2DFC98-FAB5-43BC-B4E4-A25601635F0E}"/>
  </bookViews>
  <sheets>
    <sheet name="Cover" sheetId="81" r:id="rId1"/>
    <sheet name="Disclaimer" sheetId="46" r:id="rId2"/>
    <sheet name="Contents" sheetId="4" r:id="rId3"/>
    <sheet name="User Guide" sheetId="40" r:id="rId4"/>
    <sheet name="OP_Rates" sheetId="51" r:id="rId5"/>
    <sheet name="OP_CMAB" sheetId="50" r:id="rId6"/>
    <sheet name="CH_CostStack_RES" sheetId="83" r:id="rId7"/>
    <sheet name="CH_CostStack_SME" sheetId="84" r:id="rId8"/>
    <sheet name="CH_CostStack_SME 10k" sheetId="85" r:id="rId9"/>
    <sheet name="Inputs" sheetId="42" r:id="rId10"/>
    <sheet name="General Assumptions" sheetId="39" r:id="rId11"/>
    <sheet name="CPI" sheetId="48" r:id="rId12"/>
    <sheet name="Calc_Rates" sheetId="44" r:id="rId13"/>
    <sheet name="Calc_TU_values" sheetId="49" r:id="rId14"/>
    <sheet name="Calc_TU_rates" sheetId="63" r:id="rId15"/>
    <sheet name="CH_CostElements_Anytime" sheetId="65" state="hidden" r:id="rId16"/>
    <sheet name="Pre-VDO MSO vs cost stack_RES" sheetId="77" state="hidden" r:id="rId17"/>
    <sheet name="Pre-VDO MSO vs cost stack_SME" sheetId="78" state="hidden" r:id="rId18"/>
    <sheet name="Sources" sheetId="82" r:id="rId19"/>
    <sheet name="Lookup refs" sheetId="47" r:id="rId20"/>
  </sheets>
  <externalReferences>
    <externalReference r:id="rId21"/>
  </externalReferences>
  <definedNames>
    <definedName name="_xlnm._FilterDatabase" localSheetId="14" hidden="1">Calc_TU_rates!$C$99:$L$132</definedName>
    <definedName name="_xlnm._FilterDatabase" localSheetId="9" hidden="1">Inputs!$A$10:$B$134</definedName>
    <definedName name="_xlnm._FilterDatabase" localSheetId="18" hidden="1">Sources!$C$10:$E$134</definedName>
    <definedName name="AUD">'General Assumptions'!$D$14</definedName>
    <definedName name="Calc_TU_values">Inputs!$N$204</definedName>
    <definedName name="CostStackCalcs_remove2\" localSheetId="6">CH_CostStack_RES!$N$66</definedName>
    <definedName name="CostStackCalcs_remove2\">#REF!</definedName>
    <definedName name="DiLY" localSheetId="6">'[1]General Assumptions'!$D$8</definedName>
    <definedName name="DiLY" localSheetId="7">'[1]General Assumptions'!$D$8</definedName>
    <definedName name="DiLY" localSheetId="8">'[1]General Assumptions'!$D$8</definedName>
    <definedName name="DiLY">'General Assumptions'!$D$8</definedName>
    <definedName name="DiY" localSheetId="6">'[1]General Assumptions'!$D$7</definedName>
    <definedName name="DiY" localSheetId="7">'[1]General Assumptions'!$D$7</definedName>
    <definedName name="DiY" localSheetId="8">'[1]General Assumptions'!$D$7</definedName>
    <definedName name="DiY">'General Assumptions'!$D$7</definedName>
    <definedName name="ExternalData_1" localSheetId="10" hidden="1">'General Assumptions'!$C$24:$D$29</definedName>
    <definedName name="FY" localSheetId="6">[1]Calc_Rates!$D$5</definedName>
    <definedName name="FY" localSheetId="7">[1]Calc_Rates!$D$5</definedName>
    <definedName name="FY" localSheetId="8">[1]Calc_Rates!$D$5</definedName>
    <definedName name="FY">Calc_Rates!$D$5</definedName>
    <definedName name="GST" localSheetId="6">'[1]General Assumptions'!$D$17</definedName>
    <definedName name="GST" localSheetId="7">'[1]General Assumptions'!$D$17</definedName>
    <definedName name="GST" localSheetId="8">'[1]General Assumptions'!$D$17</definedName>
    <definedName name="GST">'General Assumptions'!$D$17</definedName>
    <definedName name="hi" localSheetId="6">CH_CostStack_RES!$N$66</definedName>
    <definedName name="hi">#REF!</definedName>
    <definedName name="Input_TUEnv_Actua">Calc_TU_values!$K$18</definedName>
    <definedName name="MiQ">'General Assumptions'!$D$10</definedName>
    <definedName name="MiY" localSheetId="6">'[1]General Assumptions'!$D$9</definedName>
    <definedName name="MiY" localSheetId="7">'[1]General Assumptions'!$D$9</definedName>
    <definedName name="MiY" localSheetId="8">'[1]General Assumptions'!$D$9</definedName>
    <definedName name="MiY">'General Assumptions'!$D$9</definedName>
    <definedName name="PY" localSheetId="6">[1]Calc_Rates!$D$266</definedName>
    <definedName name="PY" localSheetId="7">[1]Calc_Rates!$D$266</definedName>
    <definedName name="PY" localSheetId="8">[1]Calc_Rates!$D$266</definedName>
    <definedName name="PY">Calc_Rates!$D$266</definedName>
    <definedName name="TUProp_CLLoad_1">Calc_TU_values!$F$91</definedName>
    <definedName name="TUProp_CLLoad_2" localSheetId="6">[1]Calc_TU_values!$F$322</definedName>
    <definedName name="TUProp_CLLoad_2" localSheetId="7">[1]Calc_TU_values!$F$322</definedName>
    <definedName name="TUProp_CLLoad_2" localSheetId="8">[1]Calc_TU_values!$F$322</definedName>
    <definedName name="TUProp_CLLoad_2">Calc_TU_values!$F$319</definedName>
    <definedName name="TUProp_Days_1" localSheetId="6">[1]Calc_TU_values!$D$79</definedName>
    <definedName name="TUProp_Days_1" localSheetId="7">[1]Calc_TU_values!$D$79</definedName>
    <definedName name="TUProp_Days_1" localSheetId="8">[1]Calc_TU_values!$D$79</definedName>
    <definedName name="TUProp_Days_1">Calc_TU_values!$D$79</definedName>
    <definedName name="TUProp_Days_2" localSheetId="6">[1]Calc_TU_values!$D$310</definedName>
    <definedName name="TUProp_Days_2" localSheetId="7">[1]Calc_TU_values!$D$310</definedName>
    <definedName name="TUProp_Days_2" localSheetId="8">[1]Calc_TU_values!$D$310</definedName>
    <definedName name="TUProp_Days_2">Calc_TU_values!$D$307</definedName>
    <definedName name="WACC" localSheetId="6">[1]Inputs!$D$252</definedName>
    <definedName name="WACC" localSheetId="7">[1]Inputs!$D$252</definedName>
    <definedName name="WACC" localSheetId="8">[1]Inputs!$D$252</definedName>
    <definedName name="WACC">Inputs!$D$252</definedName>
    <definedName name="WACC_adj_1" localSheetId="6">[1]Calc_TU_values!$D$81</definedName>
    <definedName name="WACC_adj_1" localSheetId="7">[1]Calc_TU_values!$D$81</definedName>
    <definedName name="WACC_adj_1" localSheetId="8">[1]Calc_TU_values!$D$81</definedName>
    <definedName name="WACC_adj_1">Calc_TU_values!$D$81</definedName>
    <definedName name="WACC_adj_2" localSheetId="6">[1]Calc_TU_values!$D$312</definedName>
    <definedName name="WACC_adj_2" localSheetId="7">[1]Calc_TU_values!$D$312</definedName>
    <definedName name="WACC_adj_2" localSheetId="8">[1]Calc_TU_values!$D$312</definedName>
    <definedName name="WACC_adj_2">Calc_TU_values!$D$309</definedName>
    <definedName name="WiLY" localSheetId="6">'[1]General Assumptions'!$D$12</definedName>
    <definedName name="WiLY" localSheetId="7">'[1]General Assumptions'!$D$12</definedName>
    <definedName name="WiLY" localSheetId="8">'[1]General Assumptions'!$D$12</definedName>
    <definedName name="WiLY">'General Assumptions'!$D$12</definedName>
    <definedName name="WiY" localSheetId="6">'[1]General Assumptions'!$D$11</definedName>
    <definedName name="WiY" localSheetId="7">'[1]General Assumptions'!$D$11</definedName>
    <definedName name="WiY" localSheetId="8">'[1]General Assumptions'!$D$11</definedName>
    <definedName name="WiY">'General Assumptions'!$D$11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D8" i="4"/>
  <c r="D7" i="4"/>
  <c r="D4" i="4"/>
  <c r="D5" i="4"/>
  <c r="D6" i="4"/>
  <c r="D10" i="4"/>
  <c r="D11" i="4"/>
  <c r="D12" i="4"/>
  <c r="D13" i="4"/>
  <c r="D14" i="4"/>
  <c r="D15" i="4"/>
  <c r="D16" i="4"/>
  <c r="K48" i="85"/>
  <c r="L45" i="85"/>
  <c r="N70" i="85" s="1"/>
  <c r="D45" i="85"/>
  <c r="C43" i="85"/>
  <c r="C5" i="85"/>
  <c r="B3" i="85"/>
  <c r="B5" i="85" s="1"/>
  <c r="B43" i="85" s="1"/>
  <c r="G2" i="85"/>
  <c r="F2" i="85"/>
  <c r="C2" i="85"/>
  <c r="K48" i="84"/>
  <c r="L45" i="84"/>
  <c r="L70" i="84" s="1"/>
  <c r="D45" i="84"/>
  <c r="C43" i="84"/>
  <c r="C5" i="84"/>
  <c r="B3" i="84"/>
  <c r="B5" i="84" s="1"/>
  <c r="G2" i="84"/>
  <c r="F2" i="84"/>
  <c r="C2" i="84"/>
  <c r="K48" i="83"/>
  <c r="L45" i="83"/>
  <c r="D45" i="83"/>
  <c r="H70" i="83" s="1"/>
  <c r="C43" i="83"/>
  <c r="C5" i="83"/>
  <c r="B3" i="83"/>
  <c r="B5" i="83" s="1"/>
  <c r="G2" i="83"/>
  <c r="F2" i="83"/>
  <c r="C2" i="83"/>
  <c r="M70" i="84" l="1"/>
  <c r="L70" i="83"/>
  <c r="M70" i="83"/>
  <c r="N70" i="84"/>
  <c r="D70" i="85"/>
  <c r="O70" i="85"/>
  <c r="D70" i="84"/>
  <c r="H51" i="85"/>
  <c r="D70" i="83"/>
  <c r="O70" i="83"/>
  <c r="E70" i="84"/>
  <c r="P70" i="84"/>
  <c r="F70" i="85"/>
  <c r="C36" i="84"/>
  <c r="C36" i="85"/>
  <c r="E70" i="83"/>
  <c r="P70" i="83"/>
  <c r="F70" i="84"/>
  <c r="G70" i="85"/>
  <c r="N70" i="83"/>
  <c r="O70" i="84"/>
  <c r="E70" i="85"/>
  <c r="P70" i="85"/>
  <c r="C39" i="85"/>
  <c r="F70" i="83"/>
  <c r="G70" i="84"/>
  <c r="H70" i="85"/>
  <c r="G70" i="83"/>
  <c r="H70" i="84"/>
  <c r="L70" i="85"/>
  <c r="M70" i="85"/>
  <c r="C38" i="85"/>
  <c r="C35" i="85"/>
  <c r="P51" i="85"/>
  <c r="B43" i="84"/>
  <c r="P51" i="84"/>
  <c r="C36" i="83"/>
  <c r="C35" i="84"/>
  <c r="C38" i="84"/>
  <c r="C39" i="84"/>
  <c r="H51" i="84"/>
  <c r="B43" i="83"/>
  <c r="P51" i="83"/>
  <c r="C35" i="83"/>
  <c r="C38" i="83"/>
  <c r="C39" i="83"/>
  <c r="H51" i="83"/>
  <c r="D11" i="82" a="1"/>
  <c r="D11" i="82" s="1"/>
  <c r="C11" i="82" a="1"/>
  <c r="C11" i="82" s="1"/>
  <c r="E7" i="82"/>
  <c r="E8" i="82" s="1"/>
  <c r="C2" i="82"/>
  <c r="B3" i="82"/>
  <c r="B5" i="82" s="1"/>
  <c r="I51" i="85" l="1"/>
  <c r="H50" i="85"/>
  <c r="I50" i="85" s="1"/>
  <c r="P50" i="84"/>
  <c r="Q50" i="84" s="1"/>
  <c r="Q51" i="84"/>
  <c r="I51" i="83"/>
  <c r="H50" i="83"/>
  <c r="I50" i="83" s="1"/>
  <c r="I51" i="84"/>
  <c r="H50" i="84"/>
  <c r="I50" i="84" s="1"/>
  <c r="P50" i="85"/>
  <c r="Q50" i="85" s="1"/>
  <c r="Q51" i="85"/>
  <c r="P50" i="83"/>
  <c r="Q50" i="83" s="1"/>
  <c r="Q51" i="83"/>
  <c r="G409" i="44"/>
  <c r="G410" i="44"/>
  <c r="G411" i="44"/>
  <c r="G412" i="44"/>
  <c r="G413" i="44"/>
  <c r="G414" i="44"/>
  <c r="G415" i="44"/>
  <c r="G416" i="44"/>
  <c r="G417" i="44"/>
  <c r="G418" i="44"/>
  <c r="G419" i="44"/>
  <c r="G420" i="44"/>
  <c r="G421" i="44"/>
  <c r="G422" i="44"/>
  <c r="G423" i="44"/>
  <c r="G424" i="44"/>
  <c r="Q52" i="84" l="1"/>
  <c r="I52" i="83"/>
  <c r="Q52" i="83"/>
  <c r="I52" i="85"/>
  <c r="I52" i="84"/>
  <c r="Q52" i="85"/>
  <c r="D12" i="39"/>
  <c r="G152" i="44" l="1"/>
  <c r="Q8" i="42" l="1"/>
  <c r="N184" i="42"/>
  <c r="L140" i="42"/>
  <c r="M140" i="42"/>
  <c r="H194" i="63" l="1" a="1"/>
  <c r="H194" i="63" s="1"/>
  <c r="H195" i="63" a="1"/>
  <c r="H195" i="63" s="1"/>
  <c r="H205" i="63" a="1"/>
  <c r="H205" i="63" s="1"/>
  <c r="H206" i="63" a="1"/>
  <c r="H206" i="63" s="1"/>
  <c r="H216" i="63" a="1"/>
  <c r="H216" i="63" s="1"/>
  <c r="H217" i="63" a="1"/>
  <c r="H217" i="63" s="1"/>
  <c r="F326" i="49" l="1"/>
  <c r="D5" i="49" l="1"/>
  <c r="E19" i="48"/>
  <c r="E18" i="48"/>
  <c r="E424" i="44" l="1"/>
  <c r="E423" i="44"/>
  <c r="E422" i="44"/>
  <c r="E421" i="44"/>
  <c r="E420" i="44"/>
  <c r="E419" i="44"/>
  <c r="H419" i="44" a="1"/>
  <c r="H419" i="44" s="1"/>
  <c r="H420" i="44" a="1"/>
  <c r="H420" i="44" s="1"/>
  <c r="H421" i="44" a="1"/>
  <c r="H421" i="44" s="1"/>
  <c r="H422" i="44" a="1"/>
  <c r="H422" i="44" s="1"/>
  <c r="H423" i="44" a="1"/>
  <c r="H423" i="44" s="1"/>
  <c r="H424" i="44" a="1"/>
  <c r="H424" i="44" s="1"/>
  <c r="E163" i="44"/>
  <c r="E162" i="44"/>
  <c r="E161" i="44"/>
  <c r="E160" i="44"/>
  <c r="E159" i="44"/>
  <c r="E158" i="44"/>
  <c r="G158" i="44"/>
  <c r="G159" i="44"/>
  <c r="G160" i="44"/>
  <c r="G161" i="44"/>
  <c r="G162" i="44"/>
  <c r="G163" i="44"/>
  <c r="O440" i="49"/>
  <c r="N440" i="49"/>
  <c r="M440" i="49"/>
  <c r="L440" i="49"/>
  <c r="K440" i="49"/>
  <c r="G324" i="49"/>
  <c r="I324" i="49" s="1"/>
  <c r="I326" i="49" s="1"/>
  <c r="G323" i="49"/>
  <c r="I323" i="49" s="1"/>
  <c r="I325" i="49" s="1"/>
  <c r="G100" i="49"/>
  <c r="I100" i="49" s="1"/>
  <c r="G99" i="49"/>
  <c r="I99" i="49" s="1"/>
  <c r="G96" i="49"/>
  <c r="I96" i="49" s="1"/>
  <c r="I98" i="49" s="1"/>
  <c r="G95" i="49"/>
  <c r="I95" i="49" s="1"/>
  <c r="I97" i="49" s="1"/>
  <c r="G325" i="49" l="1"/>
  <c r="G326" i="49"/>
  <c r="G98" i="49"/>
  <c r="G97" i="49"/>
  <c r="V8" i="42" l="1"/>
  <c r="X8" i="42"/>
  <c r="H410" i="44" a="1"/>
  <c r="H410" i="44" s="1"/>
  <c r="G148" i="44"/>
  <c r="G149" i="44"/>
  <c r="G150" i="44"/>
  <c r="G151" i="44"/>
  <c r="G153" i="44"/>
  <c r="G154" i="44"/>
  <c r="G155" i="44"/>
  <c r="G156" i="44"/>
  <c r="G157" i="44"/>
  <c r="M244" i="42" l="1"/>
  <c r="N244" i="42"/>
  <c r="Q184" i="42"/>
  <c r="P184" i="42"/>
  <c r="P140" i="42"/>
  <c r="Q140" i="42"/>
  <c r="W8" i="42"/>
  <c r="Y8" i="42"/>
  <c r="D33" i="78" l="1"/>
  <c r="D32" i="78"/>
  <c r="L9" i="78"/>
  <c r="B3" i="78"/>
  <c r="B6" i="78" s="1"/>
  <c r="C2" i="78"/>
  <c r="L9" i="77"/>
  <c r="D33" i="77"/>
  <c r="D32" i="77"/>
  <c r="B3" i="77"/>
  <c r="B6" i="77" s="1"/>
  <c r="C2" i="77"/>
  <c r="K244" i="42" l="1"/>
  <c r="L244" i="42"/>
  <c r="C11" i="63" l="1"/>
  <c r="E149" i="44"/>
  <c r="E157" i="44"/>
  <c r="E156" i="44"/>
  <c r="E418" i="44"/>
  <c r="E417" i="44"/>
  <c r="F410" i="44"/>
  <c r="E410" i="44"/>
  <c r="E16" i="48" l="1"/>
  <c r="E17" i="48"/>
  <c r="K225" i="42" a="1"/>
  <c r="K225" i="42" s="1"/>
  <c r="K224" i="42" a="1"/>
  <c r="K224" i="42" s="1"/>
  <c r="K223" i="42" a="1"/>
  <c r="K223" i="42" s="1"/>
  <c r="K222" i="42" a="1"/>
  <c r="K222" i="42" s="1"/>
  <c r="K221" i="42" a="1"/>
  <c r="K221" i="42" s="1"/>
  <c r="K220" i="42" a="1"/>
  <c r="K220" i="42" s="1"/>
  <c r="K219" i="42" a="1"/>
  <c r="K219" i="42" s="1"/>
  <c r="K218" i="42" a="1"/>
  <c r="K218" i="42" s="1"/>
  <c r="K217" i="42" a="1"/>
  <c r="K217" i="42" s="1"/>
  <c r="K216" i="42" a="1"/>
  <c r="K216" i="42" s="1"/>
  <c r="K213" i="42"/>
  <c r="O184" i="42"/>
  <c r="O140" i="42"/>
  <c r="N140" i="42"/>
  <c r="U8" i="42"/>
  <c r="T8" i="42"/>
  <c r="S8" i="42"/>
  <c r="R8" i="42"/>
  <c r="J216" i="42" a="1"/>
  <c r="J216" i="42" s="1"/>
  <c r="F148" i="44" l="1"/>
  <c r="E148" i="44"/>
  <c r="H217" i="42" l="1" a="1"/>
  <c r="H217" i="42" s="1"/>
  <c r="H82" i="63" l="1" a="1"/>
  <c r="H82" i="63" s="1"/>
  <c r="H70" i="63" a="1"/>
  <c r="H70" i="63" s="1"/>
  <c r="H87" i="63" a="1"/>
  <c r="H87" i="63" s="1"/>
  <c r="H76" i="63" a="1"/>
  <c r="H76" i="63" s="1"/>
  <c r="H92" i="63" a="1"/>
  <c r="H92" i="63" s="1"/>
  <c r="I196" i="63" a="1"/>
  <c r="I196" i="63" s="1"/>
  <c r="I232" i="63" s="1"/>
  <c r="J196" i="63" a="1"/>
  <c r="J196" i="63" s="1"/>
  <c r="J232" i="63" s="1"/>
  <c r="K196" i="63" a="1"/>
  <c r="K196" i="63" s="1"/>
  <c r="K232" i="63" s="1"/>
  <c r="L196" i="63" a="1"/>
  <c r="L196" i="63" s="1"/>
  <c r="L232" i="63" s="1"/>
  <c r="I197" i="63" a="1"/>
  <c r="I197" i="63" s="1"/>
  <c r="I233" i="63" s="1"/>
  <c r="J197" i="63" a="1"/>
  <c r="J197" i="63" s="1"/>
  <c r="J233" i="63" s="1"/>
  <c r="K197" i="63" a="1"/>
  <c r="K197" i="63" s="1"/>
  <c r="K233" i="63" s="1"/>
  <c r="L197" i="63" a="1"/>
  <c r="L197" i="63" s="1"/>
  <c r="L233" i="63" s="1"/>
  <c r="I198" i="63" a="1"/>
  <c r="I198" i="63" s="1"/>
  <c r="I234" i="63" s="1"/>
  <c r="J198" i="63" a="1"/>
  <c r="J198" i="63" s="1"/>
  <c r="J234" i="63" s="1"/>
  <c r="K198" i="63" a="1"/>
  <c r="K198" i="63" s="1"/>
  <c r="K234" i="63" s="1"/>
  <c r="L198" i="63" a="1"/>
  <c r="L198" i="63" s="1"/>
  <c r="L234" i="63" s="1"/>
  <c r="I199" i="63" a="1"/>
  <c r="I199" i="63" s="1"/>
  <c r="I235" i="63" s="1"/>
  <c r="J199" i="63" a="1"/>
  <c r="J199" i="63" s="1"/>
  <c r="J235" i="63" s="1"/>
  <c r="K199" i="63" a="1"/>
  <c r="K199" i="63" s="1"/>
  <c r="K235" i="63" s="1"/>
  <c r="L199" i="63" a="1"/>
  <c r="L199" i="63" s="1"/>
  <c r="L235" i="63" s="1"/>
  <c r="I207" i="63" a="1"/>
  <c r="I207" i="63" s="1"/>
  <c r="I243" i="63" s="1"/>
  <c r="J207" i="63" a="1"/>
  <c r="J207" i="63" s="1"/>
  <c r="J243" i="63" s="1"/>
  <c r="K207" i="63" a="1"/>
  <c r="K207" i="63" s="1"/>
  <c r="K243" i="63" s="1"/>
  <c r="L207" i="63" a="1"/>
  <c r="L207" i="63" s="1"/>
  <c r="L243" i="63" s="1"/>
  <c r="I208" i="63" a="1"/>
  <c r="I208" i="63" s="1"/>
  <c r="I244" i="63" s="1"/>
  <c r="J208" i="63" a="1"/>
  <c r="J208" i="63" s="1"/>
  <c r="J244" i="63" s="1"/>
  <c r="K208" i="63" a="1"/>
  <c r="K208" i="63" s="1"/>
  <c r="K244" i="63" s="1"/>
  <c r="L208" i="63" a="1"/>
  <c r="L208" i="63" s="1"/>
  <c r="L244" i="63" s="1"/>
  <c r="I209" i="63" a="1"/>
  <c r="I209" i="63" s="1"/>
  <c r="I245" i="63" s="1"/>
  <c r="J209" i="63" a="1"/>
  <c r="J209" i="63" s="1"/>
  <c r="J245" i="63" s="1"/>
  <c r="K209" i="63" a="1"/>
  <c r="K209" i="63" s="1"/>
  <c r="K245" i="63" s="1"/>
  <c r="L209" i="63" a="1"/>
  <c r="L209" i="63" s="1"/>
  <c r="L245" i="63" s="1"/>
  <c r="I210" i="63" a="1"/>
  <c r="I210" i="63" s="1"/>
  <c r="I246" i="63" s="1"/>
  <c r="J210" i="63" a="1"/>
  <c r="J210" i="63" s="1"/>
  <c r="J246" i="63" s="1"/>
  <c r="K210" i="63" a="1"/>
  <c r="K210" i="63" s="1"/>
  <c r="K246" i="63" s="1"/>
  <c r="L210" i="63" a="1"/>
  <c r="L210" i="63" s="1"/>
  <c r="L246" i="63" s="1"/>
  <c r="I218" i="63" a="1"/>
  <c r="I218" i="63" s="1"/>
  <c r="I254" i="63" s="1"/>
  <c r="J218" i="63" a="1"/>
  <c r="J218" i="63" s="1"/>
  <c r="J254" i="63" s="1"/>
  <c r="K218" i="63" a="1"/>
  <c r="K218" i="63" s="1"/>
  <c r="K254" i="63" s="1"/>
  <c r="L218" i="63" a="1"/>
  <c r="L218" i="63" s="1"/>
  <c r="L254" i="63" s="1"/>
  <c r="I219" i="63" a="1"/>
  <c r="I219" i="63" s="1"/>
  <c r="I255" i="63" s="1"/>
  <c r="J219" i="63" a="1"/>
  <c r="J219" i="63" s="1"/>
  <c r="J255" i="63" s="1"/>
  <c r="K219" i="63" a="1"/>
  <c r="K219" i="63" s="1"/>
  <c r="K255" i="63" s="1"/>
  <c r="L219" i="63" a="1"/>
  <c r="L219" i="63" s="1"/>
  <c r="L255" i="63" s="1"/>
  <c r="I221" i="63" a="1"/>
  <c r="I221" i="63" s="1"/>
  <c r="I257" i="63" s="1"/>
  <c r="J221" i="63" a="1"/>
  <c r="J221" i="63" s="1"/>
  <c r="J257" i="63" s="1"/>
  <c r="K221" i="63" a="1"/>
  <c r="K221" i="63" s="1"/>
  <c r="K257" i="63" s="1"/>
  <c r="L221" i="63" a="1"/>
  <c r="L221" i="63" s="1"/>
  <c r="L257" i="63" s="1"/>
  <c r="I222" i="63" a="1"/>
  <c r="I222" i="63" s="1"/>
  <c r="I258" i="63" s="1"/>
  <c r="J222" i="63" a="1"/>
  <c r="J222" i="63" s="1"/>
  <c r="J258" i="63" s="1"/>
  <c r="K222" i="63" a="1"/>
  <c r="K222" i="63" s="1"/>
  <c r="K258" i="63" s="1"/>
  <c r="L222" i="63" a="1"/>
  <c r="L222" i="63" s="1"/>
  <c r="L258" i="63" s="1"/>
  <c r="H231" i="63"/>
  <c r="H241" i="63"/>
  <c r="H242" i="63"/>
  <c r="H252" i="63"/>
  <c r="H253" i="63"/>
  <c r="H230" i="63"/>
  <c r="I65" i="63" a="1"/>
  <c r="I65" i="63" s="1"/>
  <c r="J65" i="63" a="1"/>
  <c r="J65" i="63" s="1"/>
  <c r="K65" i="63" a="1"/>
  <c r="K65" i="63" s="1"/>
  <c r="L65" i="63" a="1"/>
  <c r="L65" i="63" s="1"/>
  <c r="I83" i="63" a="1"/>
  <c r="I83" i="63" s="1"/>
  <c r="J83" i="63" a="1"/>
  <c r="J83" i="63" s="1"/>
  <c r="K83" i="63" a="1"/>
  <c r="K83" i="63" s="1"/>
  <c r="L83" i="63" a="1"/>
  <c r="L83" i="63" s="1"/>
  <c r="I66" i="63" a="1"/>
  <c r="I66" i="63" s="1"/>
  <c r="J66" i="63" a="1"/>
  <c r="J66" i="63" s="1"/>
  <c r="K66" i="63" a="1"/>
  <c r="K66" i="63" s="1"/>
  <c r="L66" i="63" a="1"/>
  <c r="L66" i="63" s="1"/>
  <c r="I84" i="63" a="1"/>
  <c r="I84" i="63" s="1"/>
  <c r="J84" i="63" a="1"/>
  <c r="J84" i="63" s="1"/>
  <c r="K84" i="63" a="1"/>
  <c r="K84" i="63" s="1"/>
  <c r="L84" i="63" a="1"/>
  <c r="L84" i="63" s="1"/>
  <c r="I71" i="63" a="1"/>
  <c r="I71" i="63" s="1"/>
  <c r="J71" i="63" a="1"/>
  <c r="J71" i="63" s="1"/>
  <c r="K71" i="63" a="1"/>
  <c r="K71" i="63" s="1"/>
  <c r="L71" i="63" a="1"/>
  <c r="L71" i="63" s="1"/>
  <c r="I88" i="63" a="1"/>
  <c r="I88" i="63" s="1"/>
  <c r="J88" i="63" a="1"/>
  <c r="J88" i="63" s="1"/>
  <c r="K88" i="63" a="1"/>
  <c r="K88" i="63" s="1"/>
  <c r="L88" i="63" a="1"/>
  <c r="L88" i="63" s="1"/>
  <c r="I72" i="63" a="1"/>
  <c r="I72" i="63" s="1"/>
  <c r="J72" i="63" a="1"/>
  <c r="J72" i="63" s="1"/>
  <c r="K72" i="63" a="1"/>
  <c r="K72" i="63" s="1"/>
  <c r="L72" i="63" a="1"/>
  <c r="L72" i="63" s="1"/>
  <c r="I89" i="63" a="1"/>
  <c r="I89" i="63" s="1"/>
  <c r="J89" i="63" a="1"/>
  <c r="J89" i="63" s="1"/>
  <c r="K89" i="63" a="1"/>
  <c r="K89" i="63" s="1"/>
  <c r="L89" i="63" a="1"/>
  <c r="L89" i="63" s="1"/>
  <c r="I77" i="63" a="1"/>
  <c r="I77" i="63" s="1"/>
  <c r="J77" i="63" a="1"/>
  <c r="J77" i="63" s="1"/>
  <c r="K77" i="63" a="1"/>
  <c r="K77" i="63" s="1"/>
  <c r="L77" i="63" a="1"/>
  <c r="L77" i="63" s="1"/>
  <c r="I93" i="63" a="1"/>
  <c r="I93" i="63" s="1"/>
  <c r="J93" i="63" a="1"/>
  <c r="J93" i="63" s="1"/>
  <c r="J129" i="63" s="1"/>
  <c r="K93" i="63" a="1"/>
  <c r="K93" i="63" s="1"/>
  <c r="K129" i="63" s="1"/>
  <c r="L93" i="63" a="1"/>
  <c r="L93" i="63" s="1"/>
  <c r="L129" i="63" s="1"/>
  <c r="I78" i="63" a="1"/>
  <c r="I78" i="63" s="1"/>
  <c r="J78" i="63" a="1"/>
  <c r="J78" i="63" s="1"/>
  <c r="K78" i="63" a="1"/>
  <c r="K78" i="63" s="1"/>
  <c r="L78" i="63" a="1"/>
  <c r="L78" i="63" s="1"/>
  <c r="I94" i="63" a="1"/>
  <c r="I94" i="63" s="1"/>
  <c r="J94" i="63" a="1"/>
  <c r="J94" i="63" s="1"/>
  <c r="K94" i="63" a="1"/>
  <c r="K94" i="63" s="1"/>
  <c r="L94" i="63" a="1"/>
  <c r="L94" i="63" s="1"/>
  <c r="H64" i="63" a="1"/>
  <c r="H64" i="63" s="1"/>
  <c r="D10" i="49"/>
  <c r="F244" i="42"/>
  <c r="J244" i="42"/>
  <c r="I244" i="42"/>
  <c r="H244" i="42"/>
  <c r="G244" i="42"/>
  <c r="D240" i="49"/>
  <c r="K113" i="63" l="1"/>
  <c r="J113" i="63"/>
  <c r="I129" i="63"/>
  <c r="I124" i="63"/>
  <c r="L124" i="63"/>
  <c r="H123" i="63"/>
  <c r="L113" i="63"/>
  <c r="L107" i="63"/>
  <c r="K107" i="63"/>
  <c r="J107" i="63"/>
  <c r="H128" i="63"/>
  <c r="I113" i="63"/>
  <c r="I107" i="63"/>
  <c r="K124" i="63"/>
  <c r="J124" i="63"/>
  <c r="I35" i="51" a="1"/>
  <c r="I35" i="51" s="1"/>
  <c r="F100" i="83" s="1" a="1"/>
  <c r="F100" i="83" s="1"/>
  <c r="K101" i="63"/>
  <c r="J34" i="51" a="1"/>
  <c r="J34" i="51" s="1"/>
  <c r="G99" i="83" s="1" a="1"/>
  <c r="G99" i="83" s="1"/>
  <c r="J101" i="63"/>
  <c r="I34" i="51" a="1"/>
  <c r="I34" i="51" s="1"/>
  <c r="F99" i="83" s="1" a="1"/>
  <c r="F99" i="83" s="1"/>
  <c r="K35" i="51" a="1"/>
  <c r="K35" i="51" s="1"/>
  <c r="H100" i="83" s="1" a="1"/>
  <c r="H100" i="83" s="1"/>
  <c r="L101" i="63"/>
  <c r="K34" i="51" a="1"/>
  <c r="K34" i="51" s="1"/>
  <c r="H99" i="83" s="1" a="1"/>
  <c r="H99" i="83" s="1"/>
  <c r="H100" i="63"/>
  <c r="G36" i="51" a="1"/>
  <c r="G36" i="51" s="1"/>
  <c r="D101" i="83" s="1" a="1"/>
  <c r="D101" i="83" s="1"/>
  <c r="H35" i="51" a="1"/>
  <c r="H35" i="51" s="1"/>
  <c r="E100" i="83" s="1" a="1"/>
  <c r="E100" i="83" s="1"/>
  <c r="I101" i="63"/>
  <c r="H34" i="51" a="1"/>
  <c r="H34" i="51" s="1"/>
  <c r="E99" i="83" s="1" a="1"/>
  <c r="E99" i="83" s="1"/>
  <c r="J35" i="51" a="1"/>
  <c r="J35" i="51" s="1"/>
  <c r="G100" i="83" s="1" a="1"/>
  <c r="G100" i="83" s="1"/>
  <c r="L36" i="50" l="1" a="1"/>
  <c r="L36" i="50" s="1"/>
  <c r="K36" i="50" a="1"/>
  <c r="K36" i="50" s="1"/>
  <c r="O454" i="49" l="1"/>
  <c r="N454" i="49"/>
  <c r="M454" i="49"/>
  <c r="L454" i="49"/>
  <c r="K454" i="49"/>
  <c r="O426" i="49"/>
  <c r="N426" i="49"/>
  <c r="M426" i="49"/>
  <c r="L426" i="49"/>
  <c r="K426" i="49"/>
  <c r="O412" i="49"/>
  <c r="N412" i="49"/>
  <c r="M412" i="49"/>
  <c r="L412" i="49"/>
  <c r="K412" i="49"/>
  <c r="O397" i="49"/>
  <c r="N397" i="49"/>
  <c r="M397" i="49"/>
  <c r="L397" i="49"/>
  <c r="K397" i="49"/>
  <c r="O382" i="49"/>
  <c r="N382" i="49"/>
  <c r="M382" i="49"/>
  <c r="L382" i="49"/>
  <c r="K382" i="49"/>
  <c r="O342" i="49"/>
  <c r="N342" i="49"/>
  <c r="M342" i="49"/>
  <c r="L342" i="49"/>
  <c r="K342" i="49"/>
  <c r="K357" i="49"/>
  <c r="L357" i="49"/>
  <c r="M357" i="49"/>
  <c r="N357" i="49"/>
  <c r="O357" i="49"/>
  <c r="O368" i="49"/>
  <c r="N368" i="49"/>
  <c r="M368" i="49"/>
  <c r="L368" i="49"/>
  <c r="K368" i="49"/>
  <c r="U112" i="51" a="1"/>
  <c r="U112" i="51" s="1"/>
  <c r="T112" i="51" a="1"/>
  <c r="T112" i="51" s="1"/>
  <c r="S112" i="51" a="1"/>
  <c r="S112" i="51" s="1"/>
  <c r="R112" i="51" a="1"/>
  <c r="R112" i="51" s="1"/>
  <c r="Q112" i="51" a="1"/>
  <c r="Q112" i="51" s="1"/>
  <c r="U106" i="51" a="1"/>
  <c r="U106" i="51" s="1"/>
  <c r="U141" i="51" s="1" a="1"/>
  <c r="U141" i="51" s="1"/>
  <c r="T106" i="51" a="1"/>
  <c r="T106" i="51" s="1"/>
  <c r="T141" i="51" s="1" a="1"/>
  <c r="T141" i="51" s="1"/>
  <c r="S106" i="51" a="1"/>
  <c r="S106" i="51" s="1"/>
  <c r="S141" i="51" s="1" a="1"/>
  <c r="S141" i="51" s="1"/>
  <c r="R106" i="51" a="1"/>
  <c r="R106" i="51" s="1"/>
  <c r="R141" i="51" s="1" a="1"/>
  <c r="R141" i="51" s="1"/>
  <c r="Q106" i="51" a="1"/>
  <c r="Q106" i="51" s="1"/>
  <c r="Q141" i="51" s="1" a="1"/>
  <c r="Q141" i="51" s="1"/>
  <c r="U89" i="51" a="1"/>
  <c r="U89" i="51" s="1"/>
  <c r="T89" i="51" a="1"/>
  <c r="T89" i="51" s="1"/>
  <c r="S89" i="51" a="1"/>
  <c r="S89" i="51" s="1"/>
  <c r="R89" i="51" a="1"/>
  <c r="R89" i="51" s="1"/>
  <c r="Q89" i="51" a="1"/>
  <c r="Q89" i="51" s="1"/>
  <c r="C186" i="63"/>
  <c r="L186" i="63" s="1" a="1"/>
  <c r="L186" i="63" s="1"/>
  <c r="C185" i="63"/>
  <c r="C184" i="63"/>
  <c r="C149" i="63"/>
  <c r="C148" i="63"/>
  <c r="C147" i="63"/>
  <c r="C146" i="63"/>
  <c r="C145" i="63"/>
  <c r="C144" i="63"/>
  <c r="C143" i="63"/>
  <c r="C142" i="63"/>
  <c r="C141" i="63"/>
  <c r="K107" i="51" l="1" a="1"/>
  <c r="K107" i="51" s="1"/>
  <c r="K108" i="51" a="1"/>
  <c r="K108" i="51" s="1"/>
  <c r="P100" i="83" s="1" a="1"/>
  <c r="P100" i="83" s="1"/>
  <c r="H107" i="51" a="1"/>
  <c r="H107" i="51" s="1"/>
  <c r="H108" i="51" a="1"/>
  <c r="H108" i="51" s="1"/>
  <c r="M100" i="83" s="1" a="1"/>
  <c r="M100" i="83" s="1"/>
  <c r="I107" i="51" a="1"/>
  <c r="I107" i="51" s="1"/>
  <c r="I108" i="51" a="1"/>
  <c r="I108" i="51" s="1"/>
  <c r="N100" i="83" s="1" a="1"/>
  <c r="N100" i="83" s="1"/>
  <c r="J107" i="51" a="1"/>
  <c r="J107" i="51" s="1"/>
  <c r="J108" i="51" a="1"/>
  <c r="J108" i="51" s="1"/>
  <c r="O100" i="83" s="1" a="1"/>
  <c r="O100" i="83" s="1"/>
  <c r="G109" i="51" a="1"/>
  <c r="G109" i="51" s="1"/>
  <c r="L101" i="83" s="1" a="1"/>
  <c r="L101" i="83" s="1"/>
  <c r="U107" i="51" a="1"/>
  <c r="U107" i="51" s="1"/>
  <c r="H186" i="63" a="1"/>
  <c r="H186" i="63" s="1"/>
  <c r="J186" i="63" a="1"/>
  <c r="J186" i="63" s="1"/>
  <c r="I186" i="63" a="1"/>
  <c r="I186" i="63" s="1"/>
  <c r="U108" i="51" a="1"/>
  <c r="U108" i="51" s="1"/>
  <c r="Q109" i="51" a="1"/>
  <c r="Q109" i="51" s="1"/>
  <c r="R108" i="51" a="1"/>
  <c r="R108" i="51" s="1"/>
  <c r="K186" i="63" a="1"/>
  <c r="K186" i="63" s="1"/>
  <c r="S108" i="51" a="1"/>
  <c r="S108" i="51" s="1"/>
  <c r="T108" i="51" a="1"/>
  <c r="T108" i="51" s="1"/>
  <c r="R107" i="51" a="1"/>
  <c r="R107" i="51" s="1"/>
  <c r="S107" i="51" a="1"/>
  <c r="S107" i="51" s="1"/>
  <c r="T107" i="51" a="1"/>
  <c r="T107" i="51" s="1"/>
  <c r="O99" i="84" l="1" a="1"/>
  <c r="O99" i="84" s="1"/>
  <c r="O99" i="85" a="1"/>
  <c r="O99" i="85" s="1"/>
  <c r="L101" i="85" a="1"/>
  <c r="L101" i="85" s="1"/>
  <c r="L101" i="84" a="1"/>
  <c r="L101" i="84" s="1"/>
  <c r="P100" i="85" a="1"/>
  <c r="P100" i="85" s="1"/>
  <c r="P100" i="84" a="1"/>
  <c r="P100" i="84" s="1"/>
  <c r="N99" i="84" a="1"/>
  <c r="N99" i="84" s="1"/>
  <c r="N99" i="85" a="1"/>
  <c r="N99" i="85" s="1"/>
  <c r="N99" i="83" a="1"/>
  <c r="N99" i="83" s="1"/>
  <c r="M99" i="84" a="1"/>
  <c r="M99" i="84" s="1"/>
  <c r="M99" i="85" a="1"/>
  <c r="M99" i="85" s="1"/>
  <c r="O100" i="85" a="1"/>
  <c r="O100" i="85" s="1"/>
  <c r="O100" i="84" a="1"/>
  <c r="O100" i="84" s="1"/>
  <c r="M99" i="83" a="1"/>
  <c r="M99" i="83" s="1"/>
  <c r="O99" i="83" a="1"/>
  <c r="O99" i="83" s="1"/>
  <c r="P99" i="85" a="1"/>
  <c r="P99" i="85" s="1"/>
  <c r="P99" i="84" a="1"/>
  <c r="P99" i="84" s="1"/>
  <c r="M100" i="84" a="1"/>
  <c r="M100" i="84" s="1"/>
  <c r="M100" i="85" a="1"/>
  <c r="M100" i="85" s="1"/>
  <c r="N100" i="84" a="1"/>
  <c r="N100" i="84" s="1"/>
  <c r="N100" i="85" a="1"/>
  <c r="N100" i="85" s="1"/>
  <c r="P99" i="83" a="1"/>
  <c r="P99" i="83" s="1"/>
  <c r="J143" i="51" a="1"/>
  <c r="J143" i="51" s="1"/>
  <c r="J142" i="51" a="1"/>
  <c r="J142" i="51" s="1"/>
  <c r="I143" i="51" a="1"/>
  <c r="I143" i="51" s="1"/>
  <c r="I142" i="51" a="1"/>
  <c r="I142" i="51" s="1"/>
  <c r="H143" i="51" a="1"/>
  <c r="H143" i="51" s="1"/>
  <c r="H142" i="51" a="1"/>
  <c r="H142" i="51" s="1"/>
  <c r="K143" i="51" a="1"/>
  <c r="K143" i="51" s="1"/>
  <c r="G144" i="51" a="1"/>
  <c r="G144" i="51" s="1"/>
  <c r="K142" i="51" a="1"/>
  <c r="K142" i="51" s="1"/>
  <c r="U142" i="51" a="1"/>
  <c r="U142" i="51" s="1"/>
  <c r="U143" i="51" a="1"/>
  <c r="U143" i="51" s="1"/>
  <c r="T142" i="51" a="1"/>
  <c r="T142" i="51" s="1"/>
  <c r="T143" i="51" a="1"/>
  <c r="T143" i="51" s="1"/>
  <c r="S143" i="51" a="1"/>
  <c r="S143" i="51" s="1"/>
  <c r="S142" i="51" a="1"/>
  <c r="S142" i="51" s="1"/>
  <c r="R143" i="51" a="1"/>
  <c r="R143" i="51" s="1"/>
  <c r="R142" i="51" a="1"/>
  <c r="R142" i="51" s="1"/>
  <c r="Q144" i="51" a="1"/>
  <c r="Q144" i="51" s="1"/>
  <c r="E57" i="65" a="1"/>
  <c r="E57" i="65" s="1"/>
  <c r="E62" i="65" a="1"/>
  <c r="E62" i="65" s="1"/>
  <c r="O59" i="65" a="1"/>
  <c r="O59" i="65" s="1"/>
  <c r="N59" i="65" a="1"/>
  <c r="N59" i="65" s="1"/>
  <c r="M59" i="65" a="1"/>
  <c r="M59" i="65" s="1"/>
  <c r="L59" i="65" a="1"/>
  <c r="L59" i="65" s="1"/>
  <c r="K59" i="65" a="1"/>
  <c r="K59" i="65" s="1"/>
  <c r="J59" i="65" a="1"/>
  <c r="J59" i="65" s="1"/>
  <c r="I59" i="65" a="1"/>
  <c r="I59" i="65" s="1"/>
  <c r="H59" i="65" a="1"/>
  <c r="H59" i="65" s="1"/>
  <c r="G59" i="65" a="1"/>
  <c r="G59" i="65" s="1"/>
  <c r="F59" i="65" a="1"/>
  <c r="F59" i="65" s="1"/>
  <c r="E59" i="65" a="1"/>
  <c r="E59" i="65" s="1"/>
  <c r="O58" i="65" a="1"/>
  <c r="O58" i="65" s="1"/>
  <c r="N58" i="65" a="1"/>
  <c r="N58" i="65" s="1"/>
  <c r="M58" i="65" a="1"/>
  <c r="M58" i="65" s="1"/>
  <c r="L58" i="65" a="1"/>
  <c r="L58" i="65" s="1"/>
  <c r="K58" i="65" a="1"/>
  <c r="K58" i="65" s="1"/>
  <c r="J58" i="65" a="1"/>
  <c r="J58" i="65" s="1"/>
  <c r="I58" i="65" a="1"/>
  <c r="I58" i="65" s="1"/>
  <c r="H58" i="65" a="1"/>
  <c r="H58" i="65" s="1"/>
  <c r="G58" i="65" a="1"/>
  <c r="G58" i="65" s="1"/>
  <c r="F58" i="65" a="1"/>
  <c r="F58" i="65" s="1"/>
  <c r="E58" i="65" a="1"/>
  <c r="E58" i="65" s="1"/>
  <c r="O57" i="65" a="1"/>
  <c r="O57" i="65" s="1"/>
  <c r="N57" i="65" a="1"/>
  <c r="N57" i="65" s="1"/>
  <c r="M57" i="65" a="1"/>
  <c r="M57" i="65" s="1"/>
  <c r="L57" i="65" a="1"/>
  <c r="L57" i="65" s="1"/>
  <c r="K57" i="65" a="1"/>
  <c r="K57" i="65" s="1"/>
  <c r="J57" i="65" a="1"/>
  <c r="J57" i="65" s="1"/>
  <c r="I57" i="65" a="1"/>
  <c r="I57" i="65" s="1"/>
  <c r="H57" i="65" a="1"/>
  <c r="H57" i="65" s="1"/>
  <c r="G57" i="65" a="1"/>
  <c r="G57" i="65" s="1"/>
  <c r="F57" i="65" a="1"/>
  <c r="F57" i="65" s="1"/>
  <c r="O56" i="65" a="1"/>
  <c r="O56" i="65" s="1"/>
  <c r="N56" i="65" a="1"/>
  <c r="N56" i="65" s="1"/>
  <c r="M56" i="65" a="1"/>
  <c r="M56" i="65" s="1"/>
  <c r="L56" i="65" a="1"/>
  <c r="L56" i="65" s="1"/>
  <c r="K56" i="65" a="1"/>
  <c r="K56" i="65" s="1"/>
  <c r="J56" i="65" a="1"/>
  <c r="J56" i="65" s="1"/>
  <c r="I56" i="65" a="1"/>
  <c r="I56" i="65" s="1"/>
  <c r="H56" i="65" a="1"/>
  <c r="H56" i="65" s="1"/>
  <c r="G56" i="65" a="1"/>
  <c r="G56" i="65" s="1"/>
  <c r="F56" i="65" a="1"/>
  <c r="F56" i="65" s="1"/>
  <c r="E56" i="65" a="1"/>
  <c r="E56" i="65" s="1"/>
  <c r="O55" i="65" a="1"/>
  <c r="O55" i="65" s="1"/>
  <c r="N55" i="65" a="1"/>
  <c r="N55" i="65" s="1"/>
  <c r="M55" i="65" a="1"/>
  <c r="M55" i="65" s="1"/>
  <c r="L55" i="65" a="1"/>
  <c r="L55" i="65" s="1"/>
  <c r="K55" i="65" a="1"/>
  <c r="K55" i="65" s="1"/>
  <c r="J55" i="65" a="1"/>
  <c r="J55" i="65" s="1"/>
  <c r="I55" i="65" a="1"/>
  <c r="I55" i="65" s="1"/>
  <c r="H55" i="65" a="1"/>
  <c r="H55" i="65" s="1"/>
  <c r="G55" i="65" a="1"/>
  <c r="G55" i="65" s="1"/>
  <c r="F55" i="65" a="1"/>
  <c r="F55" i="65" s="1"/>
  <c r="E55" i="65" a="1"/>
  <c r="E55" i="65" s="1"/>
  <c r="O54" i="65" a="1"/>
  <c r="O54" i="65" s="1"/>
  <c r="N54" i="65" a="1"/>
  <c r="N54" i="65" s="1"/>
  <c r="M54" i="65" a="1"/>
  <c r="M54" i="65" s="1"/>
  <c r="L54" i="65" a="1"/>
  <c r="L54" i="65" s="1"/>
  <c r="K54" i="65" a="1"/>
  <c r="K54" i="65" s="1"/>
  <c r="J54" i="65" a="1"/>
  <c r="J54" i="65" s="1"/>
  <c r="I54" i="65" a="1"/>
  <c r="I54" i="65" s="1"/>
  <c r="H54" i="65" a="1"/>
  <c r="H54" i="65" s="1"/>
  <c r="G54" i="65" a="1"/>
  <c r="G54" i="65" s="1"/>
  <c r="F54" i="65" a="1"/>
  <c r="F54" i="65" s="1"/>
  <c r="E54" i="65" a="1"/>
  <c r="E54" i="65" s="1"/>
  <c r="O66" i="65" a="1"/>
  <c r="O66" i="65" s="1"/>
  <c r="N66" i="65" a="1"/>
  <c r="N66" i="65" s="1"/>
  <c r="M66" i="65" a="1"/>
  <c r="M66" i="65" s="1"/>
  <c r="L66" i="65" a="1"/>
  <c r="L66" i="65" s="1"/>
  <c r="K66" i="65" a="1"/>
  <c r="K66" i="65" s="1"/>
  <c r="J66" i="65" a="1"/>
  <c r="J66" i="65" s="1"/>
  <c r="I66" i="65" a="1"/>
  <c r="I66" i="65" s="1"/>
  <c r="H66" i="65" a="1"/>
  <c r="H66" i="65" s="1"/>
  <c r="G66" i="65" a="1"/>
  <c r="G66" i="65" s="1"/>
  <c r="F66" i="65" a="1"/>
  <c r="F66" i="65" s="1"/>
  <c r="E66" i="65" a="1"/>
  <c r="E66" i="65" s="1"/>
  <c r="O65" i="65" a="1"/>
  <c r="O65" i="65" s="1"/>
  <c r="N65" i="65" a="1"/>
  <c r="N65" i="65" s="1"/>
  <c r="M65" i="65" a="1"/>
  <c r="M65" i="65" s="1"/>
  <c r="L65" i="65" a="1"/>
  <c r="L65" i="65" s="1"/>
  <c r="K65" i="65" a="1"/>
  <c r="K65" i="65" s="1"/>
  <c r="J65" i="65" a="1"/>
  <c r="J65" i="65" s="1"/>
  <c r="I65" i="65" a="1"/>
  <c r="I65" i="65" s="1"/>
  <c r="H65" i="65" a="1"/>
  <c r="H65" i="65" s="1"/>
  <c r="G65" i="65" a="1"/>
  <c r="G65" i="65" s="1"/>
  <c r="F65" i="65" a="1"/>
  <c r="F65" i="65" s="1"/>
  <c r="E65" i="65" a="1"/>
  <c r="E65" i="65" s="1"/>
  <c r="O64" i="65" a="1"/>
  <c r="O64" i="65" s="1"/>
  <c r="N64" i="65" a="1"/>
  <c r="N64" i="65" s="1"/>
  <c r="M64" i="65" a="1"/>
  <c r="M64" i="65" s="1"/>
  <c r="L64" i="65" a="1"/>
  <c r="L64" i="65" s="1"/>
  <c r="K64" i="65" a="1"/>
  <c r="K64" i="65" s="1"/>
  <c r="J64" i="65" a="1"/>
  <c r="J64" i="65" s="1"/>
  <c r="I64" i="65" a="1"/>
  <c r="I64" i="65" s="1"/>
  <c r="H64" i="65" a="1"/>
  <c r="H64" i="65" s="1"/>
  <c r="G64" i="65" a="1"/>
  <c r="G64" i="65" s="1"/>
  <c r="F64" i="65" a="1"/>
  <c r="F64" i="65" s="1"/>
  <c r="E64" i="65" a="1"/>
  <c r="E64" i="65" s="1"/>
  <c r="O63" i="65" a="1"/>
  <c r="O63" i="65" s="1"/>
  <c r="N63" i="65" a="1"/>
  <c r="N63" i="65" s="1"/>
  <c r="M63" i="65" a="1"/>
  <c r="M63" i="65" s="1"/>
  <c r="L63" i="65" a="1"/>
  <c r="L63" i="65" s="1"/>
  <c r="K63" i="65" a="1"/>
  <c r="K63" i="65" s="1"/>
  <c r="J63" i="65" a="1"/>
  <c r="J63" i="65" s="1"/>
  <c r="I63" i="65" a="1"/>
  <c r="I63" i="65" s="1"/>
  <c r="H63" i="65" a="1"/>
  <c r="H63" i="65" s="1"/>
  <c r="G63" i="65" a="1"/>
  <c r="G63" i="65" s="1"/>
  <c r="F63" i="65" a="1"/>
  <c r="F63" i="65" s="1"/>
  <c r="E63" i="65" a="1"/>
  <c r="E63" i="65" s="1"/>
  <c r="O62" i="65" a="1"/>
  <c r="O62" i="65" s="1"/>
  <c r="N62" i="65" a="1"/>
  <c r="N62" i="65" s="1"/>
  <c r="M62" i="65" a="1"/>
  <c r="M62" i="65" s="1"/>
  <c r="L62" i="65" a="1"/>
  <c r="L62" i="65" s="1"/>
  <c r="K62" i="65" a="1"/>
  <c r="K62" i="65" s="1"/>
  <c r="J62" i="65" a="1"/>
  <c r="J62" i="65" s="1"/>
  <c r="I62" i="65" a="1"/>
  <c r="I62" i="65" s="1"/>
  <c r="H62" i="65" a="1"/>
  <c r="H62" i="65" s="1"/>
  <c r="G62" i="65" a="1"/>
  <c r="G62" i="65" s="1"/>
  <c r="F62" i="65" a="1"/>
  <c r="F62" i="65" s="1"/>
  <c r="O61" i="65" a="1"/>
  <c r="O61" i="65" s="1"/>
  <c r="N61" i="65" a="1"/>
  <c r="N61" i="65" s="1"/>
  <c r="M61" i="65" a="1"/>
  <c r="M61" i="65" s="1"/>
  <c r="L61" i="65" a="1"/>
  <c r="L61" i="65" s="1"/>
  <c r="K61" i="65" a="1"/>
  <c r="K61" i="65" s="1"/>
  <c r="J61" i="65" a="1"/>
  <c r="J61" i="65" s="1"/>
  <c r="I61" i="65" a="1"/>
  <c r="I61" i="65" s="1"/>
  <c r="H61" i="65" a="1"/>
  <c r="H61" i="65" s="1"/>
  <c r="G61" i="65" a="1"/>
  <c r="G61" i="65" s="1"/>
  <c r="F61" i="65" a="1"/>
  <c r="F61" i="65" s="1"/>
  <c r="E61" i="65" a="1"/>
  <c r="E61" i="65" s="1"/>
  <c r="Q58" i="65" l="1"/>
  <c r="Q57" i="65"/>
  <c r="Q56" i="65"/>
  <c r="Q59" i="65"/>
  <c r="Q54" i="65"/>
  <c r="Q55" i="65"/>
  <c r="Q66" i="65"/>
  <c r="Q62" i="65"/>
  <c r="Q64" i="65"/>
  <c r="Q65" i="65"/>
  <c r="Q63" i="65"/>
  <c r="Q61" i="65"/>
  <c r="R16" i="51" l="1" a="1"/>
  <c r="R16" i="51" s="1"/>
  <c r="S16" i="51" a="1"/>
  <c r="S16" i="51" s="1"/>
  <c r="T16" i="51" a="1"/>
  <c r="T16" i="51" s="1"/>
  <c r="U16" i="51" a="1"/>
  <c r="U16" i="51" s="1"/>
  <c r="Q16" i="51" a="1"/>
  <c r="Q16" i="51" s="1"/>
  <c r="F409" i="44"/>
  <c r="E409" i="44"/>
  <c r="O226" i="49"/>
  <c r="N226" i="49"/>
  <c r="M226" i="49"/>
  <c r="L226" i="49"/>
  <c r="K226" i="49"/>
  <c r="O212" i="49"/>
  <c r="N212" i="49"/>
  <c r="M212" i="49"/>
  <c r="L212" i="49"/>
  <c r="K212" i="49"/>
  <c r="O198" i="49"/>
  <c r="N198" i="49"/>
  <c r="M198" i="49"/>
  <c r="L198" i="49"/>
  <c r="K198" i="49"/>
  <c r="O184" i="49"/>
  <c r="N184" i="49"/>
  <c r="M184" i="49"/>
  <c r="L184" i="49"/>
  <c r="K184" i="49"/>
  <c r="O169" i="49"/>
  <c r="N169" i="49"/>
  <c r="M169" i="49"/>
  <c r="L169" i="49"/>
  <c r="K169" i="49"/>
  <c r="O154" i="49"/>
  <c r="N154" i="49"/>
  <c r="M154" i="49"/>
  <c r="L154" i="49"/>
  <c r="K154" i="49"/>
  <c r="O140" i="49"/>
  <c r="N140" i="49"/>
  <c r="M140" i="49"/>
  <c r="L140" i="49"/>
  <c r="K140" i="49"/>
  <c r="O129" i="49"/>
  <c r="N129" i="49"/>
  <c r="M129" i="49"/>
  <c r="L129" i="49"/>
  <c r="K129" i="49"/>
  <c r="O114" i="49"/>
  <c r="N114" i="49"/>
  <c r="M114" i="49"/>
  <c r="L114" i="49"/>
  <c r="K114" i="49"/>
  <c r="K26" i="49" l="1"/>
  <c r="D81" i="49"/>
  <c r="D95" i="65" l="1"/>
  <c r="D102" i="65" s="1"/>
  <c r="D97" i="65" l="1"/>
  <c r="D100" i="65"/>
  <c r="D98" i="65"/>
  <c r="D99" i="65"/>
  <c r="D101" i="65"/>
  <c r="E68" i="65" l="1" a="1"/>
  <c r="E68" i="65" s="1"/>
  <c r="J80" i="65" a="1"/>
  <c r="J80" i="65" s="1"/>
  <c r="J102" i="65" s="1" a="1"/>
  <c r="J102" i="65" s="1"/>
  <c r="L80" i="65" a="1"/>
  <c r="L80" i="65" s="1"/>
  <c r="L102" i="65" s="1" a="1"/>
  <c r="L102" i="65" s="1"/>
  <c r="I80" i="65" a="1"/>
  <c r="I80" i="65" s="1"/>
  <c r="I102" i="65" s="1" a="1"/>
  <c r="I102" i="65" s="1"/>
  <c r="G80" i="65" a="1"/>
  <c r="G80" i="65" s="1"/>
  <c r="G102" i="65" s="1" a="1"/>
  <c r="G102" i="65" s="1"/>
  <c r="F80" i="65" a="1"/>
  <c r="F80" i="65" s="1"/>
  <c r="F102" i="65" s="1" a="1"/>
  <c r="F102" i="65" s="1"/>
  <c r="O80" i="65" a="1"/>
  <c r="O80" i="65" s="1"/>
  <c r="O102" i="65" s="1" a="1"/>
  <c r="O102" i="65" s="1"/>
  <c r="N80" i="65" a="1"/>
  <c r="N80" i="65" s="1"/>
  <c r="N102" i="65" s="1" a="1"/>
  <c r="N102" i="65" s="1"/>
  <c r="M80" i="65" a="1"/>
  <c r="M80" i="65" s="1"/>
  <c r="M102" i="65" s="1" a="1"/>
  <c r="M102" i="65" s="1"/>
  <c r="K80" i="65" a="1"/>
  <c r="K80" i="65" s="1"/>
  <c r="K102" i="65" s="1" a="1"/>
  <c r="K102" i="65" s="1"/>
  <c r="H80" i="65" a="1"/>
  <c r="H80" i="65" s="1"/>
  <c r="H102" i="65" s="1" a="1"/>
  <c r="H102" i="65" s="1"/>
  <c r="E80" i="65" a="1"/>
  <c r="E80" i="65" s="1"/>
  <c r="E102" i="65" s="1" a="1"/>
  <c r="E102" i="65" s="1"/>
  <c r="O79" i="65" a="1"/>
  <c r="O79" i="65" s="1"/>
  <c r="O101" i="65" s="1" a="1"/>
  <c r="O101" i="65" s="1"/>
  <c r="N79" i="65" a="1"/>
  <c r="N79" i="65" s="1"/>
  <c r="N101" i="65" s="1" a="1"/>
  <c r="N101" i="65" s="1"/>
  <c r="M79" i="65" a="1"/>
  <c r="M79" i="65" s="1"/>
  <c r="M101" i="65" s="1" a="1"/>
  <c r="M101" i="65" s="1"/>
  <c r="L79" i="65" a="1"/>
  <c r="L79" i="65" s="1"/>
  <c r="L101" i="65" s="1" a="1"/>
  <c r="L101" i="65" s="1"/>
  <c r="K79" i="65" a="1"/>
  <c r="K79" i="65" s="1"/>
  <c r="K101" i="65" s="1" a="1"/>
  <c r="K101" i="65" s="1"/>
  <c r="J79" i="65" a="1"/>
  <c r="J79" i="65" s="1"/>
  <c r="J101" i="65" s="1" a="1"/>
  <c r="J101" i="65" s="1"/>
  <c r="I79" i="65" a="1"/>
  <c r="I79" i="65" s="1"/>
  <c r="I101" i="65" s="1" a="1"/>
  <c r="I101" i="65" s="1"/>
  <c r="H79" i="65" a="1"/>
  <c r="H79" i="65" s="1"/>
  <c r="H101" i="65" s="1" a="1"/>
  <c r="H101" i="65" s="1"/>
  <c r="G79" i="65" a="1"/>
  <c r="G79" i="65" s="1"/>
  <c r="G101" i="65" s="1" a="1"/>
  <c r="G101" i="65" s="1"/>
  <c r="F79" i="65" a="1"/>
  <c r="F79" i="65" s="1"/>
  <c r="F101" i="65" s="1" a="1"/>
  <c r="F101" i="65" s="1"/>
  <c r="E79" i="65" a="1"/>
  <c r="E79" i="65" s="1"/>
  <c r="E101" i="65" s="1" a="1"/>
  <c r="E101" i="65" s="1"/>
  <c r="O78" i="65" a="1"/>
  <c r="O78" i="65" s="1"/>
  <c r="O100" i="65" s="1" a="1"/>
  <c r="O100" i="65" s="1"/>
  <c r="N78" i="65" a="1"/>
  <c r="N78" i="65" s="1"/>
  <c r="N100" i="65" s="1" a="1"/>
  <c r="N100" i="65" s="1"/>
  <c r="M78" i="65" a="1"/>
  <c r="M78" i="65" s="1"/>
  <c r="M100" i="65" s="1" a="1"/>
  <c r="M100" i="65" s="1"/>
  <c r="L78" i="65" a="1"/>
  <c r="L78" i="65" s="1"/>
  <c r="L100" i="65" s="1" a="1"/>
  <c r="L100" i="65" s="1"/>
  <c r="K78" i="65" a="1"/>
  <c r="K78" i="65" s="1"/>
  <c r="K100" i="65" s="1" a="1"/>
  <c r="K100" i="65" s="1"/>
  <c r="J78" i="65" a="1"/>
  <c r="J78" i="65" s="1"/>
  <c r="J100" i="65" s="1" a="1"/>
  <c r="J100" i="65" s="1"/>
  <c r="I78" i="65" a="1"/>
  <c r="I78" i="65" s="1"/>
  <c r="I100" i="65" s="1" a="1"/>
  <c r="I100" i="65" s="1"/>
  <c r="H78" i="65" a="1"/>
  <c r="H78" i="65" s="1"/>
  <c r="H100" i="65" s="1" a="1"/>
  <c r="H100" i="65" s="1"/>
  <c r="G78" i="65" a="1"/>
  <c r="G78" i="65" s="1"/>
  <c r="G100" i="65" s="1" a="1"/>
  <c r="G100" i="65" s="1"/>
  <c r="F78" i="65" a="1"/>
  <c r="F78" i="65" s="1"/>
  <c r="F100" i="65" s="1" a="1"/>
  <c r="F100" i="65" s="1"/>
  <c r="E78" i="65" a="1"/>
  <c r="E78" i="65" s="1"/>
  <c r="E100" i="65" s="1" a="1"/>
  <c r="E100" i="65" s="1"/>
  <c r="O77" i="65" a="1"/>
  <c r="O77" i="65" s="1"/>
  <c r="O99" i="65" s="1" a="1"/>
  <c r="O99" i="65" s="1"/>
  <c r="N77" i="65" a="1"/>
  <c r="N77" i="65" s="1"/>
  <c r="N99" i="65" s="1" a="1"/>
  <c r="N99" i="65" s="1"/>
  <c r="M77" i="65" a="1"/>
  <c r="M77" i="65" s="1"/>
  <c r="M99" i="65" s="1" a="1"/>
  <c r="M99" i="65" s="1"/>
  <c r="L77" i="65" a="1"/>
  <c r="L77" i="65" s="1"/>
  <c r="L99" i="65" s="1" a="1"/>
  <c r="L99" i="65" s="1"/>
  <c r="K77" i="65" a="1"/>
  <c r="K77" i="65" s="1"/>
  <c r="K99" i="65" s="1" a="1"/>
  <c r="K99" i="65" s="1"/>
  <c r="J77" i="65" a="1"/>
  <c r="J77" i="65" s="1"/>
  <c r="J99" i="65" s="1" a="1"/>
  <c r="J99" i="65" s="1"/>
  <c r="I77" i="65" a="1"/>
  <c r="I77" i="65" s="1"/>
  <c r="I99" i="65" s="1" a="1"/>
  <c r="I99" i="65" s="1"/>
  <c r="H77" i="65" a="1"/>
  <c r="H77" i="65" s="1"/>
  <c r="H99" i="65" s="1" a="1"/>
  <c r="H99" i="65" s="1"/>
  <c r="G77" i="65" a="1"/>
  <c r="G77" i="65" s="1"/>
  <c r="G99" i="65" s="1" a="1"/>
  <c r="G99" i="65" s="1"/>
  <c r="F77" i="65" a="1"/>
  <c r="F77" i="65" s="1"/>
  <c r="F99" i="65" s="1" a="1"/>
  <c r="F99" i="65" s="1"/>
  <c r="E77" i="65" a="1"/>
  <c r="E77" i="65" s="1"/>
  <c r="E99" i="65" s="1" a="1"/>
  <c r="E99" i="65" s="1"/>
  <c r="O76" i="65" a="1"/>
  <c r="O76" i="65" s="1"/>
  <c r="O98" i="65" s="1" a="1"/>
  <c r="O98" i="65" s="1"/>
  <c r="N76" i="65" a="1"/>
  <c r="N76" i="65" s="1"/>
  <c r="N98" i="65" s="1" a="1"/>
  <c r="N98" i="65" s="1"/>
  <c r="M76" i="65" a="1"/>
  <c r="M76" i="65" s="1"/>
  <c r="M98" i="65" s="1" a="1"/>
  <c r="M98" i="65" s="1"/>
  <c r="L76" i="65" a="1"/>
  <c r="L76" i="65" s="1"/>
  <c r="L98" i="65" s="1" a="1"/>
  <c r="L98" i="65" s="1"/>
  <c r="K76" i="65" a="1"/>
  <c r="K76" i="65" s="1"/>
  <c r="K98" i="65" s="1" a="1"/>
  <c r="K98" i="65" s="1"/>
  <c r="J76" i="65" a="1"/>
  <c r="J76" i="65" s="1"/>
  <c r="J98" i="65" s="1" a="1"/>
  <c r="J98" i="65" s="1"/>
  <c r="I76" i="65" a="1"/>
  <c r="I76" i="65" s="1"/>
  <c r="I98" i="65" s="1" a="1"/>
  <c r="I98" i="65" s="1"/>
  <c r="H76" i="65" a="1"/>
  <c r="H76" i="65" s="1"/>
  <c r="H98" i="65" s="1" a="1"/>
  <c r="H98" i="65" s="1"/>
  <c r="G76" i="65" a="1"/>
  <c r="G76" i="65" s="1"/>
  <c r="G98" i="65" s="1" a="1"/>
  <c r="G98" i="65" s="1"/>
  <c r="F76" i="65" a="1"/>
  <c r="F76" i="65" s="1"/>
  <c r="F98" i="65" s="1" a="1"/>
  <c r="F98" i="65" s="1"/>
  <c r="E76" i="65" a="1"/>
  <c r="E76" i="65" s="1"/>
  <c r="E98" i="65" s="1" a="1"/>
  <c r="E98" i="65" s="1"/>
  <c r="O75" i="65" a="1"/>
  <c r="O75" i="65" s="1"/>
  <c r="O97" i="65" s="1" a="1"/>
  <c r="O97" i="65" s="1"/>
  <c r="N75" i="65" a="1"/>
  <c r="N75" i="65" s="1"/>
  <c r="N97" i="65" s="1" a="1"/>
  <c r="N97" i="65" s="1"/>
  <c r="M75" i="65" a="1"/>
  <c r="M75" i="65" s="1"/>
  <c r="M97" i="65" s="1" a="1"/>
  <c r="M97" i="65" s="1"/>
  <c r="L75" i="65" a="1"/>
  <c r="L75" i="65" s="1"/>
  <c r="L97" i="65" s="1" a="1"/>
  <c r="L97" i="65" s="1"/>
  <c r="K75" i="65" a="1"/>
  <c r="K75" i="65" s="1"/>
  <c r="K97" i="65" s="1" a="1"/>
  <c r="K97" i="65" s="1"/>
  <c r="J75" i="65" a="1"/>
  <c r="J75" i="65" s="1"/>
  <c r="J97" i="65" s="1" a="1"/>
  <c r="J97" i="65" s="1"/>
  <c r="I75" i="65" a="1"/>
  <c r="I75" i="65" s="1"/>
  <c r="I97" i="65" s="1" a="1"/>
  <c r="I97" i="65" s="1"/>
  <c r="H75" i="65" a="1"/>
  <c r="H75" i="65" s="1"/>
  <c r="H97" i="65" s="1" a="1"/>
  <c r="H97" i="65" s="1"/>
  <c r="G75" i="65" a="1"/>
  <c r="G75" i="65" s="1"/>
  <c r="G97" i="65" s="1" a="1"/>
  <c r="G97" i="65" s="1"/>
  <c r="F75" i="65" a="1"/>
  <c r="F75" i="65" s="1"/>
  <c r="F97" i="65" s="1" a="1"/>
  <c r="F97" i="65" s="1"/>
  <c r="E75" i="65" a="1"/>
  <c r="E75" i="65" s="1"/>
  <c r="E97" i="65" s="1" a="1"/>
  <c r="E97" i="65" s="1"/>
  <c r="O73" i="65" a="1"/>
  <c r="O73" i="65" s="1"/>
  <c r="N73" i="65" a="1"/>
  <c r="N73" i="65" s="1"/>
  <c r="M73" i="65" a="1"/>
  <c r="M73" i="65" s="1"/>
  <c r="L73" i="65" a="1"/>
  <c r="L73" i="65" s="1"/>
  <c r="K73" i="65" a="1"/>
  <c r="K73" i="65" s="1"/>
  <c r="J73" i="65" a="1"/>
  <c r="J73" i="65" s="1"/>
  <c r="I73" i="65" a="1"/>
  <c r="I73" i="65" s="1"/>
  <c r="H73" i="65" a="1"/>
  <c r="H73" i="65" s="1"/>
  <c r="G73" i="65" a="1"/>
  <c r="G73" i="65" s="1"/>
  <c r="F73" i="65" a="1"/>
  <c r="F73" i="65" s="1"/>
  <c r="E73" i="65" a="1"/>
  <c r="E73" i="65" s="1"/>
  <c r="O72" i="65" a="1"/>
  <c r="O72" i="65" s="1"/>
  <c r="N72" i="65" a="1"/>
  <c r="N72" i="65" s="1"/>
  <c r="M72" i="65" a="1"/>
  <c r="M72" i="65" s="1"/>
  <c r="L72" i="65" a="1"/>
  <c r="L72" i="65" s="1"/>
  <c r="K72" i="65" a="1"/>
  <c r="K72" i="65" s="1"/>
  <c r="J72" i="65" a="1"/>
  <c r="J72" i="65" s="1"/>
  <c r="I72" i="65" a="1"/>
  <c r="I72" i="65" s="1"/>
  <c r="H72" i="65" a="1"/>
  <c r="H72" i="65" s="1"/>
  <c r="G72" i="65" a="1"/>
  <c r="G72" i="65" s="1"/>
  <c r="F72" i="65" a="1"/>
  <c r="F72" i="65" s="1"/>
  <c r="E72" i="65" a="1"/>
  <c r="E72" i="65" s="1"/>
  <c r="O71" i="65" a="1"/>
  <c r="O71" i="65" s="1"/>
  <c r="N71" i="65" a="1"/>
  <c r="N71" i="65" s="1"/>
  <c r="M71" i="65" a="1"/>
  <c r="M71" i="65" s="1"/>
  <c r="L71" i="65" a="1"/>
  <c r="L71" i="65" s="1"/>
  <c r="K71" i="65" a="1"/>
  <c r="K71" i="65" s="1"/>
  <c r="J71" i="65" a="1"/>
  <c r="J71" i="65" s="1"/>
  <c r="I71" i="65" a="1"/>
  <c r="I71" i="65" s="1"/>
  <c r="H71" i="65" a="1"/>
  <c r="H71" i="65" s="1"/>
  <c r="G71" i="65" a="1"/>
  <c r="G71" i="65" s="1"/>
  <c r="F71" i="65" a="1"/>
  <c r="F71" i="65" s="1"/>
  <c r="E71" i="65" a="1"/>
  <c r="E71" i="65" s="1"/>
  <c r="O70" i="65" a="1"/>
  <c r="O70" i="65" s="1"/>
  <c r="N70" i="65" a="1"/>
  <c r="N70" i="65" s="1"/>
  <c r="M70" i="65" a="1"/>
  <c r="M70" i="65" s="1"/>
  <c r="L70" i="65" a="1"/>
  <c r="L70" i="65" s="1"/>
  <c r="K70" i="65" a="1"/>
  <c r="K70" i="65" s="1"/>
  <c r="J70" i="65" a="1"/>
  <c r="J70" i="65" s="1"/>
  <c r="I70" i="65" a="1"/>
  <c r="I70" i="65" s="1"/>
  <c r="H70" i="65" a="1"/>
  <c r="H70" i="65" s="1"/>
  <c r="G70" i="65" a="1"/>
  <c r="G70" i="65" s="1"/>
  <c r="F70" i="65" a="1"/>
  <c r="F70" i="65" s="1"/>
  <c r="E70" i="65" a="1"/>
  <c r="E70" i="65" s="1"/>
  <c r="O69" i="65" a="1"/>
  <c r="O69" i="65" s="1"/>
  <c r="N69" i="65" a="1"/>
  <c r="N69" i="65" s="1"/>
  <c r="M69" i="65" a="1"/>
  <c r="M69" i="65" s="1"/>
  <c r="L69" i="65" a="1"/>
  <c r="L69" i="65" s="1"/>
  <c r="K69" i="65" a="1"/>
  <c r="K69" i="65" s="1"/>
  <c r="J69" i="65" a="1"/>
  <c r="J69" i="65" s="1"/>
  <c r="I69" i="65" a="1"/>
  <c r="I69" i="65" s="1"/>
  <c r="H69" i="65" a="1"/>
  <c r="H69" i="65" s="1"/>
  <c r="G69" i="65" a="1"/>
  <c r="G69" i="65" s="1"/>
  <c r="F69" i="65" a="1"/>
  <c r="F69" i="65" s="1"/>
  <c r="E69" i="65" a="1"/>
  <c r="E69" i="65" s="1"/>
  <c r="O68" i="65" a="1"/>
  <c r="O68" i="65" s="1"/>
  <c r="N68" i="65" a="1"/>
  <c r="N68" i="65" s="1"/>
  <c r="M68" i="65" a="1"/>
  <c r="M68" i="65" s="1"/>
  <c r="L68" i="65" a="1"/>
  <c r="L68" i="65" s="1"/>
  <c r="K68" i="65" a="1"/>
  <c r="K68" i="65" s="1"/>
  <c r="J68" i="65" a="1"/>
  <c r="J68" i="65" s="1"/>
  <c r="I68" i="65" a="1"/>
  <c r="I68" i="65" s="1"/>
  <c r="H68" i="65" a="1"/>
  <c r="H68" i="65" s="1"/>
  <c r="G68" i="65" a="1"/>
  <c r="G68" i="65" s="1"/>
  <c r="F68" i="65" a="1"/>
  <c r="F68" i="65" s="1"/>
  <c r="D110" i="65"/>
  <c r="D109" i="65"/>
  <c r="D108" i="65"/>
  <c r="D107" i="65"/>
  <c r="D106" i="65"/>
  <c r="D105" i="65"/>
  <c r="B3" i="65"/>
  <c r="B5" i="65" s="1"/>
  <c r="C2" i="65"/>
  <c r="M86" i="65" l="1"/>
  <c r="J87" i="65"/>
  <c r="G88" i="65"/>
  <c r="O88" i="65"/>
  <c r="L89" i="65"/>
  <c r="I90" i="65"/>
  <c r="H91" i="65"/>
  <c r="N87" i="65"/>
  <c r="I86" i="65"/>
  <c r="F87" i="65"/>
  <c r="B48" i="65"/>
  <c r="M91" i="65"/>
  <c r="F86" i="65"/>
  <c r="E86" i="65"/>
  <c r="J86" i="65"/>
  <c r="G87" i="65"/>
  <c r="O87" i="65"/>
  <c r="L88" i="65"/>
  <c r="I89" i="65"/>
  <c r="F90" i="65"/>
  <c r="N90" i="65"/>
  <c r="L86" i="65"/>
  <c r="I87" i="65"/>
  <c r="F88" i="65"/>
  <c r="N88" i="65"/>
  <c r="K89" i="65"/>
  <c r="E91" i="65"/>
  <c r="H90" i="65"/>
  <c r="Q77" i="65"/>
  <c r="Q71" i="65"/>
  <c r="Q75" i="65"/>
  <c r="Q72" i="65"/>
  <c r="Q76" i="65"/>
  <c r="Q78" i="65"/>
  <c r="H87" i="65"/>
  <c r="E88" i="65"/>
  <c r="M88" i="65"/>
  <c r="J89" i="65"/>
  <c r="G90" i="65"/>
  <c r="O90" i="65"/>
  <c r="Q79" i="65"/>
  <c r="K86" i="65"/>
  <c r="Q69" i="65"/>
  <c r="Q70" i="65"/>
  <c r="N91" i="65"/>
  <c r="Q73" i="65"/>
  <c r="I91" i="65"/>
  <c r="H86" i="65"/>
  <c r="E87" i="65"/>
  <c r="M87" i="65"/>
  <c r="J88" i="65"/>
  <c r="G89" i="65"/>
  <c r="O89" i="65"/>
  <c r="L90" i="65"/>
  <c r="Q68" i="65"/>
  <c r="L91" i="65"/>
  <c r="F91" i="65"/>
  <c r="Q80" i="65"/>
  <c r="N86" i="65"/>
  <c r="K87" i="65"/>
  <c r="H88" i="65"/>
  <c r="E89" i="65"/>
  <c r="M89" i="65"/>
  <c r="J90" i="65"/>
  <c r="G91" i="65"/>
  <c r="O91" i="65"/>
  <c r="G86" i="65"/>
  <c r="O86" i="65"/>
  <c r="L87" i="65"/>
  <c r="I88" i="65"/>
  <c r="F89" i="65"/>
  <c r="N89" i="65"/>
  <c r="K90" i="65"/>
  <c r="K88" i="65"/>
  <c r="H89" i="65"/>
  <c r="E90" i="65"/>
  <c r="M90" i="65"/>
  <c r="J91" i="65"/>
  <c r="K91" i="65"/>
  <c r="Q89" i="65" l="1"/>
  <c r="Q90" i="65"/>
  <c r="Q86" i="65"/>
  <c r="Q88" i="65"/>
  <c r="Q87" i="65"/>
  <c r="Q91" i="65"/>
  <c r="C115" i="51" l="1"/>
  <c r="C126" i="51"/>
  <c r="C137" i="51"/>
  <c r="M137" i="51"/>
  <c r="M126" i="51"/>
  <c r="M115" i="51"/>
  <c r="M64" i="51"/>
  <c r="M53" i="51"/>
  <c r="M42" i="51"/>
  <c r="R33" i="51" a="1"/>
  <c r="R33" i="51" s="1"/>
  <c r="R68" i="51" s="1" a="1"/>
  <c r="R68" i="51" s="1"/>
  <c r="S33" i="51" a="1"/>
  <c r="S33" i="51" s="1"/>
  <c r="S68" i="51" s="1" a="1"/>
  <c r="S68" i="51" s="1"/>
  <c r="T33" i="51" a="1"/>
  <c r="T33" i="51" s="1"/>
  <c r="T68" i="51" s="1" a="1"/>
  <c r="T68" i="51" s="1"/>
  <c r="U33" i="51" a="1"/>
  <c r="U33" i="51" s="1"/>
  <c r="U68" i="51" s="1" a="1"/>
  <c r="U68" i="51" s="1"/>
  <c r="R39" i="51" a="1"/>
  <c r="R39" i="51" s="1"/>
  <c r="S39" i="51" a="1"/>
  <c r="S39" i="51" s="1"/>
  <c r="T39" i="51" a="1"/>
  <c r="T39" i="51" s="1"/>
  <c r="U39" i="51" a="1"/>
  <c r="U39" i="51" s="1"/>
  <c r="Q39" i="51" a="1"/>
  <c r="Q39" i="51" s="1"/>
  <c r="Q33" i="51" a="1"/>
  <c r="Q33" i="51" s="1"/>
  <c r="Q68" i="51" s="1" a="1"/>
  <c r="Q68" i="51" s="1"/>
  <c r="D235" i="49" l="1"/>
  <c r="K54" i="49"/>
  <c r="O54" i="49"/>
  <c r="N54" i="49"/>
  <c r="M54" i="49"/>
  <c r="L54" i="49"/>
  <c r="O40" i="49"/>
  <c r="N40" i="49"/>
  <c r="M40" i="49"/>
  <c r="L40" i="49"/>
  <c r="K40" i="49"/>
  <c r="L26" i="49"/>
  <c r="M26" i="49"/>
  <c r="N26" i="49"/>
  <c r="O26" i="49"/>
  <c r="J233" i="42"/>
  <c r="I233" i="42"/>
  <c r="H233" i="42"/>
  <c r="G233" i="42"/>
  <c r="F233" i="42"/>
  <c r="C15" i="63"/>
  <c r="C19" i="63"/>
  <c r="C18" i="63"/>
  <c r="C17" i="63"/>
  <c r="C16" i="63"/>
  <c r="C14" i="63"/>
  <c r="C13" i="63"/>
  <c r="C12" i="63"/>
  <c r="D278" i="49" l="1"/>
  <c r="F217" i="42" l="1" a="1"/>
  <c r="F217" i="42" s="1"/>
  <c r="G217" i="42" a="1"/>
  <c r="G217" i="42" s="1"/>
  <c r="I217" i="42" a="1"/>
  <c r="I217" i="42" s="1"/>
  <c r="J217" i="42" a="1"/>
  <c r="J217" i="42" s="1"/>
  <c r="F218" i="42" a="1"/>
  <c r="F218" i="42" s="1"/>
  <c r="G218" i="42" a="1"/>
  <c r="G218" i="42" s="1"/>
  <c r="H218" i="42" a="1"/>
  <c r="H218" i="42" s="1"/>
  <c r="I218" i="42" a="1"/>
  <c r="I218" i="42" s="1"/>
  <c r="J218" i="42" a="1"/>
  <c r="J218" i="42" s="1"/>
  <c r="F219" i="42" a="1"/>
  <c r="F219" i="42" s="1"/>
  <c r="G219" i="42" a="1"/>
  <c r="G219" i="42" s="1"/>
  <c r="H219" i="42" a="1"/>
  <c r="H219" i="42" s="1"/>
  <c r="I219" i="42" a="1"/>
  <c r="I219" i="42" s="1"/>
  <c r="J219" i="42" a="1"/>
  <c r="J219" i="42" s="1"/>
  <c r="F220" i="42" a="1"/>
  <c r="F220" i="42" s="1"/>
  <c r="G220" i="42" a="1"/>
  <c r="G220" i="42" s="1"/>
  <c r="H220" i="42" a="1"/>
  <c r="H220" i="42" s="1"/>
  <c r="I220" i="42" a="1"/>
  <c r="I220" i="42" s="1"/>
  <c r="J220" i="42" a="1"/>
  <c r="J220" i="42" s="1"/>
  <c r="F221" i="42" a="1"/>
  <c r="F221" i="42" s="1"/>
  <c r="G221" i="42" a="1"/>
  <c r="G221" i="42" s="1"/>
  <c r="H221" i="42" a="1"/>
  <c r="H221" i="42" s="1"/>
  <c r="I221" i="42" a="1"/>
  <c r="I221" i="42" s="1"/>
  <c r="J221" i="42" a="1"/>
  <c r="J221" i="42" s="1"/>
  <c r="F222" i="42" a="1"/>
  <c r="F222" i="42" s="1"/>
  <c r="G222" i="42" a="1"/>
  <c r="G222" i="42" s="1"/>
  <c r="H222" i="42" a="1"/>
  <c r="H222" i="42" s="1"/>
  <c r="I222" i="42" a="1"/>
  <c r="I222" i="42" s="1"/>
  <c r="J222" i="42" a="1"/>
  <c r="J222" i="42" s="1"/>
  <c r="F223" i="42" a="1"/>
  <c r="F223" i="42" s="1"/>
  <c r="G223" i="42" a="1"/>
  <c r="G223" i="42" s="1"/>
  <c r="H223" i="42" a="1"/>
  <c r="H223" i="42" s="1"/>
  <c r="I223" i="42" a="1"/>
  <c r="I223" i="42" s="1"/>
  <c r="J223" i="42" a="1"/>
  <c r="J223" i="42" s="1"/>
  <c r="F224" i="42" a="1"/>
  <c r="F224" i="42" s="1"/>
  <c r="G224" i="42" a="1"/>
  <c r="G224" i="42" s="1"/>
  <c r="H224" i="42" a="1"/>
  <c r="H224" i="42" s="1"/>
  <c r="I224" i="42" a="1"/>
  <c r="I224" i="42" s="1"/>
  <c r="J224" i="42" a="1"/>
  <c r="J224" i="42" s="1"/>
  <c r="F225" i="42" a="1"/>
  <c r="F225" i="42" s="1"/>
  <c r="G225" i="42" a="1"/>
  <c r="G225" i="42" s="1"/>
  <c r="H225" i="42" a="1"/>
  <c r="H225" i="42" s="1"/>
  <c r="I225" i="42" a="1"/>
  <c r="I225" i="42" s="1"/>
  <c r="J225" i="42" a="1"/>
  <c r="J225" i="42" s="1"/>
  <c r="G216" i="42" a="1"/>
  <c r="G216" i="42" s="1"/>
  <c r="H216" i="42" a="1"/>
  <c r="H216" i="42" s="1"/>
  <c r="I216" i="42" a="1"/>
  <c r="I216" i="42" s="1"/>
  <c r="F216" i="42" a="1"/>
  <c r="F216" i="42" s="1"/>
  <c r="F227" i="42" s="1"/>
  <c r="J213" i="42"/>
  <c r="I213" i="42"/>
  <c r="H213" i="42"/>
  <c r="G213" i="42"/>
  <c r="F213" i="42"/>
  <c r="K227" i="42" l="1"/>
  <c r="K228" i="42"/>
  <c r="K229" i="42"/>
  <c r="I227" i="42"/>
  <c r="G227" i="42"/>
  <c r="H227" i="42"/>
  <c r="J228" i="42"/>
  <c r="H228" i="42"/>
  <c r="G228" i="42"/>
  <c r="F229" i="42"/>
  <c r="J227" i="42"/>
  <c r="I228" i="42"/>
  <c r="J229" i="42"/>
  <c r="I229" i="42"/>
  <c r="F228" i="42"/>
  <c r="H229" i="42"/>
  <c r="G229" i="42"/>
  <c r="H196" i="42"/>
  <c r="L196" i="42"/>
  <c r="K196" i="42"/>
  <c r="J196" i="42"/>
  <c r="I196" i="42"/>
  <c r="C42" i="51" l="1"/>
  <c r="K70" i="51" a="1"/>
  <c r="K70" i="51" s="1"/>
  <c r="J70" i="51" a="1"/>
  <c r="J70" i="51" s="1"/>
  <c r="I70" i="51" a="1"/>
  <c r="I70" i="51" s="1"/>
  <c r="H70" i="51" a="1"/>
  <c r="H70" i="51" s="1"/>
  <c r="K69" i="51" a="1"/>
  <c r="K69" i="51" s="1"/>
  <c r="J69" i="51" a="1"/>
  <c r="J69" i="51" s="1"/>
  <c r="I69" i="51" a="1"/>
  <c r="I69" i="51" s="1"/>
  <c r="G71" i="51" a="1"/>
  <c r="G71" i="51" s="1"/>
  <c r="H69" i="51" l="1" a="1"/>
  <c r="H69" i="51" s="1"/>
  <c r="R34" i="51" a="1"/>
  <c r="R34" i="51" s="1"/>
  <c r="R35" i="51" a="1"/>
  <c r="R35" i="51" s="1"/>
  <c r="S34" i="51" a="1"/>
  <c r="S34" i="51" s="1"/>
  <c r="S35" i="51" a="1"/>
  <c r="S35" i="51" s="1"/>
  <c r="Q36" i="51" a="1"/>
  <c r="Q36" i="51" s="1"/>
  <c r="T34" i="51" a="1"/>
  <c r="T34" i="51" s="1"/>
  <c r="U34" i="51" a="1"/>
  <c r="U34" i="51" s="1"/>
  <c r="U35" i="51" a="1"/>
  <c r="U35" i="51" s="1"/>
  <c r="T35" i="51" a="1"/>
  <c r="T35" i="51" s="1"/>
  <c r="E167" i="42"/>
  <c r="C64" i="51"/>
  <c r="C65" i="44"/>
  <c r="H99" i="85" l="1" a="1"/>
  <c r="H99" i="85" s="1"/>
  <c r="H99" i="84" a="1"/>
  <c r="H99" i="84" s="1"/>
  <c r="F100" i="84" a="1"/>
  <c r="F100" i="84" s="1"/>
  <c r="F100" i="85" a="1"/>
  <c r="F100" i="85" s="1"/>
  <c r="D101" i="85" a="1"/>
  <c r="D101" i="85" s="1"/>
  <c r="D101" i="84" a="1"/>
  <c r="D101" i="84" s="1"/>
  <c r="F99" i="85" a="1"/>
  <c r="F99" i="85" s="1"/>
  <c r="F99" i="84" a="1"/>
  <c r="F99" i="84" s="1"/>
  <c r="G99" i="85" a="1"/>
  <c r="G99" i="85" s="1"/>
  <c r="G99" i="84" a="1"/>
  <c r="G99" i="84" s="1"/>
  <c r="E100" i="84" a="1"/>
  <c r="E100" i="84" s="1"/>
  <c r="E100" i="85" a="1"/>
  <c r="E100" i="85" s="1"/>
  <c r="G100" i="84" a="1"/>
  <c r="G100" i="84" s="1"/>
  <c r="G100" i="85" a="1"/>
  <c r="G100" i="85" s="1"/>
  <c r="E99" i="85" a="1"/>
  <c r="E99" i="85" s="1"/>
  <c r="E99" i="84" a="1"/>
  <c r="E99" i="84" s="1"/>
  <c r="H100" i="85" a="1"/>
  <c r="H100" i="85" s="1"/>
  <c r="H100" i="84" a="1"/>
  <c r="H100" i="84" s="1"/>
  <c r="U70" i="51" a="1"/>
  <c r="U70" i="51" s="1"/>
  <c r="R69" i="51" a="1"/>
  <c r="R69" i="51" s="1"/>
  <c r="U69" i="51" a="1"/>
  <c r="U69" i="51" s="1"/>
  <c r="R70" i="51" a="1"/>
  <c r="R70" i="51" s="1"/>
  <c r="T69" i="51" a="1"/>
  <c r="T69" i="51" s="1"/>
  <c r="Q71" i="51" a="1"/>
  <c r="Q71" i="51" s="1"/>
  <c r="S70" i="51" a="1"/>
  <c r="S70" i="51" s="1"/>
  <c r="T70" i="51" a="1"/>
  <c r="T70" i="51" s="1"/>
  <c r="S69" i="51" a="1"/>
  <c r="S69" i="51" s="1"/>
  <c r="C56" i="63"/>
  <c r="C55" i="63"/>
  <c r="C54" i="63"/>
  <c r="L56" i="63" l="1" a="1"/>
  <c r="L56" i="63" s="1"/>
  <c r="C53" i="51"/>
  <c r="D135" i="63"/>
  <c r="D5" i="63"/>
  <c r="B3" i="63"/>
  <c r="C2" i="63"/>
  <c r="B7" i="63" l="1"/>
  <c r="B50" i="63" s="1"/>
  <c r="E59" i="63"/>
  <c r="F59" i="63" s="1"/>
  <c r="E189" i="63"/>
  <c r="F189" i="63" s="1"/>
  <c r="D2" i="63"/>
  <c r="I56" i="63" a="1"/>
  <c r="I56" i="63" s="1"/>
  <c r="K56" i="63" a="1"/>
  <c r="K56" i="63" s="1"/>
  <c r="H56" i="63" a="1"/>
  <c r="H56" i="63" s="1"/>
  <c r="J56" i="63" a="1"/>
  <c r="J56" i="63" s="1"/>
  <c r="E2" i="63"/>
  <c r="B137" i="63" l="1"/>
  <c r="B180" i="63" s="1"/>
  <c r="E188" i="63"/>
  <c r="E58" i="63"/>
  <c r="F58" i="63" s="1"/>
  <c r="F188" i="63" l="1"/>
  <c r="K224" i="63" s="1" a="1"/>
  <c r="K224" i="63" s="1"/>
  <c r="K260" i="63" s="1"/>
  <c r="I184" i="42"/>
  <c r="J8" i="42"/>
  <c r="K8" i="42"/>
  <c r="H8" i="42"/>
  <c r="D309" i="49"/>
  <c r="E161" i="42"/>
  <c r="E162" i="42"/>
  <c r="E163" i="42"/>
  <c r="E164" i="42"/>
  <c r="E165" i="42"/>
  <c r="E166" i="42"/>
  <c r="E168" i="42"/>
  <c r="E169" i="42"/>
  <c r="E170" i="42"/>
  <c r="E171" i="42"/>
  <c r="E172" i="42"/>
  <c r="E173" i="42"/>
  <c r="E174" i="42"/>
  <c r="E175" i="42"/>
  <c r="E176" i="42"/>
  <c r="E177" i="42"/>
  <c r="E178" i="42"/>
  <c r="E179" i="42"/>
  <c r="M184" i="42"/>
  <c r="L184" i="42"/>
  <c r="K184" i="42"/>
  <c r="J184" i="42"/>
  <c r="L226" i="63" l="1" a="1"/>
  <c r="L226" i="63" s="1"/>
  <c r="L262" i="63" s="1"/>
  <c r="H223" i="63" a="1"/>
  <c r="H223" i="63" s="1"/>
  <c r="H259" i="63" s="1"/>
  <c r="H224" i="63" a="1"/>
  <c r="H224" i="63" s="1"/>
  <c r="H260" i="63" s="1"/>
  <c r="H221" i="63" a="1"/>
  <c r="H221" i="63" s="1"/>
  <c r="H257" i="63" s="1"/>
  <c r="H225" i="63" a="1"/>
  <c r="H225" i="63" s="1"/>
  <c r="H261" i="63" s="1"/>
  <c r="H226" i="63" a="1"/>
  <c r="H226" i="63" s="1"/>
  <c r="H262" i="63" s="1"/>
  <c r="H218" i="63" a="1"/>
  <c r="H218" i="63" s="1"/>
  <c r="H254" i="63" s="1"/>
  <c r="H219" i="63" a="1"/>
  <c r="H219" i="63" s="1"/>
  <c r="H255" i="63" s="1"/>
  <c r="H222" i="63" a="1"/>
  <c r="H222" i="63" s="1"/>
  <c r="H258" i="63" s="1"/>
  <c r="H220" i="63" a="1"/>
  <c r="H220" i="63" s="1"/>
  <c r="H256" i="63" s="1"/>
  <c r="I220" i="63" a="1"/>
  <c r="I220" i="63" s="1"/>
  <c r="I256" i="63" s="1"/>
  <c r="I225" i="63" a="1"/>
  <c r="I225" i="63" s="1"/>
  <c r="I261" i="63" s="1"/>
  <c r="J223" i="63" a="1"/>
  <c r="J223" i="63" s="1"/>
  <c r="J259" i="63" s="1"/>
  <c r="K216" i="63" a="1"/>
  <c r="K216" i="63" s="1"/>
  <c r="K252" i="63" s="1"/>
  <c r="I217" i="63" a="1"/>
  <c r="I217" i="63" s="1"/>
  <c r="I253" i="63" s="1"/>
  <c r="L220" i="63" a="1"/>
  <c r="L220" i="63" s="1"/>
  <c r="L256" i="63" s="1"/>
  <c r="J217" i="63" a="1"/>
  <c r="J217" i="63" s="1"/>
  <c r="J253" i="63" s="1"/>
  <c r="I224" i="63" a="1"/>
  <c r="I224" i="63" s="1"/>
  <c r="I260" i="63" s="1"/>
  <c r="I216" i="63" a="1"/>
  <c r="I216" i="63" s="1"/>
  <c r="I252" i="63" s="1"/>
  <c r="L217" i="63" a="1"/>
  <c r="L217" i="63" s="1"/>
  <c r="L253" i="63" s="1"/>
  <c r="J226" i="63" a="1"/>
  <c r="J226" i="63" s="1"/>
  <c r="J262" i="63" s="1"/>
  <c r="J216" i="63" a="1"/>
  <c r="J216" i="63" s="1"/>
  <c r="J252" i="63" s="1"/>
  <c r="L216" i="63" a="1"/>
  <c r="L216" i="63" s="1"/>
  <c r="L252" i="63" s="1"/>
  <c r="L224" i="63" a="1"/>
  <c r="L224" i="63" s="1"/>
  <c r="L260" i="63" s="1"/>
  <c r="K220" i="63" a="1"/>
  <c r="K220" i="63" s="1"/>
  <c r="K256" i="63" s="1"/>
  <c r="I223" i="63" a="1"/>
  <c r="I223" i="63" s="1"/>
  <c r="I259" i="63" s="1"/>
  <c r="K217" i="63" a="1"/>
  <c r="K217" i="63" s="1"/>
  <c r="K253" i="63" s="1"/>
  <c r="I226" i="63" a="1"/>
  <c r="I226" i="63" s="1"/>
  <c r="I262" i="63" s="1"/>
  <c r="L223" i="63" a="1"/>
  <c r="L223" i="63" s="1"/>
  <c r="L259" i="63" s="1"/>
  <c r="K226" i="63" a="1"/>
  <c r="K226" i="63" s="1"/>
  <c r="K262" i="63" s="1"/>
  <c r="L225" i="63" a="1"/>
  <c r="L225" i="63" s="1"/>
  <c r="L261" i="63" s="1"/>
  <c r="K225" i="63" a="1"/>
  <c r="K225" i="63" s="1"/>
  <c r="K261" i="63" s="1"/>
  <c r="F190" i="63"/>
  <c r="J224" i="63" a="1"/>
  <c r="J224" i="63" s="1"/>
  <c r="J260" i="63" s="1"/>
  <c r="K223" i="63" a="1"/>
  <c r="K223" i="63" s="1"/>
  <c r="K259" i="63" s="1"/>
  <c r="J225" i="63" a="1"/>
  <c r="J225" i="63" s="1"/>
  <c r="J261" i="63" s="1"/>
  <c r="J220" i="63" a="1"/>
  <c r="J220" i="63" s="1"/>
  <c r="J256" i="63" s="1"/>
  <c r="D150" i="49"/>
  <c r="D219" i="49"/>
  <c r="D205" i="49"/>
  <c r="D190" i="49"/>
  <c r="D170" i="49"/>
  <c r="D160" i="49"/>
  <c r="D141" i="49"/>
  <c r="D112" i="49"/>
  <c r="D46" i="49"/>
  <c r="D18" i="49"/>
  <c r="D222" i="49"/>
  <c r="D208" i="49"/>
  <c r="D193" i="49"/>
  <c r="D179" i="49"/>
  <c r="D163" i="49"/>
  <c r="D149" i="49"/>
  <c r="D130" i="49"/>
  <c r="D49" i="49"/>
  <c r="D35" i="49"/>
  <c r="D21" i="49"/>
  <c r="D115" i="49"/>
  <c r="D34" i="49"/>
  <c r="D47" i="49"/>
  <c r="D33" i="49"/>
  <c r="D20" i="49"/>
  <c r="D125" i="49"/>
  <c r="D32" i="49"/>
  <c r="D221" i="49"/>
  <c r="D207" i="49"/>
  <c r="D192" i="49"/>
  <c r="D178" i="49"/>
  <c r="D162" i="49"/>
  <c r="D148" i="49"/>
  <c r="D127" i="49"/>
  <c r="D48" i="49"/>
  <c r="D19" i="49"/>
  <c r="D220" i="49"/>
  <c r="D206" i="49"/>
  <c r="D191" i="49"/>
  <c r="D177" i="49"/>
  <c r="D161" i="49"/>
  <c r="D147" i="49"/>
  <c r="D126" i="49"/>
  <c r="D111" i="49"/>
  <c r="D218" i="49"/>
  <c r="D185" i="49"/>
  <c r="D155" i="49"/>
  <c r="D110" i="49"/>
  <c r="D41" i="49"/>
  <c r="D227" i="49"/>
  <c r="D213" i="49"/>
  <c r="D196" i="49"/>
  <c r="D182" i="49"/>
  <c r="D166" i="49"/>
  <c r="D152" i="49"/>
  <c r="D137" i="49"/>
  <c r="D123" i="49"/>
  <c r="D108" i="49"/>
  <c r="D53" i="49"/>
  <c r="D39" i="49"/>
  <c r="D25" i="49"/>
  <c r="D224" i="49"/>
  <c r="D210" i="49"/>
  <c r="D195" i="49"/>
  <c r="D181" i="49"/>
  <c r="D151" i="49"/>
  <c r="D136" i="49"/>
  <c r="D122" i="49"/>
  <c r="D109" i="49"/>
  <c r="D51" i="49"/>
  <c r="D37" i="49"/>
  <c r="D22" i="49"/>
  <c r="D223" i="49"/>
  <c r="D209" i="49"/>
  <c r="D194" i="49"/>
  <c r="D180" i="49"/>
  <c r="D164" i="49"/>
  <c r="D135" i="49"/>
  <c r="D121" i="49"/>
  <c r="D107" i="49"/>
  <c r="D50" i="49"/>
  <c r="D36" i="49"/>
  <c r="D23" i="49"/>
  <c r="D120" i="49"/>
  <c r="D199" i="49"/>
  <c r="D167" i="49"/>
  <c r="D138" i="49"/>
  <c r="D124" i="49"/>
  <c r="D55" i="49"/>
  <c r="D27" i="49"/>
  <c r="D165" i="49"/>
  <c r="D336" i="49"/>
  <c r="D446" i="49"/>
  <c r="D405" i="49"/>
  <c r="D364" i="49"/>
  <c r="D335" i="49"/>
  <c r="D249" i="49"/>
  <c r="D389" i="49"/>
  <c r="D274" i="49"/>
  <c r="D337" i="49"/>
  <c r="D406" i="49"/>
  <c r="D435" i="49"/>
  <c r="D391" i="49"/>
  <c r="D363" i="49"/>
  <c r="D276" i="49"/>
  <c r="D248" i="49"/>
  <c r="D350" i="49"/>
  <c r="D376" i="49"/>
  <c r="D447" i="49"/>
  <c r="D250" i="49"/>
  <c r="D434" i="49"/>
  <c r="D390" i="49"/>
  <c r="D351" i="49"/>
  <c r="D275" i="49"/>
  <c r="D433" i="49"/>
  <c r="D448" i="49"/>
  <c r="D407" i="49"/>
  <c r="D261" i="49"/>
  <c r="D375" i="49"/>
  <c r="D420" i="49"/>
  <c r="D388" i="49"/>
  <c r="D349" i="49"/>
  <c r="D263" i="49"/>
  <c r="D419" i="49"/>
  <c r="D418" i="49"/>
  <c r="D377" i="49"/>
  <c r="D348" i="49"/>
  <c r="D262" i="49"/>
  <c r="D269" i="49"/>
  <c r="D252" i="49"/>
  <c r="D455" i="49"/>
  <c r="D436" i="49"/>
  <c r="D409" i="49"/>
  <c r="D380" i="49"/>
  <c r="D354" i="49"/>
  <c r="D268" i="49"/>
  <c r="D251" i="49"/>
  <c r="D452" i="49"/>
  <c r="D427" i="49"/>
  <c r="D408" i="49"/>
  <c r="D379" i="49"/>
  <c r="D353" i="49"/>
  <c r="D266" i="49"/>
  <c r="D451" i="49"/>
  <c r="D424" i="49"/>
  <c r="D398" i="49"/>
  <c r="D378" i="49"/>
  <c r="D352" i="49"/>
  <c r="D282" i="49"/>
  <c r="D265" i="49"/>
  <c r="D450" i="49"/>
  <c r="D423" i="49"/>
  <c r="D395" i="49"/>
  <c r="D369" i="49"/>
  <c r="D343" i="49"/>
  <c r="D281" i="49"/>
  <c r="D264" i="49"/>
  <c r="D449" i="49"/>
  <c r="D422" i="49"/>
  <c r="D394" i="49"/>
  <c r="D366" i="49"/>
  <c r="D340" i="49"/>
  <c r="D279" i="49"/>
  <c r="D256" i="49"/>
  <c r="D441" i="49"/>
  <c r="D421" i="49"/>
  <c r="D393" i="49"/>
  <c r="D365" i="49"/>
  <c r="D339" i="49"/>
  <c r="D255" i="49"/>
  <c r="D438" i="49"/>
  <c r="D413" i="49"/>
  <c r="D392" i="49"/>
  <c r="D358" i="49"/>
  <c r="D338" i="49"/>
  <c r="D277" i="49"/>
  <c r="D253" i="49"/>
  <c r="D437" i="49"/>
  <c r="D410" i="49"/>
  <c r="D383" i="49"/>
  <c r="D355" i="49"/>
  <c r="D36" i="50" l="1" a="1"/>
  <c r="D36" i="50" s="1"/>
  <c r="C36" i="50" a="1"/>
  <c r="C36" i="50" s="1"/>
  <c r="G2" i="50"/>
  <c r="H2" i="50"/>
  <c r="F2" i="51"/>
  <c r="G2" i="51"/>
  <c r="C308" i="44" l="1"/>
  <c r="C300" i="44"/>
  <c r="C291" i="44"/>
  <c r="E13" i="48"/>
  <c r="C283" i="44"/>
  <c r="C47" i="44"/>
  <c r="C39" i="44"/>
  <c r="C30" i="44"/>
  <c r="C22" i="44"/>
  <c r="P8" i="42" l="1"/>
  <c r="N8" i="42"/>
  <c r="L8" i="42"/>
  <c r="O8" i="42"/>
  <c r="M8" i="42"/>
  <c r="I8" i="42"/>
  <c r="K140" i="42"/>
  <c r="J140" i="42"/>
  <c r="I140" i="42"/>
  <c r="H193" i="44" l="1" a="1"/>
  <c r="H193" i="44" s="1"/>
  <c r="I186" i="44" a="1"/>
  <c r="I186" i="44" s="1"/>
  <c r="J186" i="44" a="1"/>
  <c r="J186" i="44" s="1"/>
  <c r="K193" i="44" a="1"/>
  <c r="K193" i="44" s="1"/>
  <c r="G193" i="44" a="1"/>
  <c r="G193" i="44" s="1"/>
  <c r="J193" i="44" a="1"/>
  <c r="J193" i="44" s="1"/>
  <c r="K190" i="44" a="1"/>
  <c r="K190" i="44" s="1"/>
  <c r="G190" i="44" a="1"/>
  <c r="G190" i="44" s="1"/>
  <c r="J190" i="44" a="1"/>
  <c r="J190" i="44" s="1"/>
  <c r="I193" i="44" a="1"/>
  <c r="I193" i="44" s="1"/>
  <c r="G186" i="44" a="1"/>
  <c r="G186" i="44" s="1"/>
  <c r="K186" i="44" a="1"/>
  <c r="K186" i="44" s="1"/>
  <c r="H190" i="44" a="1"/>
  <c r="H190" i="44" s="1"/>
  <c r="H186" i="44" a="1"/>
  <c r="H186" i="44" s="1"/>
  <c r="I190" i="44" a="1"/>
  <c r="I190" i="44" s="1"/>
  <c r="G490" i="44" a="1"/>
  <c r="G490" i="44" s="1"/>
  <c r="G255" i="44" a="1"/>
  <c r="G255" i="44" s="1"/>
  <c r="K468" i="44" a="1"/>
  <c r="K468" i="44" s="1"/>
  <c r="K286" i="44" s="1"/>
  <c r="J466" i="44" a="1"/>
  <c r="J466" i="44" s="1"/>
  <c r="K470" i="44" a="1"/>
  <c r="K470" i="44" s="1"/>
  <c r="J467" i="44" a="1"/>
  <c r="J467" i="44" s="1"/>
  <c r="I424" i="44" a="1"/>
  <c r="I424" i="44" s="1"/>
  <c r="H466" i="44" a="1"/>
  <c r="H466" i="44" s="1"/>
  <c r="J470" i="44" a="1"/>
  <c r="J470" i="44" s="1"/>
  <c r="J469" i="44" a="1"/>
  <c r="J469" i="44" s="1"/>
  <c r="J303" i="44" s="1"/>
  <c r="I419" i="44" a="1"/>
  <c r="I419" i="44" s="1"/>
  <c r="H468" i="44" a="1"/>
  <c r="H468" i="44" s="1"/>
  <c r="H286" i="44" s="1"/>
  <c r="H467" i="44" a="1"/>
  <c r="H467" i="44" s="1"/>
  <c r="K469" i="44" a="1"/>
  <c r="K469" i="44" s="1"/>
  <c r="K303" i="44" s="1"/>
  <c r="I421" i="44" a="1"/>
  <c r="I421" i="44" s="1"/>
  <c r="H470" i="44" a="1"/>
  <c r="H470" i="44" s="1"/>
  <c r="H469" i="44" a="1"/>
  <c r="H469" i="44" s="1"/>
  <c r="H303" i="44" s="1"/>
  <c r="I466" i="44" a="1"/>
  <c r="I466" i="44" s="1"/>
  <c r="I423" i="44" a="1"/>
  <c r="I423" i="44" s="1"/>
  <c r="I470" i="44" a="1"/>
  <c r="I470" i="44" s="1"/>
  <c r="I467" i="44" a="1"/>
  <c r="I467" i="44" s="1"/>
  <c r="J468" i="44" a="1"/>
  <c r="J468" i="44" s="1"/>
  <c r="J286" i="44" s="1"/>
  <c r="I420" i="44" a="1"/>
  <c r="I420" i="44" s="1"/>
  <c r="K466" i="44" a="1"/>
  <c r="K466" i="44" s="1"/>
  <c r="I468" i="44" a="1"/>
  <c r="I468" i="44" s="1"/>
  <c r="I286" i="44" s="1"/>
  <c r="I469" i="44" a="1"/>
  <c r="I469" i="44" s="1"/>
  <c r="I303" i="44" s="1"/>
  <c r="I422" i="44" a="1"/>
  <c r="I422" i="44" s="1"/>
  <c r="K467" i="44" a="1"/>
  <c r="K467" i="44" s="1"/>
  <c r="D35" i="63"/>
  <c r="E35" i="63" s="1" a="1"/>
  <c r="E35" i="63" s="1"/>
  <c r="D22" i="63"/>
  <c r="E22" i="63" s="1"/>
  <c r="D21" i="63"/>
  <c r="E21" i="63" s="1"/>
  <c r="D165" i="63"/>
  <c r="E165" i="63" s="1" a="1"/>
  <c r="E165" i="63" s="1"/>
  <c r="D152" i="63"/>
  <c r="E152" i="63" s="1"/>
  <c r="H504" i="44" a="1"/>
  <c r="H504" i="44" s="1"/>
  <c r="H484" i="44" a="1"/>
  <c r="H484" i="44" s="1"/>
  <c r="H396" i="44" s="1"/>
  <c r="J429" i="44" a="1"/>
  <c r="J429" i="44" s="1"/>
  <c r="J236" i="44" a="1"/>
  <c r="J236" i="44" s="1"/>
  <c r="F210" i="49"/>
  <c r="K517" i="44" a="1"/>
  <c r="K517" i="44" s="1"/>
  <c r="J477" i="44" a="1"/>
  <c r="J477" i="44" s="1"/>
  <c r="J344" i="44" s="1"/>
  <c r="G469" i="44" a="1"/>
  <c r="G469" i="44" s="1"/>
  <c r="G303" i="44" s="1"/>
  <c r="I243" i="44" a="1"/>
  <c r="I243" i="44" s="1"/>
  <c r="F165" i="49"/>
  <c r="O165" i="49" s="1" a="1"/>
  <c r="O165" i="49" s="1"/>
  <c r="J504" i="44" a="1"/>
  <c r="J504" i="44" s="1"/>
  <c r="H481" i="44" a="1"/>
  <c r="H481" i="44" s="1"/>
  <c r="J451" i="44" a="1"/>
  <c r="J451" i="44" s="1"/>
  <c r="F136" i="49"/>
  <c r="J497" i="44" a="1"/>
  <c r="J497" i="44" s="1"/>
  <c r="J243" i="44" a="1"/>
  <c r="J243" i="44" s="1"/>
  <c r="K434" i="44" a="1"/>
  <c r="K434" i="44" s="1"/>
  <c r="K516" i="44" a="1"/>
  <c r="K516" i="44" s="1"/>
  <c r="H478" i="44" a="1"/>
  <c r="H478" i="44" s="1"/>
  <c r="H351" i="44" s="1"/>
  <c r="K243" i="44" a="1"/>
  <c r="K243" i="44" s="1"/>
  <c r="G467" i="44" a="1"/>
  <c r="G467" i="44" s="1"/>
  <c r="D85" i="49"/>
  <c r="F85" i="49" s="1"/>
  <c r="J476" i="44" a="1"/>
  <c r="J476" i="44" s="1"/>
  <c r="O93" i="83" s="1"/>
  <c r="J235" i="44" a="1"/>
  <c r="J235" i="44" s="1"/>
  <c r="K478" i="44" a="1"/>
  <c r="K478" i="44" s="1"/>
  <c r="K351" i="44" s="1"/>
  <c r="F160" i="49"/>
  <c r="O160" i="49" s="1" a="1"/>
  <c r="O160" i="49" s="1"/>
  <c r="G497" i="44" a="1"/>
  <c r="G497" i="44" s="1"/>
  <c r="I244" i="44" a="1"/>
  <c r="I244" i="44" s="1"/>
  <c r="F21" i="49"/>
  <c r="F51" i="49"/>
  <c r="F164" i="49"/>
  <c r="O164" i="49" s="1" a="1"/>
  <c r="O164" i="49" s="1"/>
  <c r="F147" i="49"/>
  <c r="F53" i="49"/>
  <c r="F137" i="49"/>
  <c r="I216" i="44" a="1"/>
  <c r="I216" i="44" s="1"/>
  <c r="I207" i="44" a="1"/>
  <c r="I207" i="44" s="1"/>
  <c r="J216" i="44" a="1"/>
  <c r="J216" i="44" s="1"/>
  <c r="J207" i="44" a="1"/>
  <c r="J207" i="44" s="1"/>
  <c r="K214" i="44" a="1"/>
  <c r="K214" i="44" s="1"/>
  <c r="H92" i="83" s="1"/>
  <c r="I205" i="44" a="1"/>
  <c r="I205" i="44" s="1"/>
  <c r="H217" i="44" a="1"/>
  <c r="H217" i="44" s="1"/>
  <c r="H208" i="44" a="1"/>
  <c r="H208" i="44" s="1"/>
  <c r="H221" i="44" a="1"/>
  <c r="H221" i="44" s="1"/>
  <c r="I173" i="44" a="1"/>
  <c r="I173" i="44" s="1"/>
  <c r="I223" i="44" a="1"/>
  <c r="I223" i="44" s="1"/>
  <c r="I230" i="44" a="1"/>
  <c r="I230" i="44" s="1"/>
  <c r="H214" i="44" a="1"/>
  <c r="H214" i="44" s="1"/>
  <c r="E92" i="83" s="1"/>
  <c r="F213" i="49"/>
  <c r="K496" i="44" a="1"/>
  <c r="K496" i="44" s="1"/>
  <c r="G478" i="44" a="1"/>
  <c r="G478" i="44" s="1"/>
  <c r="G351" i="44" s="1"/>
  <c r="K255" i="44" a="1"/>
  <c r="K255" i="44" s="1"/>
  <c r="I428" i="44" a="1"/>
  <c r="I428" i="44" s="1"/>
  <c r="F190" i="49"/>
  <c r="O190" i="49" s="1" a="1"/>
  <c r="O190" i="49" s="1"/>
  <c r="H511" i="44" a="1"/>
  <c r="H511" i="44" s="1"/>
  <c r="H479" i="44" a="1"/>
  <c r="H479" i="44" s="1"/>
  <c r="H358" i="44" s="1"/>
  <c r="I451" i="44" a="1"/>
  <c r="I451" i="44" s="1"/>
  <c r="F148" i="49"/>
  <c r="G505" i="44" a="1"/>
  <c r="G505" i="44" s="1"/>
  <c r="K482" i="44" a="1"/>
  <c r="K482" i="44" s="1"/>
  <c r="K429" i="44" a="1"/>
  <c r="K429" i="44" s="1"/>
  <c r="D98" i="49"/>
  <c r="K490" i="44" a="1"/>
  <c r="K490" i="44" s="1"/>
  <c r="H235" i="44" a="1"/>
  <c r="H235" i="44" s="1"/>
  <c r="F207" i="49"/>
  <c r="H510" i="44" a="1"/>
  <c r="H510" i="44" s="1"/>
  <c r="K479" i="44" a="1"/>
  <c r="K479" i="44" s="1"/>
  <c r="K358" i="44" s="1"/>
  <c r="I447" i="44" a="1"/>
  <c r="I447" i="44" s="1"/>
  <c r="I235" i="44" a="1"/>
  <c r="I235" i="44" s="1"/>
  <c r="H249" i="44" a="1"/>
  <c r="H249" i="44" s="1"/>
  <c r="F33" i="49"/>
  <c r="I478" i="44" a="1"/>
  <c r="I478" i="44" s="1"/>
  <c r="I351" i="44" s="1"/>
  <c r="J447" i="44" a="1"/>
  <c r="J447" i="44" s="1"/>
  <c r="K250" i="44" a="1"/>
  <c r="K250" i="44" s="1"/>
  <c r="H482" i="44" a="1"/>
  <c r="H482" i="44" s="1"/>
  <c r="F109" i="49"/>
  <c r="J491" i="44" a="1"/>
  <c r="J491" i="44" s="1"/>
  <c r="D304" i="49"/>
  <c r="E304" i="49" s="1"/>
  <c r="F23" i="49"/>
  <c r="F55" i="49"/>
  <c r="F199" i="49"/>
  <c r="F122" i="49"/>
  <c r="O122" i="49" s="1" a="1"/>
  <c r="O122" i="49" s="1"/>
  <c r="F32" i="49"/>
  <c r="F155" i="49"/>
  <c r="I218" i="44" a="1"/>
  <c r="I218" i="44" s="1"/>
  <c r="K209" i="44" a="1"/>
  <c r="K209" i="44" s="1"/>
  <c r="J218" i="44" a="1"/>
  <c r="J218" i="44" s="1"/>
  <c r="H206" i="44" a="1"/>
  <c r="H206" i="44" s="1"/>
  <c r="K216" i="44" a="1"/>
  <c r="K216" i="44" s="1"/>
  <c r="K207" i="44" a="1"/>
  <c r="K207" i="44" s="1"/>
  <c r="H219" i="44" a="1"/>
  <c r="H219" i="44" s="1"/>
  <c r="H173" i="44" a="1"/>
  <c r="H173" i="44" s="1"/>
  <c r="H223" i="44" a="1"/>
  <c r="H223" i="44" s="1"/>
  <c r="K168" i="44" a="1"/>
  <c r="K168" i="44" s="1"/>
  <c r="G218" i="44" a="1"/>
  <c r="G218" i="44" s="1"/>
  <c r="K213" i="44" a="1"/>
  <c r="K213" i="44" s="1"/>
  <c r="H91" i="83" s="1"/>
  <c r="H216" i="44" a="1"/>
  <c r="H216" i="44" s="1"/>
  <c r="K206" i="44" a="1"/>
  <c r="K206" i="44" s="1"/>
  <c r="F192" i="49"/>
  <c r="H490" i="44" a="1"/>
  <c r="H490" i="44" s="1"/>
  <c r="I249" i="44" a="1"/>
  <c r="I249" i="44" s="1"/>
  <c r="K249" i="44" a="1"/>
  <c r="K249" i="44" s="1"/>
  <c r="F166" i="49"/>
  <c r="O166" i="49" s="1" a="1"/>
  <c r="O166" i="49" s="1"/>
  <c r="I504" i="44" a="1"/>
  <c r="I504" i="44" s="1"/>
  <c r="J482" i="44" a="1"/>
  <c r="J482" i="44" s="1"/>
  <c r="G447" i="44" a="1"/>
  <c r="G447" i="44" s="1"/>
  <c r="J454" i="44" a="1"/>
  <c r="J454" i="44" s="1"/>
  <c r="D99" i="49"/>
  <c r="I497" i="44" a="1"/>
  <c r="I497" i="44" s="1"/>
  <c r="J484" i="44" a="1"/>
  <c r="J484" i="44" s="1"/>
  <c r="J396" i="44" s="1"/>
  <c r="G243" i="44" a="1"/>
  <c r="G243" i="44" s="1"/>
  <c r="D87" i="49"/>
  <c r="I474" i="44" a="1"/>
  <c r="I474" i="44" s="1"/>
  <c r="N91" i="83" s="1"/>
  <c r="H447" i="44" a="1"/>
  <c r="H447" i="44" s="1"/>
  <c r="G236" i="44" a="1"/>
  <c r="G236" i="44" s="1"/>
  <c r="F179" i="49"/>
  <c r="K504" i="44" a="1"/>
  <c r="K504" i="44" s="1"/>
  <c r="J481" i="44" a="1"/>
  <c r="J481" i="44" s="1"/>
  <c r="K451" i="44" a="1"/>
  <c r="K451" i="44" s="1"/>
  <c r="G235" i="44" a="1"/>
  <c r="G235" i="44" s="1"/>
  <c r="F135" i="49"/>
  <c r="O135" i="49" s="1" a="1"/>
  <c r="O135" i="49" s="1"/>
  <c r="I510" i="44" a="1"/>
  <c r="I510" i="44" s="1"/>
  <c r="H480" i="44" a="1"/>
  <c r="H480" i="44" s="1"/>
  <c r="H454" i="44" a="1"/>
  <c r="H454" i="44" s="1"/>
  <c r="K235" i="44" a="1"/>
  <c r="K235" i="44" s="1"/>
  <c r="K447" i="44" a="1"/>
  <c r="K447" i="44" s="1"/>
  <c r="D95" i="49"/>
  <c r="K476" i="44" a="1"/>
  <c r="K476" i="44" s="1"/>
  <c r="P93" i="83" s="1"/>
  <c r="G466" i="44" a="1"/>
  <c r="G466" i="44" s="1"/>
  <c r="F170" i="49"/>
  <c r="F37" i="49"/>
  <c r="F222" i="49"/>
  <c r="O222" i="49" s="1" a="1"/>
  <c r="O222" i="49" s="1"/>
  <c r="F112" i="49"/>
  <c r="F39" i="49"/>
  <c r="F151" i="49"/>
  <c r="F185" i="49"/>
  <c r="I220" i="44" a="1"/>
  <c r="I220" i="44" s="1"/>
  <c r="G207" i="44" a="1"/>
  <c r="G207" i="44" s="1"/>
  <c r="J220" i="44" a="1"/>
  <c r="J220" i="44" s="1"/>
  <c r="G208" i="44" a="1"/>
  <c r="G208" i="44" s="1"/>
  <c r="K218" i="44" a="1"/>
  <c r="K218" i="44" s="1"/>
  <c r="H207" i="44" a="1"/>
  <c r="H207" i="44" s="1"/>
  <c r="K222" i="44" a="1"/>
  <c r="K222" i="44" s="1"/>
  <c r="J168" i="44" a="1"/>
  <c r="J168" i="44" s="1"/>
  <c r="G217" i="44" a="1"/>
  <c r="G217" i="44" s="1"/>
  <c r="H230" i="44" a="1"/>
  <c r="H230" i="44" s="1"/>
  <c r="K215" i="44" a="1"/>
  <c r="K215" i="44" s="1"/>
  <c r="H93" i="83" s="1"/>
  <c r="J206" i="44" a="1"/>
  <c r="J206" i="44" s="1"/>
  <c r="H218" i="44" a="1"/>
  <c r="H218" i="44" s="1"/>
  <c r="J209" i="44" a="1"/>
  <c r="J209" i="44" s="1"/>
  <c r="F278" i="49"/>
  <c r="D90" i="49"/>
  <c r="G491" i="44" a="1"/>
  <c r="G491" i="44" s="1"/>
  <c r="G249" i="44" a="1"/>
  <c r="G249" i="44" s="1"/>
  <c r="K236" i="44" a="1"/>
  <c r="K236" i="44" s="1"/>
  <c r="F150" i="49"/>
  <c r="K505" i="44" a="1"/>
  <c r="K505" i="44" s="1"/>
  <c r="I484" i="44" a="1"/>
  <c r="I484" i="44" s="1"/>
  <c r="I396" i="44" s="1"/>
  <c r="H256" i="44" a="1"/>
  <c r="H256" i="44" s="1"/>
  <c r="H236" i="44" a="1"/>
  <c r="H236" i="44" s="1"/>
  <c r="D88" i="49"/>
  <c r="F88" i="49" s="1"/>
  <c r="J490" i="44" a="1"/>
  <c r="J490" i="44" s="1"/>
  <c r="G480" i="44" a="1"/>
  <c r="G480" i="44" s="1"/>
  <c r="F47" i="49"/>
  <c r="H476" i="44" a="1"/>
  <c r="H476" i="44" s="1"/>
  <c r="M93" i="83" s="1"/>
  <c r="G454" i="44" a="1"/>
  <c r="G454" i="44" s="1"/>
  <c r="F108" i="49"/>
  <c r="F163" i="49"/>
  <c r="H496" i="44" a="1"/>
  <c r="H496" i="44" s="1"/>
  <c r="H483" i="44" a="1"/>
  <c r="H483" i="44" s="1"/>
  <c r="H389" i="44" s="1"/>
  <c r="H434" i="44" a="1"/>
  <c r="H434" i="44" s="1"/>
  <c r="F124" i="49"/>
  <c r="O124" i="49" s="1" a="1"/>
  <c r="O124" i="49" s="1"/>
  <c r="F206" i="49"/>
  <c r="K511" i="44" a="1"/>
  <c r="K511" i="44" s="1"/>
  <c r="K481" i="44" a="1"/>
  <c r="K481" i="44" s="1"/>
  <c r="I434" i="44" a="1"/>
  <c r="I434" i="44" s="1"/>
  <c r="F219" i="49"/>
  <c r="O219" i="49" s="1" a="1"/>
  <c r="O219" i="49" s="1"/>
  <c r="I429" i="44" a="1"/>
  <c r="I429" i="44" s="1"/>
  <c r="H517" i="44" a="1"/>
  <c r="H517" i="44" s="1"/>
  <c r="J478" i="44" a="1"/>
  <c r="J478" i="44" s="1"/>
  <c r="J351" i="44" s="1"/>
  <c r="I454" i="44" a="1"/>
  <c r="I454" i="44" s="1"/>
  <c r="H477" i="44" a="1"/>
  <c r="H477" i="44" s="1"/>
  <c r="H344" i="44" s="1"/>
  <c r="F41" i="49"/>
  <c r="F138" i="49"/>
  <c r="F111" i="49"/>
  <c r="F18" i="49"/>
  <c r="K18" i="49" s="1"/>
  <c r="F141" i="49"/>
  <c r="F218" i="49"/>
  <c r="O218" i="49" s="1" a="1"/>
  <c r="O218" i="49" s="1"/>
  <c r="H222" i="44" a="1"/>
  <c r="H222" i="44" s="1"/>
  <c r="G168" i="44" a="1"/>
  <c r="G168" i="44" s="1"/>
  <c r="I222" i="44" a="1"/>
  <c r="I222" i="44" s="1"/>
  <c r="H168" i="44" a="1"/>
  <c r="H168" i="44" s="1"/>
  <c r="K220" i="44" a="1"/>
  <c r="K220" i="44" s="1"/>
  <c r="G209" i="44" a="1"/>
  <c r="G209" i="44" s="1"/>
  <c r="G216" i="44" a="1"/>
  <c r="G216" i="44" s="1"/>
  <c r="K229" i="44" a="1"/>
  <c r="K229" i="44" s="1"/>
  <c r="J213" i="44" a="1"/>
  <c r="J213" i="44" s="1"/>
  <c r="G91" i="83" s="1"/>
  <c r="K217" i="44" a="1"/>
  <c r="K217" i="44" s="1"/>
  <c r="I209" i="44" a="1"/>
  <c r="I209" i="44" s="1"/>
  <c r="H220" i="44" a="1"/>
  <c r="H220" i="44" s="1"/>
  <c r="G206" i="44" a="1"/>
  <c r="G206" i="44" s="1"/>
  <c r="D77" i="49"/>
  <c r="E77" i="49" s="1"/>
  <c r="I475" i="44" a="1"/>
  <c r="I475" i="44" s="1"/>
  <c r="N92" i="83" s="1"/>
  <c r="G468" i="44" a="1"/>
  <c r="G468" i="44" s="1"/>
  <c r="G286" i="44" s="1"/>
  <c r="K244" i="44" a="1"/>
  <c r="K244" i="44" s="1"/>
  <c r="D100" i="49"/>
  <c r="H497" i="44" a="1"/>
  <c r="H497" i="44" s="1"/>
  <c r="G479" i="44" a="1"/>
  <c r="G479" i="44" s="1"/>
  <c r="G358" i="44" s="1"/>
  <c r="J249" i="44" a="1"/>
  <c r="J249" i="44" s="1"/>
  <c r="F121" i="49"/>
  <c r="O121" i="49" s="1" a="1"/>
  <c r="O121" i="49" s="1"/>
  <c r="F48" i="49"/>
  <c r="H474" i="44" a="1"/>
  <c r="H474" i="44" s="1"/>
  <c r="M91" i="83" s="1"/>
  <c r="J244" i="44" a="1"/>
  <c r="J244" i="44" s="1"/>
  <c r="J516" i="44" a="1"/>
  <c r="J516" i="44" s="1"/>
  <c r="J479" i="44" a="1"/>
  <c r="J479" i="44" s="1"/>
  <c r="J358" i="44" s="1"/>
  <c r="J428" i="44" a="1"/>
  <c r="J428" i="44" s="1"/>
  <c r="F20" i="49"/>
  <c r="F130" i="49"/>
  <c r="K497" i="44" a="1"/>
  <c r="K497" i="44" s="1"/>
  <c r="G474" i="44" a="1"/>
  <c r="G474" i="44" s="1"/>
  <c r="L91" i="83" s="1"/>
  <c r="K428" i="44" a="1"/>
  <c r="K428" i="44" s="1"/>
  <c r="F152" i="49"/>
  <c r="F178" i="49"/>
  <c r="H505" i="44" a="1"/>
  <c r="H505" i="44" s="1"/>
  <c r="I483" i="44" a="1"/>
  <c r="I483" i="44" s="1"/>
  <c r="I389" i="44" s="1"/>
  <c r="H255" i="44" a="1"/>
  <c r="H255" i="44" s="1"/>
  <c r="F193" i="49"/>
  <c r="O193" i="49" s="1" a="1"/>
  <c r="O193" i="49" s="1"/>
  <c r="D305" i="49"/>
  <c r="E305" i="49" s="1"/>
  <c r="J510" i="44" a="1"/>
  <c r="J510" i="44" s="1"/>
  <c r="I480" i="44" a="1"/>
  <c r="I480" i="44" s="1"/>
  <c r="J434" i="44" a="1"/>
  <c r="J434" i="44" s="1"/>
  <c r="G477" i="44" a="1"/>
  <c r="G477" i="44" s="1"/>
  <c r="G344" i="44" s="1"/>
  <c r="F22" i="49"/>
  <c r="F49" i="49"/>
  <c r="F25" i="49"/>
  <c r="F107" i="49"/>
  <c r="F191" i="49"/>
  <c r="O191" i="49" s="1" a="1"/>
  <c r="O191" i="49" s="1"/>
  <c r="F27" i="49"/>
  <c r="G213" i="44" a="1"/>
  <c r="G213" i="44" s="1"/>
  <c r="D91" i="83" s="1"/>
  <c r="K167" i="44" a="1"/>
  <c r="K167" i="44" s="1"/>
  <c r="G214" i="44" a="1"/>
  <c r="G214" i="44" s="1"/>
  <c r="D92" i="83" s="1"/>
  <c r="G167" i="44" a="1"/>
  <c r="G167" i="44" s="1"/>
  <c r="J222" i="44" a="1"/>
  <c r="J222" i="44" s="1"/>
  <c r="I168" i="44" a="1"/>
  <c r="I168" i="44" s="1"/>
  <c r="I213" i="44" a="1"/>
  <c r="I213" i="44" s="1"/>
  <c r="F91" i="83" s="1"/>
  <c r="J215" i="44" a="1"/>
  <c r="J215" i="44" s="1"/>
  <c r="G93" i="83" s="1"/>
  <c r="I206" i="44" a="1"/>
  <c r="I206" i="44" s="1"/>
  <c r="K219" i="44" a="1"/>
  <c r="K219" i="44" s="1"/>
  <c r="G205" i="44" a="1"/>
  <c r="G205" i="44" s="1"/>
  <c r="K221" i="44" a="1"/>
  <c r="K221" i="44" s="1"/>
  <c r="G173" i="44" a="1"/>
  <c r="G173" i="44" s="1"/>
  <c r="F19" i="49"/>
  <c r="K19" i="49" s="1"/>
  <c r="I477" i="44" a="1"/>
  <c r="I477" i="44" s="1"/>
  <c r="I344" i="44" s="1"/>
  <c r="H451" i="44" a="1"/>
  <c r="H451" i="44" s="1"/>
  <c r="I236" i="44" a="1"/>
  <c r="I236" i="44" s="1"/>
  <c r="J255" i="44" a="1"/>
  <c r="J255" i="44" s="1"/>
  <c r="D89" i="49"/>
  <c r="F89" i="49" s="1"/>
  <c r="I490" i="44" a="1"/>
  <c r="I490" i="44" s="1"/>
  <c r="G244" i="44" a="1"/>
  <c r="G244" i="44" s="1"/>
  <c r="F227" i="49"/>
  <c r="I516" i="44" a="1"/>
  <c r="I516" i="44" s="1"/>
  <c r="K475" i="44" a="1"/>
  <c r="K475" i="44" s="1"/>
  <c r="P92" i="83" s="1"/>
  <c r="F149" i="49"/>
  <c r="G516" i="44" a="1"/>
  <c r="G516" i="44" s="1"/>
  <c r="I481" i="44" a="1"/>
  <c r="I481" i="44" s="1"/>
  <c r="G429" i="44" a="1"/>
  <c r="G429" i="44" s="1"/>
  <c r="J505" i="44" a="1"/>
  <c r="J505" i="44" s="1"/>
  <c r="D97" i="49"/>
  <c r="H491" i="44" a="1"/>
  <c r="H491" i="44" s="1"/>
  <c r="G482" i="44" a="1"/>
  <c r="G482" i="44" s="1"/>
  <c r="G428" i="44" a="1"/>
  <c r="G428" i="44" s="1"/>
  <c r="G510" i="44" a="1"/>
  <c r="G510" i="44" s="1"/>
  <c r="F162" i="49"/>
  <c r="O162" i="49" s="1" a="1"/>
  <c r="O162" i="49" s="1"/>
  <c r="I496" i="44" a="1"/>
  <c r="I496" i="44" s="1"/>
  <c r="G475" i="44" a="1"/>
  <c r="G475" i="44" s="1"/>
  <c r="L92" i="83" s="1"/>
  <c r="G256" i="44" a="1"/>
  <c r="G256" i="44" s="1"/>
  <c r="D91" i="49"/>
  <c r="F91" i="49" s="1"/>
  <c r="F220" i="49"/>
  <c r="G511" i="44" a="1"/>
  <c r="G511" i="44" s="1"/>
  <c r="J483" i="44" a="1"/>
  <c r="J483" i="44" s="1"/>
  <c r="J389" i="44" s="1"/>
  <c r="H429" i="44" a="1"/>
  <c r="H429" i="44" s="1"/>
  <c r="G250" i="44" a="1"/>
  <c r="G250" i="44" s="1"/>
  <c r="F125" i="49"/>
  <c r="O125" i="49" s="1" a="1"/>
  <c r="O125" i="49" s="1"/>
  <c r="F50" i="49"/>
  <c r="F195" i="49"/>
  <c r="O195" i="49" s="1" a="1"/>
  <c r="O195" i="49" s="1"/>
  <c r="F120" i="49"/>
  <c r="O120" i="49" s="1" a="1"/>
  <c r="O120" i="49" s="1"/>
  <c r="F127" i="49"/>
  <c r="F196" i="49"/>
  <c r="G221" i="44" a="1"/>
  <c r="G221" i="44" s="1"/>
  <c r="H229" i="44" a="1"/>
  <c r="H229" i="44" s="1"/>
  <c r="G222" i="44" a="1"/>
  <c r="G222" i="44" s="1"/>
  <c r="H167" i="44" a="1"/>
  <c r="H167" i="44" s="1"/>
  <c r="G215" i="44" a="1"/>
  <c r="G215" i="44" s="1"/>
  <c r="D93" i="83" s="1"/>
  <c r="J229" i="44" a="1"/>
  <c r="J229" i="44" s="1"/>
  <c r="I215" i="44" a="1"/>
  <c r="I215" i="44" s="1"/>
  <c r="F93" i="83" s="1"/>
  <c r="K205" i="44" a="1"/>
  <c r="K205" i="44" s="1"/>
  <c r="J217" i="44" a="1"/>
  <c r="J217" i="44" s="1"/>
  <c r="K208" i="44" a="1"/>
  <c r="K208" i="44" s="1"/>
  <c r="J221" i="44" a="1"/>
  <c r="J221" i="44" s="1"/>
  <c r="K173" i="44" a="1"/>
  <c r="K173" i="44" s="1"/>
  <c r="K223" i="44" a="1"/>
  <c r="K223" i="44" s="1"/>
  <c r="J167" i="44" a="1"/>
  <c r="J167" i="44" s="1"/>
  <c r="J517" i="44" a="1"/>
  <c r="J517" i="44" s="1"/>
  <c r="K480" i="44" a="1"/>
  <c r="K480" i="44" s="1"/>
  <c r="K454" i="44" a="1"/>
  <c r="K454" i="44" s="1"/>
  <c r="H428" i="44" a="1"/>
  <c r="H428" i="44" s="1"/>
  <c r="D151" i="63"/>
  <c r="E151" i="63" s="1"/>
  <c r="D76" i="49"/>
  <c r="E76" i="49" s="1"/>
  <c r="G451" i="44" a="1"/>
  <c r="G451" i="44" s="1"/>
  <c r="F209" i="49"/>
  <c r="G517" i="44" a="1"/>
  <c r="G517" i="44" s="1"/>
  <c r="K477" i="44" a="1"/>
  <c r="K477" i="44" s="1"/>
  <c r="K344" i="44" s="1"/>
  <c r="F224" i="49"/>
  <c r="J511" i="44" a="1"/>
  <c r="J511" i="44" s="1"/>
  <c r="K484" i="44" a="1"/>
  <c r="K484" i="44" s="1"/>
  <c r="K396" i="44" s="1"/>
  <c r="J256" i="44" a="1"/>
  <c r="J256" i="44" s="1"/>
  <c r="H475" i="44" a="1"/>
  <c r="H475" i="44" s="1"/>
  <c r="M92" i="83" s="1"/>
  <c r="D86" i="49"/>
  <c r="F86" i="49" s="1"/>
  <c r="J474" i="44" a="1"/>
  <c r="J474" i="44" s="1"/>
  <c r="O91" i="83" s="1"/>
  <c r="K256" i="44" a="1"/>
  <c r="K256" i="44" s="1"/>
  <c r="K491" i="44" a="1"/>
  <c r="K491" i="44" s="1"/>
  <c r="F126" i="49"/>
  <c r="O126" i="49" s="1" a="1"/>
  <c r="O126" i="49" s="1"/>
  <c r="I491" i="44" a="1"/>
  <c r="I491" i="44" s="1"/>
  <c r="G483" i="44" a="1"/>
  <c r="G483" i="44" s="1"/>
  <c r="G389" i="44" s="1"/>
  <c r="J250" i="44" a="1"/>
  <c r="J250" i="44" s="1"/>
  <c r="I517" i="44" a="1"/>
  <c r="I517" i="44" s="1"/>
  <c r="F205" i="49"/>
  <c r="I505" i="44" a="1"/>
  <c r="I505" i="44" s="1"/>
  <c r="G476" i="44" a="1"/>
  <c r="G476" i="44" s="1"/>
  <c r="L93" i="83" s="1"/>
  <c r="I255" i="44" a="1"/>
  <c r="I255" i="44" s="1"/>
  <c r="F180" i="49"/>
  <c r="F35" i="49"/>
  <c r="F115" i="49"/>
  <c r="F223" i="49"/>
  <c r="O223" i="49" s="1" a="1"/>
  <c r="O223" i="49" s="1"/>
  <c r="F161" i="49"/>
  <c r="O161" i="49" s="1" a="1"/>
  <c r="O161" i="49" s="1"/>
  <c r="F194" i="49"/>
  <c r="O194" i="49" s="1" a="1"/>
  <c r="O194" i="49" s="1"/>
  <c r="K230" i="44" a="1"/>
  <c r="K230" i="44" s="1"/>
  <c r="G230" i="44" a="1"/>
  <c r="G230" i="44" s="1"/>
  <c r="I229" i="44" a="1"/>
  <c r="I229" i="44" s="1"/>
  <c r="G223" i="44" a="1"/>
  <c r="G223" i="44" s="1"/>
  <c r="H213" i="44" a="1"/>
  <c r="H213" i="44" s="1"/>
  <c r="E91" i="83" s="1"/>
  <c r="J205" i="44" a="1"/>
  <c r="J205" i="44" s="1"/>
  <c r="I217" i="44" a="1"/>
  <c r="I217" i="44" s="1"/>
  <c r="J208" i="44" a="1"/>
  <c r="J208" i="44" s="1"/>
  <c r="J219" i="44" a="1"/>
  <c r="J219" i="44" s="1"/>
  <c r="H205" i="44" a="1"/>
  <c r="H205" i="44" s="1"/>
  <c r="J223" i="44" a="1"/>
  <c r="J223" i="44" s="1"/>
  <c r="I167" i="44" a="1"/>
  <c r="I167" i="44" s="1"/>
  <c r="G220" i="44" a="1"/>
  <c r="G220" i="44" s="1"/>
  <c r="K510" i="44" a="1"/>
  <c r="K510" i="44" s="1"/>
  <c r="I482" i="44" a="1"/>
  <c r="I482" i="44" s="1"/>
  <c r="G434" i="44" a="1"/>
  <c r="G434" i="44" s="1"/>
  <c r="H243" i="44" a="1"/>
  <c r="H243" i="44" s="1"/>
  <c r="F123" i="49"/>
  <c r="H516" i="44" a="1"/>
  <c r="H516" i="44" s="1"/>
  <c r="J475" i="44" a="1"/>
  <c r="J475" i="44" s="1"/>
  <c r="O92" i="83" s="1"/>
  <c r="I256" i="44" a="1"/>
  <c r="I256" i="44" s="1"/>
  <c r="F182" i="49"/>
  <c r="I511" i="44" a="1"/>
  <c r="I511" i="44" s="1"/>
  <c r="I479" i="44" a="1"/>
  <c r="I479" i="44" s="1"/>
  <c r="I358" i="44" s="1"/>
  <c r="G470" i="44" a="1"/>
  <c r="G470" i="44" s="1"/>
  <c r="F208" i="49"/>
  <c r="G504" i="44" a="1"/>
  <c r="G504" i="44" s="1"/>
  <c r="G481" i="44" a="1"/>
  <c r="G481" i="44" s="1"/>
  <c r="H250" i="44" a="1"/>
  <c r="H250" i="44" s="1"/>
  <c r="K483" i="44" a="1"/>
  <c r="K483" i="44" s="1"/>
  <c r="K389" i="44" s="1"/>
  <c r="F34" i="49"/>
  <c r="I476" i="44" a="1"/>
  <c r="I476" i="44" s="1"/>
  <c r="N93" i="83" s="1"/>
  <c r="I250" i="44" a="1"/>
  <c r="I250" i="44" s="1"/>
  <c r="J480" i="44" a="1"/>
  <c r="J480" i="44" s="1"/>
  <c r="D96" i="49"/>
  <c r="K474" i="44" a="1"/>
  <c r="K474" i="44" s="1"/>
  <c r="P91" i="83" s="1"/>
  <c r="H244" i="44" a="1"/>
  <c r="H244" i="44" s="1"/>
  <c r="G496" i="44" a="1"/>
  <c r="G496" i="44" s="1"/>
  <c r="F177" i="49"/>
  <c r="J496" i="44" a="1"/>
  <c r="J496" i="44" s="1"/>
  <c r="G484" i="44" a="1"/>
  <c r="G484" i="44" s="1"/>
  <c r="G396" i="44" s="1"/>
  <c r="F167" i="49"/>
  <c r="F36" i="49"/>
  <c r="F181" i="49"/>
  <c r="F110" i="49"/>
  <c r="F221" i="49"/>
  <c r="O221" i="49" s="1" a="1"/>
  <c r="O221" i="49" s="1"/>
  <c r="F46" i="49"/>
  <c r="I214" i="44" a="1"/>
  <c r="I214" i="44" s="1"/>
  <c r="F92" i="83" s="1"/>
  <c r="J214" i="44" a="1"/>
  <c r="J214" i="44" s="1"/>
  <c r="G92" i="83" s="1"/>
  <c r="G229" i="44" a="1"/>
  <c r="G229" i="44" s="1"/>
  <c r="H215" i="44" a="1"/>
  <c r="H215" i="44" s="1"/>
  <c r="E93" i="83" s="1"/>
  <c r="I208" i="44" a="1"/>
  <c r="I208" i="44" s="1"/>
  <c r="I219" i="44" a="1"/>
  <c r="I219" i="44" s="1"/>
  <c r="H209" i="44" a="1"/>
  <c r="H209" i="44" s="1"/>
  <c r="I221" i="44" a="1"/>
  <c r="I221" i="44" s="1"/>
  <c r="J173" i="44" a="1"/>
  <c r="J173" i="44" s="1"/>
  <c r="G219" i="44" a="1"/>
  <c r="G219" i="44" s="1"/>
  <c r="J230" i="44" a="1"/>
  <c r="J230" i="44" s="1"/>
  <c r="I410" i="44" a="1"/>
  <c r="I410" i="44" s="1"/>
  <c r="F251" i="49"/>
  <c r="K251" i="49" s="1"/>
  <c r="F265" i="49"/>
  <c r="F279" i="49"/>
  <c r="F269" i="49"/>
  <c r="F261" i="49"/>
  <c r="F263" i="49"/>
  <c r="F276" i="49"/>
  <c r="F250" i="49"/>
  <c r="F274" i="49"/>
  <c r="F249" i="49"/>
  <c r="F253" i="49"/>
  <c r="F255" i="49"/>
  <c r="F277" i="49"/>
  <c r="F264" i="49"/>
  <c r="F252" i="49"/>
  <c r="F268" i="49"/>
  <c r="F282" i="49"/>
  <c r="F275" i="49"/>
  <c r="F262" i="49"/>
  <c r="F256" i="49"/>
  <c r="F248" i="49"/>
  <c r="F266" i="49"/>
  <c r="F281" i="49"/>
  <c r="D315" i="49"/>
  <c r="D328" i="49"/>
  <c r="D325" i="49"/>
  <c r="D313" i="49"/>
  <c r="F313" i="49" s="1"/>
  <c r="D327" i="49"/>
  <c r="D318" i="49"/>
  <c r="D317" i="49"/>
  <c r="F317" i="49" s="1"/>
  <c r="D314" i="49"/>
  <c r="F314" i="49" s="1"/>
  <c r="D323" i="49"/>
  <c r="D326" i="49"/>
  <c r="D324" i="49"/>
  <c r="D316" i="49"/>
  <c r="F316" i="49" s="1"/>
  <c r="D319" i="49"/>
  <c r="F319" i="49" s="1"/>
  <c r="F451" i="49"/>
  <c r="F338" i="49"/>
  <c r="F422" i="49"/>
  <c r="F348" i="49"/>
  <c r="F421" i="49"/>
  <c r="F380" i="49"/>
  <c r="F389" i="49"/>
  <c r="F394" i="49"/>
  <c r="F358" i="49"/>
  <c r="F398" i="49"/>
  <c r="F366" i="49"/>
  <c r="F424" i="49"/>
  <c r="F351" i="49"/>
  <c r="F390" i="49"/>
  <c r="F335" i="49"/>
  <c r="F434" i="49"/>
  <c r="F364" i="49"/>
  <c r="F410" i="49"/>
  <c r="F353" i="49"/>
  <c r="F369" i="49"/>
  <c r="F407" i="49"/>
  <c r="F365" i="49"/>
  <c r="F436" i="49"/>
  <c r="F438" i="49"/>
  <c r="F343" i="49"/>
  <c r="F427" i="49"/>
  <c r="F449" i="49"/>
  <c r="F377" i="49"/>
  <c r="F405" i="49"/>
  <c r="F383" i="49"/>
  <c r="F423" i="49"/>
  <c r="F419" i="49"/>
  <c r="F452" i="49"/>
  <c r="F392" i="49"/>
  <c r="F379" i="49"/>
  <c r="F418" i="49"/>
  <c r="F447" i="49"/>
  <c r="F446" i="49"/>
  <c r="F376" i="49"/>
  <c r="F336" i="49"/>
  <c r="F350" i="49"/>
  <c r="F355" i="49"/>
  <c r="F406" i="49"/>
  <c r="F420" i="49"/>
  <c r="F393" i="49"/>
  <c r="F450" i="49"/>
  <c r="F354" i="49"/>
  <c r="F375" i="49"/>
  <c r="F349" i="49"/>
  <c r="F413" i="49"/>
  <c r="F408" i="49"/>
  <c r="F448" i="49"/>
  <c r="F340" i="49"/>
  <c r="F339" i="49"/>
  <c r="F395" i="49"/>
  <c r="F388" i="49"/>
  <c r="F363" i="49"/>
  <c r="O137" i="49"/>
  <c r="F391" i="49"/>
  <c r="F352" i="49"/>
  <c r="F378" i="49"/>
  <c r="F455" i="49"/>
  <c r="F433" i="49"/>
  <c r="F435" i="49"/>
  <c r="F437" i="49"/>
  <c r="F441" i="49"/>
  <c r="F409" i="49"/>
  <c r="F337" i="49"/>
  <c r="E33" i="63" l="1"/>
  <c r="P91" i="84"/>
  <c r="P91" i="85"/>
  <c r="N93" i="84"/>
  <c r="N93" i="85"/>
  <c r="E77" i="85"/>
  <c r="E77" i="84"/>
  <c r="E77" i="83"/>
  <c r="L93" i="84"/>
  <c r="L93" i="85"/>
  <c r="N91" i="85"/>
  <c r="N91" i="84"/>
  <c r="G77" i="85"/>
  <c r="G77" i="83"/>
  <c r="G77" i="84"/>
  <c r="O92" i="84"/>
  <c r="O92" i="85"/>
  <c r="H77" i="85"/>
  <c r="H77" i="83"/>
  <c r="H77" i="84"/>
  <c r="F93" i="85"/>
  <c r="F93" i="84"/>
  <c r="F77" i="85"/>
  <c r="F77" i="83"/>
  <c r="F77" i="84"/>
  <c r="F91" i="84"/>
  <c r="F91" i="85"/>
  <c r="D92" i="84"/>
  <c r="D92" i="85"/>
  <c r="M92" i="85"/>
  <c r="M92" i="84"/>
  <c r="P77" i="85"/>
  <c r="P77" i="84"/>
  <c r="P77" i="83"/>
  <c r="M77" i="84"/>
  <c r="M77" i="85"/>
  <c r="M77" i="83"/>
  <c r="L92" i="85"/>
  <c r="L92" i="84"/>
  <c r="P93" i="85"/>
  <c r="P93" i="84"/>
  <c r="E93" i="85"/>
  <c r="E93" i="84"/>
  <c r="N77" i="84"/>
  <c r="N77" i="85"/>
  <c r="N77" i="83"/>
  <c r="H91" i="85"/>
  <c r="H91" i="84"/>
  <c r="P92" i="84"/>
  <c r="P92" i="85"/>
  <c r="G93" i="85"/>
  <c r="G93" i="84"/>
  <c r="L91" i="85"/>
  <c r="L91" i="84"/>
  <c r="G92" i="85"/>
  <c r="G92" i="84"/>
  <c r="M91" i="85"/>
  <c r="M91" i="84"/>
  <c r="E91" i="84"/>
  <c r="E91" i="85"/>
  <c r="M93" i="84"/>
  <c r="M93" i="85"/>
  <c r="E92" i="84"/>
  <c r="E92" i="85"/>
  <c r="O91" i="85"/>
  <c r="O91" i="84"/>
  <c r="H93" i="85"/>
  <c r="H93" i="84"/>
  <c r="D77" i="85"/>
  <c r="D77" i="84"/>
  <c r="D77" i="83"/>
  <c r="D91" i="85"/>
  <c r="D91" i="84"/>
  <c r="L77" i="84"/>
  <c r="L77" i="85"/>
  <c r="L77" i="83"/>
  <c r="G91" i="84"/>
  <c r="G91" i="85"/>
  <c r="D93" i="85"/>
  <c r="D93" i="84"/>
  <c r="N92" i="84"/>
  <c r="N92" i="85"/>
  <c r="H92" i="85"/>
  <c r="H92" i="84"/>
  <c r="F92" i="85"/>
  <c r="F92" i="84"/>
  <c r="O93" i="85"/>
  <c r="O93" i="84"/>
  <c r="O77" i="85"/>
  <c r="O77" i="84"/>
  <c r="O77" i="83"/>
  <c r="K20" i="49"/>
  <c r="K458" i="44" a="1"/>
  <c r="K458" i="44" s="1"/>
  <c r="G458" i="44" a="1"/>
  <c r="G458" i="44" s="1"/>
  <c r="H458" i="44" a="1"/>
  <c r="H458" i="44" s="1"/>
  <c r="J458" i="44" a="1"/>
  <c r="J458" i="44" s="1"/>
  <c r="I458" i="44" a="1"/>
  <c r="I458" i="44" s="1"/>
  <c r="K460" i="44" a="1"/>
  <c r="K460" i="44" s="1"/>
  <c r="H460" i="44" a="1"/>
  <c r="H460" i="44" s="1"/>
  <c r="G460" i="44" a="1"/>
  <c r="G460" i="44" s="1"/>
  <c r="J460" i="44" a="1"/>
  <c r="J460" i="44" s="1"/>
  <c r="I460" i="44" a="1"/>
  <c r="I460" i="44" s="1"/>
  <c r="G459" i="44" a="1"/>
  <c r="G459" i="44" s="1"/>
  <c r="I459" i="44" a="1"/>
  <c r="I459" i="44" s="1"/>
  <c r="H459" i="44" a="1"/>
  <c r="H459" i="44" s="1"/>
  <c r="K459" i="44" a="1"/>
  <c r="K459" i="44" s="1"/>
  <c r="J459" i="44" a="1"/>
  <c r="J459" i="44" s="1"/>
  <c r="G457" i="44" a="1"/>
  <c r="G457" i="44" s="1"/>
  <c r="K457" i="44" a="1"/>
  <c r="K457" i="44" s="1"/>
  <c r="J457" i="44" a="1"/>
  <c r="J457" i="44" s="1"/>
  <c r="I457" i="44" a="1"/>
  <c r="I457" i="44" s="1"/>
  <c r="H457" i="44" a="1"/>
  <c r="H457" i="44" s="1"/>
  <c r="I455" i="44" a="1"/>
  <c r="I455" i="44" s="1"/>
  <c r="K455" i="44" a="1"/>
  <c r="K455" i="44" s="1"/>
  <c r="J455" i="44" a="1"/>
  <c r="J455" i="44" s="1"/>
  <c r="G455" i="44" a="1"/>
  <c r="G455" i="44" s="1"/>
  <c r="H455" i="44" a="1"/>
  <c r="H455" i="44" s="1"/>
  <c r="I456" i="44" a="1"/>
  <c r="I456" i="44" s="1"/>
  <c r="K456" i="44" a="1"/>
  <c r="K456" i="44" s="1"/>
  <c r="J456" i="44" a="1"/>
  <c r="J456" i="44" s="1"/>
  <c r="H456" i="44" a="1"/>
  <c r="H456" i="44" s="1"/>
  <c r="G456" i="44" a="1"/>
  <c r="G456" i="44" s="1"/>
  <c r="K36" i="49"/>
  <c r="M36" i="49"/>
  <c r="L36" i="49"/>
  <c r="N36" i="49"/>
  <c r="O36" i="49"/>
  <c r="M22" i="49"/>
  <c r="O22" i="49"/>
  <c r="K22" i="49"/>
  <c r="L22" i="49"/>
  <c r="N22" i="49"/>
  <c r="M21" i="49"/>
  <c r="O21" i="49"/>
  <c r="L21" i="49"/>
  <c r="N21" i="49"/>
  <c r="K21" i="49"/>
  <c r="G492" i="44"/>
  <c r="L86" i="83" s="1"/>
  <c r="G169" i="44"/>
  <c r="O251" i="49"/>
  <c r="N251" i="49"/>
  <c r="M251" i="49"/>
  <c r="L251" i="49"/>
  <c r="O278" i="49"/>
  <c r="N278" i="49"/>
  <c r="M278" i="49"/>
  <c r="L278" i="49"/>
  <c r="K278" i="49"/>
  <c r="K252" i="49"/>
  <c r="L252" i="49"/>
  <c r="O252" i="49"/>
  <c r="N252" i="49"/>
  <c r="M252" i="49"/>
  <c r="O264" i="49"/>
  <c r="N264" i="49"/>
  <c r="M264" i="49"/>
  <c r="L264" i="49"/>
  <c r="K264" i="49"/>
  <c r="L277" i="49"/>
  <c r="K277" i="49"/>
  <c r="M277" i="49"/>
  <c r="O277" i="49"/>
  <c r="N277" i="49"/>
  <c r="O265" i="49"/>
  <c r="N265" i="49"/>
  <c r="M265" i="49"/>
  <c r="L265" i="49"/>
  <c r="K265" i="49"/>
  <c r="L50" i="49"/>
  <c r="K50" i="49"/>
  <c r="N50" i="49"/>
  <c r="O50" i="49"/>
  <c r="M50" i="49"/>
  <c r="M49" i="49"/>
  <c r="L49" i="49"/>
  <c r="K49" i="49"/>
  <c r="O49" i="49"/>
  <c r="N49" i="49"/>
  <c r="L35" i="49"/>
  <c r="K35" i="49"/>
  <c r="M35" i="49"/>
  <c r="O35" i="49"/>
  <c r="N35" i="49"/>
  <c r="G512" i="44"/>
  <c r="I512" i="44"/>
  <c r="H518" i="44"/>
  <c r="H506" i="44"/>
  <c r="K506" i="44"/>
  <c r="J512" i="44"/>
  <c r="D78" i="49"/>
  <c r="D79" i="49" s="1"/>
  <c r="D306" i="49"/>
  <c r="D307" i="49" s="1"/>
  <c r="L408" i="49" s="1" a="1"/>
  <c r="L408" i="49" s="1"/>
  <c r="I518" i="44"/>
  <c r="K367" i="44"/>
  <c r="K369" i="44" s="1" a="1"/>
  <c r="K369" i="44" s="1"/>
  <c r="K381" i="44"/>
  <c r="H336" i="44"/>
  <c r="G518" i="44"/>
  <c r="H329" i="44"/>
  <c r="H331" i="44" s="1" a="1"/>
  <c r="H331" i="44" s="1"/>
  <c r="K278" i="44"/>
  <c r="G367" i="44"/>
  <c r="J278" i="44"/>
  <c r="H278" i="44"/>
  <c r="G322" i="44"/>
  <c r="K336" i="44"/>
  <c r="J329" i="44"/>
  <c r="J331" i="44" s="1" a="1"/>
  <c r="J331" i="44" s="1"/>
  <c r="H274" i="44"/>
  <c r="H295" i="44"/>
  <c r="K512" i="44"/>
  <c r="J381" i="44"/>
  <c r="G336" i="44"/>
  <c r="G338" i="44" s="1" a="1"/>
  <c r="G338" i="44" s="1"/>
  <c r="H367" i="44"/>
  <c r="H369" i="44" s="1" a="1"/>
  <c r="H369" i="44" s="1"/>
  <c r="J506" i="44"/>
  <c r="K374" i="44"/>
  <c r="K376" i="44" s="1" a="1"/>
  <c r="K376" i="44" s="1"/>
  <c r="J367" i="44"/>
  <c r="J369" i="44" s="1" a="1"/>
  <c r="J369" i="44" s="1"/>
  <c r="I381" i="44"/>
  <c r="G274" i="44"/>
  <c r="I336" i="44"/>
  <c r="G506" i="44"/>
  <c r="K274" i="44"/>
  <c r="I278" i="44"/>
  <c r="J336" i="44"/>
  <c r="J274" i="44"/>
  <c r="J518" i="44"/>
  <c r="G374" i="44"/>
  <c r="J295" i="44"/>
  <c r="I295" i="44"/>
  <c r="G329" i="44"/>
  <c r="I274" i="44"/>
  <c r="H322" i="44"/>
  <c r="H324" i="44" s="1" a="1"/>
  <c r="H324" i="44" s="1"/>
  <c r="K329" i="44"/>
  <c r="K331" i="44" s="1" a="1"/>
  <c r="K331" i="44" s="1"/>
  <c r="I374" i="44"/>
  <c r="I376" i="44" s="1" a="1"/>
  <c r="I376" i="44" s="1"/>
  <c r="I329" i="44"/>
  <c r="I331" i="44" s="1" a="1"/>
  <c r="I331" i="44" s="1"/>
  <c r="I367" i="44"/>
  <c r="I369" i="44" s="1" a="1"/>
  <c r="I369" i="44" s="1"/>
  <c r="G278" i="44"/>
  <c r="G381" i="44"/>
  <c r="G383" i="44" s="1" a="1"/>
  <c r="G383" i="44" s="1"/>
  <c r="K322" i="44"/>
  <c r="K324" i="44" s="1" a="1"/>
  <c r="K324" i="44" s="1"/>
  <c r="K518" i="44"/>
  <c r="G295" i="44"/>
  <c r="H512" i="44"/>
  <c r="H374" i="44"/>
  <c r="H376" i="44" s="1" a="1"/>
  <c r="H376" i="44" s="1"/>
  <c r="K295" i="44"/>
  <c r="J322" i="44"/>
  <c r="J324" i="44" s="1" a="1"/>
  <c r="J324" i="44" s="1"/>
  <c r="H381" i="44"/>
  <c r="I322" i="44"/>
  <c r="I324" i="44" s="1" a="1"/>
  <c r="I324" i="44" s="1"/>
  <c r="I506" i="44"/>
  <c r="J374" i="44"/>
  <c r="J376" i="44" s="1" a="1"/>
  <c r="J376" i="44" s="1"/>
  <c r="E163" i="63"/>
  <c r="E154" i="63"/>
  <c r="M449" i="49" a="1"/>
  <c r="M449" i="49" s="1"/>
  <c r="L449" i="49" a="1"/>
  <c r="L449" i="49" s="1"/>
  <c r="K449" i="49" a="1"/>
  <c r="K449" i="49" s="1"/>
  <c r="N449" i="49" a="1"/>
  <c r="N449" i="49" s="1"/>
  <c r="O449" i="49" a="1"/>
  <c r="O449" i="49" s="1"/>
  <c r="O353" i="49" a="1"/>
  <c r="O353" i="49" s="1"/>
  <c r="N353" i="49" a="1"/>
  <c r="N353" i="49" s="1"/>
  <c r="M353" i="49" a="1"/>
  <c r="M353" i="49" s="1"/>
  <c r="L353" i="49" a="1"/>
  <c r="L353" i="49" s="1"/>
  <c r="K353" i="49" a="1"/>
  <c r="K353" i="49" s="1"/>
  <c r="N393" i="49" a="1"/>
  <c r="N393" i="49" s="1"/>
  <c r="M393" i="49" a="1"/>
  <c r="M393" i="49" s="1"/>
  <c r="L393" i="49" a="1"/>
  <c r="L393" i="49" s="1"/>
  <c r="O393" i="49" a="1"/>
  <c r="O393" i="49" s="1"/>
  <c r="K393" i="49" a="1"/>
  <c r="K393" i="49" s="1"/>
  <c r="L390" i="49" a="1"/>
  <c r="L390" i="49" s="1"/>
  <c r="K390" i="49" a="1"/>
  <c r="K390" i="49" s="1"/>
  <c r="O390" i="49" a="1"/>
  <c r="O390" i="49" s="1"/>
  <c r="N390" i="49" a="1"/>
  <c r="N390" i="49" s="1"/>
  <c r="M390" i="49" a="1"/>
  <c r="M390" i="49" s="1"/>
  <c r="N348" i="49" a="1"/>
  <c r="N348" i="49" s="1"/>
  <c r="M348" i="49" a="1"/>
  <c r="M348" i="49" s="1"/>
  <c r="L348" i="49" a="1"/>
  <c r="L348" i="49" s="1"/>
  <c r="K348" i="49" a="1"/>
  <c r="K348" i="49" s="1"/>
  <c r="O348" i="49" a="1"/>
  <c r="O348" i="49" s="1"/>
  <c r="M418" i="49" a="1"/>
  <c r="M418" i="49" s="1"/>
  <c r="L418" i="49" a="1"/>
  <c r="L418" i="49" s="1"/>
  <c r="K418" i="49" a="1"/>
  <c r="K418" i="49" s="1"/>
  <c r="O418" i="49" a="1"/>
  <c r="O418" i="49" s="1"/>
  <c r="N418" i="49" a="1"/>
  <c r="N418" i="49" s="1"/>
  <c r="O394" i="49" a="1"/>
  <c r="O394" i="49" s="1"/>
  <c r="N394" i="49" a="1"/>
  <c r="N394" i="49" s="1"/>
  <c r="M394" i="49" a="1"/>
  <c r="M394" i="49" s="1"/>
  <c r="L394" i="49" a="1"/>
  <c r="L394" i="49" s="1"/>
  <c r="K394" i="49" a="1"/>
  <c r="K394" i="49" s="1"/>
  <c r="O354" i="49" a="1"/>
  <c r="O354" i="49" s="1"/>
  <c r="N354" i="49" a="1"/>
  <c r="N354" i="49" s="1"/>
  <c r="M354" i="49" a="1"/>
  <c r="M354" i="49" s="1"/>
  <c r="L354" i="49" a="1"/>
  <c r="L354" i="49" s="1"/>
  <c r="K354" i="49" a="1"/>
  <c r="K354" i="49" s="1"/>
  <c r="L421" i="49" a="1"/>
  <c r="L421" i="49" s="1"/>
  <c r="K421" i="49" a="1"/>
  <c r="K421" i="49" s="1"/>
  <c r="O421" i="49" a="1"/>
  <c r="O421" i="49" s="1"/>
  <c r="N421" i="49" a="1"/>
  <c r="N421" i="49" s="1"/>
  <c r="M421" i="49" a="1"/>
  <c r="M421" i="49" s="1"/>
  <c r="K363" i="49" a="1"/>
  <c r="K363" i="49" s="1"/>
  <c r="O363" i="49" a="1"/>
  <c r="O363" i="49" s="1"/>
  <c r="O364" i="49" s="1" a="1"/>
  <c r="O364" i="49" s="1"/>
  <c r="L363" i="49" a="1"/>
  <c r="L363" i="49" s="1"/>
  <c r="L364" i="49" s="1" a="1"/>
  <c r="L364" i="49" s="1"/>
  <c r="N363" i="49" a="1"/>
  <c r="N363" i="49" s="1"/>
  <c r="N364" i="49" s="1" a="1"/>
  <c r="N364" i="49" s="1"/>
  <c r="M363" i="49" a="1"/>
  <c r="M363" i="49" s="1"/>
  <c r="M364" i="49" s="1" a="1"/>
  <c r="M364" i="49" s="1"/>
  <c r="M352" i="49" a="1"/>
  <c r="M352" i="49" s="1"/>
  <c r="L352" i="49" a="1"/>
  <c r="L352" i="49" s="1"/>
  <c r="K352" i="49" a="1"/>
  <c r="K352" i="49" s="1"/>
  <c r="N352" i="49" a="1"/>
  <c r="N352" i="49" s="1"/>
  <c r="O352" i="49" a="1"/>
  <c r="O352" i="49" s="1"/>
  <c r="O423" i="49" a="1"/>
  <c r="O423" i="49" s="1"/>
  <c r="N423" i="49" a="1"/>
  <c r="N423" i="49" s="1"/>
  <c r="M423" i="49" a="1"/>
  <c r="M423" i="49" s="1"/>
  <c r="L423" i="49" a="1"/>
  <c r="L423" i="49" s="1"/>
  <c r="K423" i="49" a="1"/>
  <c r="K423" i="49" s="1"/>
  <c r="O451" i="49" a="1"/>
  <c r="O451" i="49" s="1"/>
  <c r="N451" i="49" a="1"/>
  <c r="N451" i="49" s="1"/>
  <c r="M451" i="49" a="1"/>
  <c r="M451" i="49" s="1"/>
  <c r="L451" i="49" a="1"/>
  <c r="L451" i="49" s="1"/>
  <c r="K451" i="49" a="1"/>
  <c r="K451" i="49" s="1"/>
  <c r="M349" i="49" a="1"/>
  <c r="M349" i="49" s="1"/>
  <c r="L349" i="49" a="1"/>
  <c r="L349" i="49" s="1"/>
  <c r="K349" i="49" a="1"/>
  <c r="K349" i="49" s="1"/>
  <c r="N349" i="49" a="1"/>
  <c r="N349" i="49" s="1"/>
  <c r="O349" i="49" a="1"/>
  <c r="O349" i="49" s="1"/>
  <c r="M446" i="49" a="1"/>
  <c r="M446" i="49" s="1"/>
  <c r="L446" i="49" a="1"/>
  <c r="L446" i="49" s="1"/>
  <c r="K446" i="49" a="1"/>
  <c r="K446" i="49" s="1"/>
  <c r="O446" i="49" a="1"/>
  <c r="O446" i="49" s="1"/>
  <c r="N446" i="49" a="1"/>
  <c r="N446" i="49" s="1"/>
  <c r="N422" i="49" a="1"/>
  <c r="N422" i="49" s="1"/>
  <c r="M422" i="49" a="1"/>
  <c r="M422" i="49" s="1"/>
  <c r="L422" i="49" a="1"/>
  <c r="L422" i="49" s="1"/>
  <c r="K422" i="49" a="1"/>
  <c r="K422" i="49" s="1"/>
  <c r="O422" i="49" a="1"/>
  <c r="O422" i="49" s="1"/>
  <c r="M350" i="49" a="1"/>
  <c r="M350" i="49" s="1"/>
  <c r="L350" i="49" a="1"/>
  <c r="L350" i="49" s="1"/>
  <c r="K350" i="49" a="1"/>
  <c r="K350" i="49" s="1"/>
  <c r="O350" i="49" a="1"/>
  <c r="O350" i="49" s="1"/>
  <c r="N350" i="49" a="1"/>
  <c r="N350" i="49" s="1"/>
  <c r="M388" i="49" a="1"/>
  <c r="M388" i="49" s="1"/>
  <c r="L388" i="49" a="1"/>
  <c r="L388" i="49" s="1"/>
  <c r="K388" i="49" a="1"/>
  <c r="K388" i="49" s="1"/>
  <c r="O388" i="49" a="1"/>
  <c r="O388" i="49" s="1"/>
  <c r="N388" i="49" a="1"/>
  <c r="N388" i="49" s="1"/>
  <c r="M392" i="49" a="1"/>
  <c r="M392" i="49" s="1"/>
  <c r="L392" i="49" a="1"/>
  <c r="L392" i="49" s="1"/>
  <c r="K392" i="49" a="1"/>
  <c r="K392" i="49" s="1"/>
  <c r="O392" i="49" a="1"/>
  <c r="O392" i="49" s="1"/>
  <c r="N392" i="49" a="1"/>
  <c r="N392" i="49" s="1"/>
  <c r="L447" i="49" a="1"/>
  <c r="L447" i="49" s="1"/>
  <c r="K447" i="49" a="1"/>
  <c r="K447" i="49" s="1"/>
  <c r="O447" i="49" a="1"/>
  <c r="O447" i="49" s="1"/>
  <c r="M447" i="49" a="1"/>
  <c r="M447" i="49" s="1"/>
  <c r="N447" i="49" a="1"/>
  <c r="N447" i="49" s="1"/>
  <c r="M419" i="49" a="1"/>
  <c r="M419" i="49" s="1"/>
  <c r="L419" i="49" a="1"/>
  <c r="L419" i="49" s="1"/>
  <c r="K419" i="49" a="1"/>
  <c r="K419" i="49" s="1"/>
  <c r="O419" i="49" a="1"/>
  <c r="O419" i="49" s="1"/>
  <c r="N419" i="49" a="1"/>
  <c r="N419" i="49" s="1"/>
  <c r="N450" i="49" a="1"/>
  <c r="N450" i="49" s="1"/>
  <c r="M450" i="49" a="1"/>
  <c r="M450" i="49" s="1"/>
  <c r="L450" i="49" a="1"/>
  <c r="L450" i="49" s="1"/>
  <c r="K450" i="49" a="1"/>
  <c r="K450" i="49" s="1"/>
  <c r="O450" i="49" a="1"/>
  <c r="O450" i="49" s="1"/>
  <c r="L389" i="49" a="1"/>
  <c r="L389" i="49" s="1"/>
  <c r="K389" i="49" a="1"/>
  <c r="K389" i="49" s="1"/>
  <c r="O389" i="49" a="1"/>
  <c r="O389" i="49" s="1"/>
  <c r="M389" i="49" a="1"/>
  <c r="M389" i="49" s="1"/>
  <c r="N389" i="49" a="1"/>
  <c r="N389" i="49" s="1"/>
  <c r="E24" i="63"/>
  <c r="G17" i="44"/>
  <c r="M166" i="49" a="1"/>
  <c r="M166" i="49" s="1"/>
  <c r="N166" i="49" a="1"/>
  <c r="N166" i="49" s="1"/>
  <c r="M124" i="49" a="1"/>
  <c r="M124" i="49" s="1"/>
  <c r="N124" i="49" a="1"/>
  <c r="N124" i="49" s="1"/>
  <c r="M222" i="49" a="1"/>
  <c r="M222" i="49" s="1"/>
  <c r="N222" i="49" a="1"/>
  <c r="N222" i="49" s="1"/>
  <c r="M135" i="49" a="1"/>
  <c r="M135" i="49" s="1"/>
  <c r="N135" i="49" a="1"/>
  <c r="N135" i="49" s="1"/>
  <c r="M126" i="49" a="1"/>
  <c r="M126" i="49" s="1"/>
  <c r="N126" i="49" a="1"/>
  <c r="N126" i="49" s="1"/>
  <c r="M195" i="49" a="1"/>
  <c r="M195" i="49" s="1"/>
  <c r="N195" i="49" a="1"/>
  <c r="N195" i="49" s="1"/>
  <c r="M161" i="49" a="1"/>
  <c r="M161" i="49" s="1"/>
  <c r="N161" i="49" a="1"/>
  <c r="N161" i="49" s="1"/>
  <c r="M191" i="49" a="1"/>
  <c r="M191" i="49" s="1"/>
  <c r="N191" i="49" a="1"/>
  <c r="N191" i="49" s="1"/>
  <c r="M221" i="49" a="1"/>
  <c r="M221" i="49" s="1"/>
  <c r="N221" i="49" a="1"/>
  <c r="N221" i="49" s="1"/>
  <c r="M218" i="49" a="1"/>
  <c r="M218" i="49" s="1"/>
  <c r="N218" i="49" a="1"/>
  <c r="N218" i="49" s="1"/>
  <c r="M160" i="49" a="1"/>
  <c r="M160" i="49" s="1"/>
  <c r="N160" i="49" a="1"/>
  <c r="N160" i="49" s="1"/>
  <c r="M190" i="49" a="1"/>
  <c r="M190" i="49" s="1"/>
  <c r="N190" i="49" a="1"/>
  <c r="N190" i="49" s="1"/>
  <c r="M223" i="49" a="1"/>
  <c r="M223" i="49" s="1"/>
  <c r="N223" i="49" a="1"/>
  <c r="N223" i="49" s="1"/>
  <c r="M219" i="49" a="1"/>
  <c r="M219" i="49" s="1"/>
  <c r="N219" i="49" a="1"/>
  <c r="N219" i="49" s="1"/>
  <c r="M122" i="49" a="1"/>
  <c r="M122" i="49" s="1"/>
  <c r="N122" i="49" a="1"/>
  <c r="N122" i="49" s="1"/>
  <c r="M121" i="49" a="1"/>
  <c r="M121" i="49" s="1"/>
  <c r="N121" i="49" a="1"/>
  <c r="N121" i="49" s="1"/>
  <c r="M164" i="49" a="1"/>
  <c r="M164" i="49" s="1"/>
  <c r="N164" i="49" a="1"/>
  <c r="N164" i="49" s="1"/>
  <c r="M120" i="49" a="1"/>
  <c r="M120" i="49" s="1"/>
  <c r="N120" i="49" a="1"/>
  <c r="N120" i="49" s="1"/>
  <c r="M137" i="49"/>
  <c r="N137" i="49"/>
  <c r="M165" i="49" a="1"/>
  <c r="M165" i="49" s="1"/>
  <c r="N165" i="49" a="1"/>
  <c r="N165" i="49" s="1"/>
  <c r="M125" i="49" a="1"/>
  <c r="M125" i="49" s="1"/>
  <c r="N125" i="49" a="1"/>
  <c r="N125" i="49" s="1"/>
  <c r="M162" i="49" a="1"/>
  <c r="M162" i="49" s="1"/>
  <c r="N162" i="49" a="1"/>
  <c r="N162" i="49" s="1"/>
  <c r="M194" i="49" a="1"/>
  <c r="M194" i="49" s="1"/>
  <c r="N194" i="49" a="1"/>
  <c r="N194" i="49" s="1"/>
  <c r="M193" i="49" a="1"/>
  <c r="M193" i="49" s="1"/>
  <c r="N193" i="49" a="1"/>
  <c r="N193" i="49" s="1"/>
  <c r="K166" i="49" a="1"/>
  <c r="K166" i="49" s="1"/>
  <c r="L166" i="49" a="1"/>
  <c r="L166" i="49" s="1"/>
  <c r="K124" i="49" a="1"/>
  <c r="K124" i="49" s="1"/>
  <c r="L124" i="49" a="1"/>
  <c r="L124" i="49" s="1"/>
  <c r="K222" i="49" a="1"/>
  <c r="K222" i="49" s="1"/>
  <c r="L222" i="49" a="1"/>
  <c r="L222" i="49" s="1"/>
  <c r="K135" i="49" a="1"/>
  <c r="K135" i="49" s="1"/>
  <c r="L135" i="49" a="1"/>
  <c r="L135" i="49" s="1"/>
  <c r="K126" i="49" a="1"/>
  <c r="K126" i="49" s="1"/>
  <c r="L126" i="49" a="1"/>
  <c r="L126" i="49" s="1"/>
  <c r="K195" i="49" a="1"/>
  <c r="K195" i="49" s="1"/>
  <c r="L195" i="49" a="1"/>
  <c r="L195" i="49" s="1"/>
  <c r="K161" i="49" a="1"/>
  <c r="K161" i="49" s="1"/>
  <c r="L161" i="49" a="1"/>
  <c r="L161" i="49" s="1"/>
  <c r="K191" i="49" a="1"/>
  <c r="K191" i="49" s="1"/>
  <c r="L191" i="49" a="1"/>
  <c r="L191" i="49" s="1"/>
  <c r="K221" i="49" a="1"/>
  <c r="K221" i="49" s="1"/>
  <c r="L221" i="49" a="1"/>
  <c r="L221" i="49" s="1"/>
  <c r="K218" i="49" a="1"/>
  <c r="K218" i="49" s="1"/>
  <c r="L218" i="49" a="1"/>
  <c r="L218" i="49" s="1"/>
  <c r="K160" i="49" a="1"/>
  <c r="K160" i="49" s="1"/>
  <c r="L160" i="49" a="1"/>
  <c r="L160" i="49" s="1"/>
  <c r="K190" i="49" a="1"/>
  <c r="K190" i="49" s="1"/>
  <c r="L190" i="49" a="1"/>
  <c r="L190" i="49" s="1"/>
  <c r="K223" i="49" a="1"/>
  <c r="K223" i="49" s="1"/>
  <c r="L223" i="49" a="1"/>
  <c r="L223" i="49" s="1"/>
  <c r="K219" i="49" a="1"/>
  <c r="K219" i="49" s="1"/>
  <c r="L219" i="49" a="1"/>
  <c r="L219" i="49" s="1"/>
  <c r="K122" i="49" a="1"/>
  <c r="K122" i="49" s="1"/>
  <c r="L122" i="49" a="1"/>
  <c r="L122" i="49" s="1"/>
  <c r="K121" i="49" a="1"/>
  <c r="K121" i="49" s="1"/>
  <c r="L121" i="49" a="1"/>
  <c r="L121" i="49" s="1"/>
  <c r="K164" i="49" a="1"/>
  <c r="K164" i="49" s="1"/>
  <c r="L164" i="49" a="1"/>
  <c r="L164" i="49" s="1"/>
  <c r="K120" i="49" a="1"/>
  <c r="K120" i="49" s="1"/>
  <c r="L120" i="49" a="1"/>
  <c r="L120" i="49" s="1"/>
  <c r="K137" i="49"/>
  <c r="L137" i="49"/>
  <c r="K165" i="49" a="1"/>
  <c r="K165" i="49" s="1"/>
  <c r="L165" i="49" a="1"/>
  <c r="L165" i="49" s="1"/>
  <c r="K125" i="49" a="1"/>
  <c r="K125" i="49" s="1"/>
  <c r="L125" i="49" a="1"/>
  <c r="L125" i="49" s="1"/>
  <c r="K162" i="49" a="1"/>
  <c r="K162" i="49" s="1"/>
  <c r="L162" i="49" a="1"/>
  <c r="L162" i="49" s="1"/>
  <c r="K194" i="49" a="1"/>
  <c r="K194" i="49" s="1"/>
  <c r="L194" i="49" a="1"/>
  <c r="L194" i="49" s="1"/>
  <c r="K193" i="49" a="1"/>
  <c r="K193" i="49" s="1"/>
  <c r="L193" i="49" a="1"/>
  <c r="L193" i="49" s="1"/>
  <c r="F90" i="49"/>
  <c r="F96" i="49" s="1"/>
  <c r="F87" i="49"/>
  <c r="F95" i="49" s="1"/>
  <c r="F318" i="49"/>
  <c r="F324" i="49" s="1"/>
  <c r="H324" i="49" s="1"/>
  <c r="F315" i="49"/>
  <c r="G327" i="49" s="1"/>
  <c r="O365" i="49"/>
  <c r="K365" i="49"/>
  <c r="L365" i="49"/>
  <c r="M365" i="49"/>
  <c r="N365" i="49"/>
  <c r="G61" i="44"/>
  <c r="M18" i="49"/>
  <c r="N18" i="49"/>
  <c r="L18" i="49"/>
  <c r="O18" i="49"/>
  <c r="M47" i="49"/>
  <c r="L47" i="49"/>
  <c r="K47" i="49"/>
  <c r="O47" i="49"/>
  <c r="N47" i="49"/>
  <c r="M19" i="49"/>
  <c r="L19" i="49"/>
  <c r="N19" i="49"/>
  <c r="O19" i="49"/>
  <c r="M249" i="49"/>
  <c r="O249" i="49"/>
  <c r="K249" i="49"/>
  <c r="N249" i="49"/>
  <c r="L249" i="49"/>
  <c r="O261" i="49"/>
  <c r="K261" i="49"/>
  <c r="M261" i="49"/>
  <c r="L261" i="49"/>
  <c r="N261" i="49"/>
  <c r="O274" i="49"/>
  <c r="N274" i="49"/>
  <c r="M274" i="49"/>
  <c r="L274" i="49"/>
  <c r="K274" i="49"/>
  <c r="N262" i="49"/>
  <c r="M262" i="49"/>
  <c r="L262" i="49"/>
  <c r="K262" i="49"/>
  <c r="O262" i="49"/>
  <c r="N32" i="49"/>
  <c r="K32" i="49"/>
  <c r="O32" i="49"/>
  <c r="L32" i="49"/>
  <c r="M32" i="49"/>
  <c r="N248" i="49"/>
  <c r="K248" i="49"/>
  <c r="O248" i="49"/>
  <c r="L248" i="49"/>
  <c r="M248" i="49"/>
  <c r="M46" i="49"/>
  <c r="O46" i="49"/>
  <c r="K46" i="49"/>
  <c r="N46" i="49"/>
  <c r="L46" i="49"/>
  <c r="O275" i="49"/>
  <c r="M275" i="49"/>
  <c r="K275" i="49"/>
  <c r="L275" i="49"/>
  <c r="N275" i="49"/>
  <c r="O33" i="49"/>
  <c r="M33" i="49"/>
  <c r="K33" i="49"/>
  <c r="N33" i="49"/>
  <c r="L33" i="49"/>
  <c r="G25" i="44"/>
  <c r="G42" i="44"/>
  <c r="H25" i="44"/>
  <c r="H42" i="44"/>
  <c r="I25" i="44"/>
  <c r="I42" i="44"/>
  <c r="J25" i="44"/>
  <c r="J42" i="44"/>
  <c r="K25" i="44"/>
  <c r="K42" i="44"/>
  <c r="E412" i="44"/>
  <c r="F412" i="44"/>
  <c r="E413" i="44"/>
  <c r="F413" i="44"/>
  <c r="E414" i="44"/>
  <c r="F414" i="44"/>
  <c r="E415" i="44"/>
  <c r="F415" i="44"/>
  <c r="E416" i="44"/>
  <c r="F416" i="44"/>
  <c r="E411" i="44"/>
  <c r="F411" i="44"/>
  <c r="F155" i="44"/>
  <c r="F154" i="44"/>
  <c r="F153" i="44"/>
  <c r="F152" i="44"/>
  <c r="F151" i="44"/>
  <c r="F150" i="44"/>
  <c r="E151" i="44"/>
  <c r="E152" i="44"/>
  <c r="E153" i="44"/>
  <c r="E154" i="44"/>
  <c r="E155" i="44"/>
  <c r="E150" i="44"/>
  <c r="N84" i="84" l="1"/>
  <c r="N84" i="85"/>
  <c r="N84" i="83"/>
  <c r="P84" i="84"/>
  <c r="P84" i="85"/>
  <c r="P84" i="83"/>
  <c r="O84" i="84"/>
  <c r="O84" i="83"/>
  <c r="O84" i="85"/>
  <c r="M84" i="85"/>
  <c r="M84" i="83"/>
  <c r="M84" i="84"/>
  <c r="D72" i="85"/>
  <c r="D72" i="83"/>
  <c r="D72" i="84"/>
  <c r="L84" i="85"/>
  <c r="L84" i="83"/>
  <c r="L84" i="84"/>
  <c r="K250" i="49"/>
  <c r="L250" i="49"/>
  <c r="F327" i="49"/>
  <c r="F328" i="49"/>
  <c r="F323" i="49"/>
  <c r="H328" i="49"/>
  <c r="I328" i="49"/>
  <c r="N395" i="49" s="1"/>
  <c r="H327" i="49"/>
  <c r="G328" i="49"/>
  <c r="L391" i="49" s="1"/>
  <c r="I327" i="49"/>
  <c r="N355" i="49" s="1"/>
  <c r="J328" i="49"/>
  <c r="J327" i="49"/>
  <c r="F99" i="49"/>
  <c r="H99" i="49" s="1"/>
  <c r="J99" i="49" s="1"/>
  <c r="F100" i="49"/>
  <c r="H100" i="49" s="1"/>
  <c r="J100" i="49" s="1"/>
  <c r="F97" i="49"/>
  <c r="H95" i="49"/>
  <c r="J95" i="49" s="1"/>
  <c r="J97" i="49" s="1"/>
  <c r="H96" i="49"/>
  <c r="H98" i="49" s="1"/>
  <c r="F98" i="49"/>
  <c r="M250" i="49"/>
  <c r="M263" i="49"/>
  <c r="O276" i="49"/>
  <c r="N250" i="49"/>
  <c r="N263" i="49"/>
  <c r="O263" i="49"/>
  <c r="L405" i="49" a="1"/>
  <c r="L405" i="49" s="1"/>
  <c r="K409" i="49" a="1"/>
  <c r="K409" i="49" s="1"/>
  <c r="O338" i="49" a="1"/>
  <c r="O338" i="49" s="1"/>
  <c r="J324" i="49"/>
  <c r="J326" i="49" s="1"/>
  <c r="H326" i="49"/>
  <c r="O375" i="49" a="1"/>
  <c r="O375" i="49" s="1"/>
  <c r="O433" i="49" a="1"/>
  <c r="O433" i="49" s="1"/>
  <c r="M376" i="49" a="1"/>
  <c r="M376" i="49" s="1"/>
  <c r="M336" i="49" a="1"/>
  <c r="M336" i="49" s="1"/>
  <c r="K437" i="49" a="1"/>
  <c r="K437" i="49" s="1"/>
  <c r="L263" i="49"/>
  <c r="O177" i="49" a="1"/>
  <c r="O177" i="49" s="1"/>
  <c r="L107" i="49" a="1"/>
  <c r="L107" i="49" s="1"/>
  <c r="M107" i="49" a="1"/>
  <c r="M107" i="49" s="1"/>
  <c r="N107" i="49" a="1"/>
  <c r="N107" i="49" s="1"/>
  <c r="O108" i="49" a="1"/>
  <c r="O108" i="49" s="1"/>
  <c r="O107" i="49" a="1"/>
  <c r="O107" i="49" s="1"/>
  <c r="N108" i="49" a="1"/>
  <c r="N108" i="49" s="1"/>
  <c r="K107" i="49" a="1"/>
  <c r="K107" i="49" s="1"/>
  <c r="K108" i="49" a="1"/>
  <c r="K108" i="49" s="1"/>
  <c r="M108" i="49" a="1"/>
  <c r="M108" i="49" s="1"/>
  <c r="O148" i="49" a="1"/>
  <c r="O148" i="49" s="1"/>
  <c r="L147" i="49" a="1"/>
  <c r="L147" i="49" s="1"/>
  <c r="N147" i="49" a="1"/>
  <c r="N147" i="49" s="1"/>
  <c r="K147" i="49" a="1"/>
  <c r="K147" i="49" s="1"/>
  <c r="M147" i="49" a="1"/>
  <c r="M147" i="49" s="1"/>
  <c r="O147" i="49" a="1"/>
  <c r="O147" i="49" s="1"/>
  <c r="L108" i="49" a="1"/>
  <c r="L108" i="49" s="1"/>
  <c r="L148" i="49" a="1"/>
  <c r="L148" i="49" s="1"/>
  <c r="N148" i="49" a="1"/>
  <c r="N148" i="49" s="1"/>
  <c r="K148" i="49" a="1"/>
  <c r="K148" i="49" s="1"/>
  <c r="M148" i="49" a="1"/>
  <c r="M148" i="49" s="1"/>
  <c r="K335" i="49" a="1"/>
  <c r="K335" i="49" s="1"/>
  <c r="O405" i="49" a="1"/>
  <c r="O405" i="49" s="1"/>
  <c r="O409" i="49" a="1"/>
  <c r="O409" i="49" s="1"/>
  <c r="N338" i="49" a="1"/>
  <c r="N338" i="49" s="1"/>
  <c r="K436" i="49" a="1"/>
  <c r="K436" i="49" s="1"/>
  <c r="N375" i="49" a="1"/>
  <c r="N375" i="49" s="1"/>
  <c r="N433" i="49" a="1"/>
  <c r="N433" i="49" s="1"/>
  <c r="L376" i="49" a="1"/>
  <c r="L376" i="49" s="1"/>
  <c r="N336" i="49" a="1"/>
  <c r="N336" i="49" s="1"/>
  <c r="N379" i="49" a="1"/>
  <c r="N379" i="49" s="1"/>
  <c r="N437" i="49" a="1"/>
  <c r="N437" i="49" s="1"/>
  <c r="K405" i="49" a="1"/>
  <c r="K405" i="49" s="1"/>
  <c r="M375" i="49" a="1"/>
  <c r="M375" i="49" s="1"/>
  <c r="O437" i="49" a="1"/>
  <c r="O437" i="49" s="1"/>
  <c r="K276" i="49"/>
  <c r="K263" i="49"/>
  <c r="N335" i="49" a="1"/>
  <c r="N335" i="49" s="1"/>
  <c r="O378" i="49" a="1"/>
  <c r="O378" i="49" s="1"/>
  <c r="M409" i="49" a="1"/>
  <c r="M409" i="49" s="1"/>
  <c r="K434" i="49" a="1"/>
  <c r="K434" i="49" s="1"/>
  <c r="M436" i="49" a="1"/>
  <c r="M436" i="49" s="1"/>
  <c r="K339" i="49" a="1"/>
  <c r="K339" i="49" s="1"/>
  <c r="L433" i="49" a="1"/>
  <c r="L433" i="49" s="1"/>
  <c r="O406" i="49" a="1"/>
  <c r="O406" i="49" s="1"/>
  <c r="K336" i="49" a="1"/>
  <c r="K336" i="49" s="1"/>
  <c r="O379" i="49" a="1"/>
  <c r="O379" i="49" s="1"/>
  <c r="N408" i="49" a="1"/>
  <c r="N408" i="49" s="1"/>
  <c r="O434" i="49" a="1"/>
  <c r="O434" i="49" s="1"/>
  <c r="L436" i="49" a="1"/>
  <c r="L436" i="49" s="1"/>
  <c r="O336" i="49" a="1"/>
  <c r="O336" i="49" s="1"/>
  <c r="L276" i="49"/>
  <c r="M335" i="49" a="1"/>
  <c r="M335" i="49" s="1"/>
  <c r="N378" i="49" a="1"/>
  <c r="N378" i="49" s="1"/>
  <c r="L409" i="49" a="1"/>
  <c r="L409" i="49" s="1"/>
  <c r="L434" i="49" a="1"/>
  <c r="L434" i="49" s="1"/>
  <c r="N436" i="49" a="1"/>
  <c r="N436" i="49" s="1"/>
  <c r="L339" i="49" a="1"/>
  <c r="L339" i="49" s="1"/>
  <c r="M433" i="49" a="1"/>
  <c r="M433" i="49" s="1"/>
  <c r="N406" i="49" a="1"/>
  <c r="N406" i="49" s="1"/>
  <c r="L379" i="49" a="1"/>
  <c r="L379" i="49" s="1"/>
  <c r="O408" i="49" a="1"/>
  <c r="O408" i="49" s="1"/>
  <c r="N409" i="49" a="1"/>
  <c r="N409" i="49" s="1"/>
  <c r="K406" i="49" a="1"/>
  <c r="K406" i="49" s="1"/>
  <c r="M276" i="49"/>
  <c r="L335" i="49" a="1"/>
  <c r="L335" i="49" s="1"/>
  <c r="K378" i="49" a="1"/>
  <c r="K378" i="49" s="1"/>
  <c r="L338" i="49" a="1"/>
  <c r="L338" i="49" s="1"/>
  <c r="N434" i="49" a="1"/>
  <c r="N434" i="49" s="1"/>
  <c r="O436" i="49" a="1"/>
  <c r="O436" i="49" s="1"/>
  <c r="M339" i="49" a="1"/>
  <c r="M339" i="49" s="1"/>
  <c r="K376" i="49" a="1"/>
  <c r="K376" i="49" s="1"/>
  <c r="M406" i="49" a="1"/>
  <c r="M406" i="49" s="1"/>
  <c r="K379" i="49" a="1"/>
  <c r="K379" i="49" s="1"/>
  <c r="K408" i="49" a="1"/>
  <c r="K408" i="49" s="1"/>
  <c r="O335" i="49" a="1"/>
  <c r="O335" i="49" s="1"/>
  <c r="K433" i="49" a="1"/>
  <c r="K433" i="49" s="1"/>
  <c r="M379" i="49" a="1"/>
  <c r="M379" i="49" s="1"/>
  <c r="O250" i="49"/>
  <c r="N276" i="49"/>
  <c r="N405" i="49" a="1"/>
  <c r="N405" i="49" s="1"/>
  <c r="M378" i="49" a="1"/>
  <c r="M378" i="49" s="1"/>
  <c r="M338" i="49" a="1"/>
  <c r="M338" i="49" s="1"/>
  <c r="M434" i="49" a="1"/>
  <c r="M434" i="49" s="1"/>
  <c r="K375" i="49" a="1"/>
  <c r="K375" i="49" s="1"/>
  <c r="N339" i="49" a="1"/>
  <c r="N339" i="49" s="1"/>
  <c r="O376" i="49" a="1"/>
  <c r="O376" i="49" s="1"/>
  <c r="L406" i="49" a="1"/>
  <c r="L406" i="49" s="1"/>
  <c r="L437" i="49" a="1"/>
  <c r="L437" i="49" s="1"/>
  <c r="M408" i="49" a="1"/>
  <c r="M408" i="49" s="1"/>
  <c r="M405" i="49" a="1"/>
  <c r="M405" i="49" s="1"/>
  <c r="L378" i="49" a="1"/>
  <c r="L378" i="49" s="1"/>
  <c r="K338" i="49" a="1"/>
  <c r="K338" i="49" s="1"/>
  <c r="L375" i="49" a="1"/>
  <c r="L375" i="49" s="1"/>
  <c r="O339" i="49" a="1"/>
  <c r="O339" i="49" s="1"/>
  <c r="N376" i="49" a="1"/>
  <c r="N376" i="49" s="1"/>
  <c r="L336" i="49" a="1"/>
  <c r="L336" i="49" s="1"/>
  <c r="M437" i="49" a="1"/>
  <c r="M437" i="49" s="1"/>
  <c r="F60" i="63"/>
  <c r="L80" i="63" a="1"/>
  <c r="L80" i="63" s="1"/>
  <c r="H95" i="63" a="1"/>
  <c r="H95" i="63" s="1"/>
  <c r="I96" i="63" a="1"/>
  <c r="I96" i="63" s="1"/>
  <c r="I132" i="63" s="1"/>
  <c r="H96" i="63" a="1"/>
  <c r="H96" i="63" s="1"/>
  <c r="H132" i="63" s="1"/>
  <c r="J80" i="63" a="1"/>
  <c r="J80" i="63" s="1"/>
  <c r="H79" i="63" a="1"/>
  <c r="H79" i="63" s="1"/>
  <c r="H115" i="63" s="1"/>
  <c r="J79" i="63" a="1"/>
  <c r="J79" i="63" s="1"/>
  <c r="L76" i="63" a="1"/>
  <c r="L76" i="63" s="1"/>
  <c r="L79" i="63" a="1"/>
  <c r="L79" i="63" s="1"/>
  <c r="K81" i="63" a="1"/>
  <c r="K81" i="63" s="1"/>
  <c r="I80" i="63" a="1"/>
  <c r="I80" i="63" s="1"/>
  <c r="L95" i="63" a="1"/>
  <c r="L95" i="63" s="1"/>
  <c r="L131" i="63" s="1"/>
  <c r="K79" i="63" a="1"/>
  <c r="K79" i="63" s="1"/>
  <c r="I92" i="63" a="1"/>
  <c r="I92" i="63" s="1"/>
  <c r="H94" i="63" a="1"/>
  <c r="H94" i="63" s="1"/>
  <c r="H80" i="63" a="1"/>
  <c r="H80" i="63" s="1"/>
  <c r="L92" i="63" a="1"/>
  <c r="L92" i="63" s="1"/>
  <c r="J96" i="63" a="1"/>
  <c r="J96" i="63" s="1"/>
  <c r="J132" i="63" s="1"/>
  <c r="I95" i="63" a="1"/>
  <c r="I95" i="63" s="1"/>
  <c r="I131" i="63" s="1"/>
  <c r="H78" i="63" a="1"/>
  <c r="H78" i="63" s="1"/>
  <c r="K92" i="63" a="1"/>
  <c r="K92" i="63" s="1"/>
  <c r="K80" i="63" a="1"/>
  <c r="K80" i="63" s="1"/>
  <c r="I81" i="63" a="1"/>
  <c r="I81" i="63" s="1"/>
  <c r="J76" i="63" a="1"/>
  <c r="J76" i="63" s="1"/>
  <c r="J95" i="63" a="1"/>
  <c r="J95" i="63" s="1"/>
  <c r="J131" i="63" s="1"/>
  <c r="H77" i="63" a="1"/>
  <c r="H77" i="63" s="1"/>
  <c r="I79" i="63" a="1"/>
  <c r="I79" i="63" s="1"/>
  <c r="J81" i="63" a="1"/>
  <c r="J81" i="63" s="1"/>
  <c r="L96" i="63" a="1"/>
  <c r="L96" i="63" s="1"/>
  <c r="L132" i="63" s="1"/>
  <c r="K76" i="63" a="1"/>
  <c r="K76" i="63" s="1"/>
  <c r="L81" i="63" a="1"/>
  <c r="L81" i="63" s="1"/>
  <c r="K95" i="63" a="1"/>
  <c r="K95" i="63" s="1"/>
  <c r="K131" i="63" s="1"/>
  <c r="H93" i="63" a="1"/>
  <c r="H93" i="63" s="1"/>
  <c r="J92" i="63" a="1"/>
  <c r="J92" i="63" s="1"/>
  <c r="H81" i="63" a="1"/>
  <c r="H81" i="63" s="1"/>
  <c r="I76" i="63" a="1"/>
  <c r="I76" i="63" s="1"/>
  <c r="K96" i="63" a="1"/>
  <c r="K96" i="63" s="1"/>
  <c r="K132" i="63" s="1"/>
  <c r="K507" i="44"/>
  <c r="N208" i="49" a="1"/>
  <c r="N208" i="49" s="1"/>
  <c r="K181" i="49" a="1"/>
  <c r="K181" i="49" s="1"/>
  <c r="N110" i="49" a="1"/>
  <c r="N110" i="49" s="1"/>
  <c r="L208" i="49" a="1"/>
  <c r="L208" i="49" s="1"/>
  <c r="L110" i="49" a="1"/>
  <c r="L110" i="49" s="1"/>
  <c r="M178" i="49" a="1"/>
  <c r="M178" i="49" s="1"/>
  <c r="K178" i="49" a="1"/>
  <c r="K178" i="49" s="1"/>
  <c r="N180" i="49" a="1"/>
  <c r="N180" i="49" s="1"/>
  <c r="L180" i="49" a="1"/>
  <c r="L180" i="49" s="1"/>
  <c r="N177" i="49" a="1"/>
  <c r="N177" i="49" s="1"/>
  <c r="L205" i="49" a="1"/>
  <c r="L205" i="49" s="1"/>
  <c r="K209" i="49" a="1"/>
  <c r="K209" i="49" s="1"/>
  <c r="L206" i="49" a="1"/>
  <c r="L206" i="49" s="1"/>
  <c r="L177" i="49" a="1"/>
  <c r="L177" i="49" s="1"/>
  <c r="N205" i="49" a="1"/>
  <c r="N205" i="49" s="1"/>
  <c r="M209" i="49" a="1"/>
  <c r="M209" i="49" s="1"/>
  <c r="N206" i="49" a="1"/>
  <c r="N206" i="49" s="1"/>
  <c r="M177" i="49" a="1"/>
  <c r="M177" i="49" s="1"/>
  <c r="O180" i="49" a="1"/>
  <c r="O180" i="49" s="1"/>
  <c r="L111" i="49" a="1"/>
  <c r="L111" i="49" s="1"/>
  <c r="K151" i="49" a="1"/>
  <c r="K151" i="49" s="1"/>
  <c r="K150" i="49" a="1"/>
  <c r="K150" i="49" s="1"/>
  <c r="N111" i="49" a="1"/>
  <c r="N111" i="49" s="1"/>
  <c r="M151" i="49" a="1"/>
  <c r="M151" i="49" s="1"/>
  <c r="K205" i="49" a="1"/>
  <c r="K205" i="49" s="1"/>
  <c r="K208" i="49" a="1"/>
  <c r="K208" i="49" s="1"/>
  <c r="K111" i="49" a="1"/>
  <c r="K111" i="49" s="1"/>
  <c r="K206" i="49" a="1"/>
  <c r="K206" i="49" s="1"/>
  <c r="K180" i="49" a="1"/>
  <c r="K180" i="49" s="1"/>
  <c r="K177" i="49" a="1"/>
  <c r="K177" i="49" s="1"/>
  <c r="M205" i="49" a="1"/>
  <c r="M205" i="49" s="1"/>
  <c r="M208" i="49" a="1"/>
  <c r="M208" i="49" s="1"/>
  <c r="M111" i="49" a="1"/>
  <c r="M111" i="49" s="1"/>
  <c r="M110" i="49" a="1"/>
  <c r="M110" i="49" s="1"/>
  <c r="M206" i="49" a="1"/>
  <c r="M206" i="49" s="1"/>
  <c r="M180" i="49" a="1"/>
  <c r="M180" i="49" s="1"/>
  <c r="O181" i="49" a="1"/>
  <c r="O181" i="49" s="1"/>
  <c r="K110" i="49" a="1"/>
  <c r="K110" i="49" s="1"/>
  <c r="L209" i="49" a="1"/>
  <c r="L209" i="49" s="1"/>
  <c r="L178" i="49" a="1"/>
  <c r="L178" i="49" s="1"/>
  <c r="L151" i="49" a="1"/>
  <c r="L151" i="49" s="1"/>
  <c r="L181" i="49" a="1"/>
  <c r="L181" i="49" s="1"/>
  <c r="L150" i="49" a="1"/>
  <c r="L150" i="49" s="1"/>
  <c r="N209" i="49" a="1"/>
  <c r="N209" i="49" s="1"/>
  <c r="N178" i="49" a="1"/>
  <c r="N178" i="49" s="1"/>
  <c r="N151" i="49" a="1"/>
  <c r="N151" i="49" s="1"/>
  <c r="M181" i="49" a="1"/>
  <c r="M181" i="49" s="1"/>
  <c r="N181" i="49" a="1"/>
  <c r="N181" i="49" s="1"/>
  <c r="N150" i="49" a="1"/>
  <c r="N150" i="49" s="1"/>
  <c r="O206" i="49" a="1"/>
  <c r="O206" i="49" s="1"/>
  <c r="M150" i="49" a="1"/>
  <c r="M150" i="49" s="1"/>
  <c r="O178" i="49" a="1"/>
  <c r="O178" i="49" s="1"/>
  <c r="O151" i="49" a="1"/>
  <c r="O151" i="49" s="1"/>
  <c r="O150" i="49" a="1"/>
  <c r="O150" i="49" s="1"/>
  <c r="O110" i="49" a="1"/>
  <c r="O110" i="49" s="1"/>
  <c r="O209" i="49" a="1"/>
  <c r="O209" i="49" s="1"/>
  <c r="O205" i="49" a="1"/>
  <c r="O205" i="49" s="1"/>
  <c r="O208" i="49" a="1"/>
  <c r="O208" i="49" s="1"/>
  <c r="G312" i="44"/>
  <c r="K312" i="44"/>
  <c r="H312" i="44"/>
  <c r="J312" i="44"/>
  <c r="I312" i="44"/>
  <c r="O111" i="49" a="1"/>
  <c r="O111" i="49" s="1"/>
  <c r="O448" i="49"/>
  <c r="M420" i="49"/>
  <c r="K448" i="49"/>
  <c r="L420" i="49"/>
  <c r="L448" i="49"/>
  <c r="K420" i="49"/>
  <c r="N420" i="49"/>
  <c r="M448" i="49"/>
  <c r="O420" i="49"/>
  <c r="L355" i="49"/>
  <c r="N448" i="49"/>
  <c r="K192" i="49"/>
  <c r="N167" i="49"/>
  <c r="L167" i="49"/>
  <c r="L127" i="49"/>
  <c r="N123" i="49"/>
  <c r="M196" i="49"/>
  <c r="O196" i="49"/>
  <c r="M192" i="49"/>
  <c r="L224" i="49"/>
  <c r="L196" i="49"/>
  <c r="M224" i="49"/>
  <c r="N224" i="49"/>
  <c r="N220" i="49"/>
  <c r="K224" i="49"/>
  <c r="M220" i="49"/>
  <c r="O224" i="49"/>
  <c r="O192" i="49"/>
  <c r="K220" i="49"/>
  <c r="N196" i="49"/>
  <c r="N192" i="49"/>
  <c r="O220" i="49"/>
  <c r="K196" i="49"/>
  <c r="L192" i="49"/>
  <c r="L220" i="49"/>
  <c r="L279" i="49"/>
  <c r="K34" i="49"/>
  <c r="N20" i="49"/>
  <c r="L20" i="49"/>
  <c r="M266" i="49"/>
  <c r="O23" i="49"/>
  <c r="O279" i="49"/>
  <c r="K266" i="49"/>
  <c r="N279" i="49"/>
  <c r="L266" i="49"/>
  <c r="O20" i="49"/>
  <c r="L51" i="49"/>
  <c r="L34" i="49"/>
  <c r="M34" i="49"/>
  <c r="K279" i="49"/>
  <c r="M279" i="49"/>
  <c r="K253" i="49"/>
  <c r="N266" i="49"/>
  <c r="L37" i="49"/>
  <c r="M48" i="49"/>
  <c r="N34" i="49"/>
  <c r="K23" i="49"/>
  <c r="N23" i="49"/>
  <c r="M23" i="49"/>
  <c r="N253" i="49"/>
  <c r="M20" i="49"/>
  <c r="N37" i="49"/>
  <c r="O253" i="49"/>
  <c r="O37" i="49"/>
  <c r="M51" i="49"/>
  <c r="L253" i="49"/>
  <c r="M37" i="49"/>
  <c r="K51" i="49"/>
  <c r="L23" i="49"/>
  <c r="N48" i="49"/>
  <c r="O266" i="49"/>
  <c r="O51" i="49"/>
  <c r="O48" i="49"/>
  <c r="O34" i="49"/>
  <c r="N51" i="49"/>
  <c r="K48" i="49"/>
  <c r="M253" i="49"/>
  <c r="K37" i="49"/>
  <c r="L48" i="49"/>
  <c r="C79" i="44"/>
  <c r="H117" i="63" l="1"/>
  <c r="L117" i="63"/>
  <c r="J117" i="63"/>
  <c r="K117" i="63"/>
  <c r="H131" i="63"/>
  <c r="L115" i="63"/>
  <c r="L116" i="63"/>
  <c r="I116" i="63"/>
  <c r="H116" i="63"/>
  <c r="I117" i="63"/>
  <c r="J115" i="63"/>
  <c r="I115" i="63"/>
  <c r="K116" i="63"/>
  <c r="K115" i="63"/>
  <c r="J116" i="63"/>
  <c r="M391" i="49"/>
  <c r="F325" i="49"/>
  <c r="K351" i="49" s="1"/>
  <c r="H323" i="49"/>
  <c r="O127" i="49"/>
  <c r="M163" i="49"/>
  <c r="J96" i="49"/>
  <c r="J98" i="49" s="1"/>
  <c r="O167" i="49" s="1"/>
  <c r="H97" i="49"/>
  <c r="M127" i="49" s="1"/>
  <c r="N24" i="49"/>
  <c r="M24" i="49"/>
  <c r="L24" i="49"/>
  <c r="K24" i="49"/>
  <c r="O24" i="49"/>
  <c r="K438" i="49"/>
  <c r="O395" i="49"/>
  <c r="M438" i="49"/>
  <c r="O435" i="49"/>
  <c r="O438" i="49"/>
  <c r="N438" i="49"/>
  <c r="K435" i="49"/>
  <c r="O179" i="49"/>
  <c r="M435" i="49"/>
  <c r="L435" i="49"/>
  <c r="L438" i="49"/>
  <c r="N435" i="49"/>
  <c r="L179" i="49"/>
  <c r="O407" i="49"/>
  <c r="N182" i="49"/>
  <c r="L149" i="49"/>
  <c r="L210" i="49"/>
  <c r="N210" i="49"/>
  <c r="K182" i="49"/>
  <c r="L182" i="49"/>
  <c r="L112" i="49"/>
  <c r="M152" i="49"/>
  <c r="K179" i="49"/>
  <c r="M179" i="49"/>
  <c r="L109" i="49"/>
  <c r="N109" i="49"/>
  <c r="N179" i="49"/>
  <c r="M109" i="49"/>
  <c r="N149" i="49"/>
  <c r="N112" i="49"/>
  <c r="K210" i="49"/>
  <c r="K207" i="49"/>
  <c r="M410" i="49"/>
  <c r="L207" i="49"/>
  <c r="K112" i="49"/>
  <c r="N152" i="49"/>
  <c r="K152" i="49"/>
  <c r="K149" i="49"/>
  <c r="M210" i="49"/>
  <c r="O182" i="49"/>
  <c r="M182" i="49"/>
  <c r="L152" i="49"/>
  <c r="M112" i="49"/>
  <c r="N207" i="49"/>
  <c r="M149" i="49"/>
  <c r="M377" i="49"/>
  <c r="L407" i="49"/>
  <c r="O380" i="49"/>
  <c r="O377" i="49"/>
  <c r="L340" i="49"/>
  <c r="M207" i="49"/>
  <c r="K109" i="49"/>
  <c r="K380" i="49"/>
  <c r="K410" i="49"/>
  <c r="N410" i="49"/>
  <c r="O340" i="49"/>
  <c r="L410" i="49"/>
  <c r="K337" i="49"/>
  <c r="M337" i="49"/>
  <c r="N337" i="49"/>
  <c r="K377" i="49"/>
  <c r="N377" i="49"/>
  <c r="N340" i="49"/>
  <c r="O337" i="49"/>
  <c r="L377" i="49"/>
  <c r="L337" i="49"/>
  <c r="M407" i="49"/>
  <c r="M380" i="49"/>
  <c r="M340" i="49"/>
  <c r="K340" i="49"/>
  <c r="N380" i="49"/>
  <c r="O410" i="49"/>
  <c r="L123" i="49"/>
  <c r="L128" i="49" s="1"/>
  <c r="L130" i="49" s="1" a="1"/>
  <c r="L130" i="49" s="1"/>
  <c r="N407" i="49"/>
  <c r="K407" i="49"/>
  <c r="L380" i="49"/>
  <c r="O207" i="49"/>
  <c r="O152" i="49"/>
  <c r="O109" i="49"/>
  <c r="O112" i="49"/>
  <c r="O149" i="49"/>
  <c r="O210" i="49"/>
  <c r="N351" i="49"/>
  <c r="N424" i="49"/>
  <c r="L395" i="49"/>
  <c r="L452" i="49"/>
  <c r="L453" i="49" s="1"/>
  <c r="L455" i="49" s="1" a="1"/>
  <c r="L455" i="49" s="1"/>
  <c r="K391" i="49"/>
  <c r="M395" i="49"/>
  <c r="M452" i="49"/>
  <c r="M453" i="49" s="1"/>
  <c r="M455" i="49" s="1" a="1"/>
  <c r="M455" i="49" s="1"/>
  <c r="K395" i="49"/>
  <c r="L351" i="49"/>
  <c r="O452" i="49"/>
  <c r="O453" i="49" s="1"/>
  <c r="O455" i="49" s="1" a="1"/>
  <c r="O455" i="49" s="1"/>
  <c r="K452" i="49"/>
  <c r="K453" i="49" s="1"/>
  <c r="K455" i="49" s="1" a="1"/>
  <c r="K455" i="49" s="1"/>
  <c r="N452" i="49"/>
  <c r="N453" i="49" s="1"/>
  <c r="N455" i="49" s="1" a="1"/>
  <c r="N455" i="49" s="1"/>
  <c r="L424" i="49"/>
  <c r="O391" i="49"/>
  <c r="N391" i="49"/>
  <c r="L163" i="49"/>
  <c r="L168" i="49" s="1"/>
  <c r="L170" i="49" s="1" a="1"/>
  <c r="L170" i="49" s="1"/>
  <c r="K123" i="49"/>
  <c r="O123" i="49"/>
  <c r="N127" i="49"/>
  <c r="N163" i="49"/>
  <c r="N168" i="49" s="1"/>
  <c r="N170" i="49" s="1" a="1"/>
  <c r="N170" i="49" s="1"/>
  <c r="M167" i="49"/>
  <c r="K163" i="49"/>
  <c r="K167" i="49"/>
  <c r="K127" i="49"/>
  <c r="M197" i="49"/>
  <c r="M199" i="49" s="1" a="1"/>
  <c r="M199" i="49" s="1"/>
  <c r="K197" i="49"/>
  <c r="K199" i="49" s="1" a="1"/>
  <c r="K199" i="49" s="1"/>
  <c r="K225" i="49"/>
  <c r="K227" i="49" s="1" a="1"/>
  <c r="K227" i="49" s="1"/>
  <c r="M225" i="49"/>
  <c r="M227" i="49" s="1" a="1"/>
  <c r="M227" i="49" s="1"/>
  <c r="L225" i="49"/>
  <c r="L227" i="49" s="1" a="1"/>
  <c r="L227" i="49" s="1"/>
  <c r="N197" i="49"/>
  <c r="N199" i="49" s="1" a="1"/>
  <c r="N199" i="49" s="1"/>
  <c r="O225" i="49"/>
  <c r="O227" i="49" s="1" a="1"/>
  <c r="O227" i="49" s="1"/>
  <c r="N225" i="49"/>
  <c r="N227" i="49" s="1" a="1"/>
  <c r="N227" i="49" s="1"/>
  <c r="L197" i="49"/>
  <c r="L199" i="49" s="1" a="1"/>
  <c r="L199" i="49" s="1"/>
  <c r="O197" i="49"/>
  <c r="O199" i="49" s="1" a="1"/>
  <c r="O199" i="49" s="1"/>
  <c r="N254" i="49"/>
  <c r="L280" i="49"/>
  <c r="K38" i="49"/>
  <c r="K39" i="49" s="1"/>
  <c r="M254" i="49"/>
  <c r="M38" i="49"/>
  <c r="M39" i="49" s="1"/>
  <c r="O280" i="49"/>
  <c r="K280" i="49"/>
  <c r="K267" i="49"/>
  <c r="N267" i="49"/>
  <c r="M267" i="49"/>
  <c r="N280" i="49"/>
  <c r="L38" i="49"/>
  <c r="L39" i="49" s="1"/>
  <c r="L267" i="49"/>
  <c r="M280" i="49"/>
  <c r="L52" i="49"/>
  <c r="O254" i="49"/>
  <c r="M52" i="49"/>
  <c r="K254" i="49"/>
  <c r="N38" i="49"/>
  <c r="N39" i="49" s="1"/>
  <c r="O267" i="49"/>
  <c r="N52" i="49"/>
  <c r="L254" i="49"/>
  <c r="O52" i="49"/>
  <c r="K52" i="49"/>
  <c r="O38" i="49"/>
  <c r="O39" i="49" s="1"/>
  <c r="K355" i="49" l="1"/>
  <c r="K356" i="49" s="1"/>
  <c r="K358" i="49" s="1" a="1"/>
  <c r="K358" i="49" s="1"/>
  <c r="K424" i="49"/>
  <c r="O128" i="49"/>
  <c r="O130" i="49" s="1" a="1"/>
  <c r="O130" i="49" s="1"/>
  <c r="M123" i="49"/>
  <c r="O163" i="49"/>
  <c r="K439" i="49"/>
  <c r="K441" i="49" s="1" a="1"/>
  <c r="K441" i="49" s="1"/>
  <c r="K442" i="49" s="1"/>
  <c r="J323" i="49"/>
  <c r="H325" i="49"/>
  <c r="K153" i="49"/>
  <c r="K155" i="49" s="1" a="1"/>
  <c r="K155" i="49" s="1"/>
  <c r="L113" i="49"/>
  <c r="L115" i="49" s="1" a="1"/>
  <c r="L115" i="49" s="1"/>
  <c r="N183" i="49"/>
  <c r="N185" i="49" s="1" a="1"/>
  <c r="N185" i="49" s="1"/>
  <c r="L153" i="49"/>
  <c r="L155" i="49" s="1" a="1"/>
  <c r="L155" i="49" s="1"/>
  <c r="K211" i="49"/>
  <c r="K213" i="49" s="1" a="1"/>
  <c r="K213" i="49" s="1"/>
  <c r="L183" i="49"/>
  <c r="L185" i="49" s="1" a="1"/>
  <c r="L185" i="49" s="1"/>
  <c r="L186" i="49" s="1"/>
  <c r="L187" i="49" s="1"/>
  <c r="L69" i="49" s="1"/>
  <c r="M128" i="49"/>
  <c r="M130" i="49" s="1" a="1"/>
  <c r="M130" i="49" s="1"/>
  <c r="O183" i="49"/>
  <c r="O185" i="49" s="1" a="1"/>
  <c r="O185" i="49" s="1"/>
  <c r="N113" i="49"/>
  <c r="N115" i="49" s="1" a="1"/>
  <c r="N115" i="49" s="1"/>
  <c r="N153" i="49"/>
  <c r="N155" i="49" s="1" a="1"/>
  <c r="N155" i="49" s="1"/>
  <c r="N156" i="49" s="1"/>
  <c r="N157" i="49" s="1"/>
  <c r="N66" i="49" s="1"/>
  <c r="M113" i="49"/>
  <c r="M115" i="49" s="1" a="1"/>
  <c r="M115" i="49" s="1"/>
  <c r="M116" i="49" s="1"/>
  <c r="K183" i="49"/>
  <c r="K185" i="49" s="1" a="1"/>
  <c r="K185" i="49" s="1"/>
  <c r="M183" i="49"/>
  <c r="M185" i="49" s="1" a="1"/>
  <c r="M185" i="49" s="1"/>
  <c r="M186" i="49" s="1"/>
  <c r="M187" i="49" s="1"/>
  <c r="M69" i="49" s="1"/>
  <c r="L211" i="49"/>
  <c r="L213" i="49" s="1" a="1"/>
  <c r="L213" i="49" s="1"/>
  <c r="M153" i="49"/>
  <c r="M155" i="49" s="1" a="1"/>
  <c r="M155" i="49" s="1"/>
  <c r="N211" i="49"/>
  <c r="N213" i="49" s="1" a="1"/>
  <c r="N213" i="49" s="1"/>
  <c r="M439" i="49"/>
  <c r="M441" i="49" s="1" a="1"/>
  <c r="M441" i="49" s="1"/>
  <c r="L439" i="49"/>
  <c r="L441" i="49" s="1" a="1"/>
  <c r="L441" i="49" s="1"/>
  <c r="N439" i="49"/>
  <c r="N441" i="49" s="1" a="1"/>
  <c r="N441" i="49" s="1"/>
  <c r="O439" i="49"/>
  <c r="O441" i="49" s="1" a="1"/>
  <c r="O441" i="49" s="1"/>
  <c r="L255" i="49"/>
  <c r="L256" i="49" s="1"/>
  <c r="M281" i="49"/>
  <c r="M282" i="49" s="1"/>
  <c r="K281" i="49"/>
  <c r="K282" i="49" s="1"/>
  <c r="K283" i="49" s="1"/>
  <c r="K284" i="49" s="1"/>
  <c r="K242" i="49" s="1"/>
  <c r="O268" i="49"/>
  <c r="O281" i="49"/>
  <c r="O282" i="49" s="1"/>
  <c r="K268" i="49"/>
  <c r="K269" i="49" s="1"/>
  <c r="K270" i="49" s="1"/>
  <c r="K271" i="49" s="1"/>
  <c r="N255" i="49"/>
  <c r="N256" i="49" s="1"/>
  <c r="M255" i="49"/>
  <c r="M256" i="49" s="1"/>
  <c r="L281" i="49"/>
  <c r="L282" i="49" s="1"/>
  <c r="L268" i="49"/>
  <c r="N281" i="49"/>
  <c r="N282" i="49" s="1"/>
  <c r="K255" i="49"/>
  <c r="K256" i="49" s="1"/>
  <c r="N268" i="49"/>
  <c r="N269" i="49" s="1"/>
  <c r="O255" i="49"/>
  <c r="M268" i="49"/>
  <c r="L25" i="49"/>
  <c r="L27" i="49" s="1"/>
  <c r="K53" i="49"/>
  <c r="K55" i="49" s="1"/>
  <c r="O53" i="49"/>
  <c r="O55" i="49" s="1"/>
  <c r="L53" i="49"/>
  <c r="L55" i="49" s="1"/>
  <c r="K41" i="49"/>
  <c r="N53" i="49"/>
  <c r="N55" i="49" s="1"/>
  <c r="N56" i="49" s="1"/>
  <c r="N25" i="49"/>
  <c r="N27" i="49" s="1"/>
  <c r="L41" i="49"/>
  <c r="N41" i="49"/>
  <c r="O25" i="49"/>
  <c r="O27" i="49" s="1"/>
  <c r="O41" i="49"/>
  <c r="M53" i="49"/>
  <c r="M55" i="49" s="1"/>
  <c r="M56" i="49" s="1"/>
  <c r="M25" i="49"/>
  <c r="M27" i="49" s="1"/>
  <c r="K25" i="49"/>
  <c r="K27" i="49" s="1"/>
  <c r="O411" i="49"/>
  <c r="O413" i="49" s="1" a="1"/>
  <c r="O413" i="49" s="1"/>
  <c r="M211" i="49"/>
  <c r="M213" i="49" s="1" a="1"/>
  <c r="M213" i="49" s="1"/>
  <c r="M411" i="49"/>
  <c r="M413" i="49" s="1" a="1"/>
  <c r="M413" i="49" s="1"/>
  <c r="K411" i="49"/>
  <c r="K413" i="49" s="1" a="1"/>
  <c r="K413" i="49" s="1"/>
  <c r="M381" i="49"/>
  <c r="M383" i="49" s="1" a="1"/>
  <c r="M383" i="49" s="1"/>
  <c r="L341" i="49"/>
  <c r="L343" i="49" s="1" a="1"/>
  <c r="L343" i="49" s="1"/>
  <c r="K113" i="49"/>
  <c r="K115" i="49" s="1" a="1"/>
  <c r="K115" i="49" s="1"/>
  <c r="K116" i="49" s="1"/>
  <c r="K117" i="49" s="1"/>
  <c r="H11" i="63" s="1"/>
  <c r="O381" i="49"/>
  <c r="O383" i="49" s="1" a="1"/>
  <c r="O383" i="49" s="1"/>
  <c r="K381" i="49"/>
  <c r="L381" i="49"/>
  <c r="N341" i="49"/>
  <c r="N343" i="49" s="1" a="1"/>
  <c r="N343" i="49" s="1"/>
  <c r="K341" i="49"/>
  <c r="K343" i="49" s="1" a="1"/>
  <c r="K343" i="49" s="1"/>
  <c r="N411" i="49"/>
  <c r="N413" i="49" s="1" a="1"/>
  <c r="N413" i="49" s="1"/>
  <c r="O341" i="49"/>
  <c r="O343" i="49" s="1" a="1"/>
  <c r="O343" i="49" s="1"/>
  <c r="L411" i="49"/>
  <c r="L413" i="49" s="1" a="1"/>
  <c r="L413" i="49" s="1"/>
  <c r="M341" i="49"/>
  <c r="M343" i="49" s="1" a="1"/>
  <c r="M343" i="49" s="1"/>
  <c r="N381" i="49"/>
  <c r="N383" i="49" s="1" a="1"/>
  <c r="N383" i="49" s="1"/>
  <c r="O211" i="49"/>
  <c r="O213" i="49" s="1" a="1"/>
  <c r="O213" i="49" s="1"/>
  <c r="O113" i="49"/>
  <c r="O153" i="49"/>
  <c r="O155" i="49" s="1" a="1"/>
  <c r="O155" i="49" s="1"/>
  <c r="L456" i="49"/>
  <c r="L457" i="49" s="1"/>
  <c r="I149" i="63" s="1" a="1"/>
  <c r="I149" i="63" s="1"/>
  <c r="O456" i="49"/>
  <c r="O457" i="49" s="1"/>
  <c r="L149" i="63" s="1" a="1"/>
  <c r="L149" i="63" s="1"/>
  <c r="N456" i="49"/>
  <c r="N457" i="49" s="1"/>
  <c r="K149" i="63" s="1" a="1"/>
  <c r="K149" i="63" s="1"/>
  <c r="M456" i="49"/>
  <c r="M457" i="49" s="1"/>
  <c r="J149" i="63" s="1" a="1"/>
  <c r="J149" i="63" s="1"/>
  <c r="K456" i="49"/>
  <c r="K457" i="49" s="1"/>
  <c r="H149" i="63" s="1" a="1"/>
  <c r="H149" i="63" s="1"/>
  <c r="O228" i="49"/>
  <c r="O229" i="49" s="1"/>
  <c r="O73" i="49" s="1"/>
  <c r="M131" i="49"/>
  <c r="M132" i="49" s="1"/>
  <c r="M64" i="49" s="1"/>
  <c r="K228" i="49"/>
  <c r="K229" i="49" s="1"/>
  <c r="K73" i="49" s="1"/>
  <c r="L171" i="49"/>
  <c r="L172" i="49" s="1"/>
  <c r="L67" i="49" s="1"/>
  <c r="O200" i="49"/>
  <c r="O201" i="49" s="1"/>
  <c r="O70" i="49" s="1"/>
  <c r="L131" i="49"/>
  <c r="L132" i="49" s="1"/>
  <c r="L64" i="49" s="1"/>
  <c r="N228" i="49"/>
  <c r="N229" i="49" s="1"/>
  <c r="N73" i="49" s="1"/>
  <c r="L228" i="49"/>
  <c r="L229" i="49" s="1"/>
  <c r="L73" i="49" s="1"/>
  <c r="M228" i="49"/>
  <c r="M229" i="49" s="1"/>
  <c r="M73" i="49" s="1"/>
  <c r="N171" i="49"/>
  <c r="N172" i="49" s="1"/>
  <c r="N67" i="49" s="1"/>
  <c r="K200" i="49"/>
  <c r="K201" i="49" s="1"/>
  <c r="K70" i="49" s="1"/>
  <c r="N200" i="49"/>
  <c r="N201" i="49" s="1"/>
  <c r="N70" i="49" s="1"/>
  <c r="L200" i="49"/>
  <c r="L201" i="49" s="1"/>
  <c r="L70" i="49" s="1"/>
  <c r="M200" i="49"/>
  <c r="M201" i="49" s="1"/>
  <c r="M70" i="49" s="1"/>
  <c r="K128" i="49"/>
  <c r="K214" i="49"/>
  <c r="K215" i="49" s="1"/>
  <c r="K72" i="49" s="1"/>
  <c r="K396" i="49"/>
  <c r="K398" i="49" s="1" a="1"/>
  <c r="K398" i="49" s="1"/>
  <c r="M168" i="49"/>
  <c r="M170" i="49" s="1" a="1"/>
  <c r="M170" i="49" s="1"/>
  <c r="O168" i="49"/>
  <c r="O170" i="49" s="1" a="1"/>
  <c r="O170" i="49" s="1"/>
  <c r="N396" i="49"/>
  <c r="N398" i="49" s="1" a="1"/>
  <c r="N398" i="49" s="1"/>
  <c r="L356" i="49"/>
  <c r="L358" i="49" s="1" a="1"/>
  <c r="L358" i="49" s="1"/>
  <c r="O396" i="49"/>
  <c r="O398" i="49" s="1" a="1"/>
  <c r="O398" i="49" s="1"/>
  <c r="N116" i="49"/>
  <c r="N117" i="49" s="1"/>
  <c r="N63" i="49" s="1"/>
  <c r="K156" i="49"/>
  <c r="K157" i="49" s="1"/>
  <c r="K66" i="49" s="1"/>
  <c r="K168" i="49"/>
  <c r="K170" i="49" s="1" a="1"/>
  <c r="K170" i="49" s="1"/>
  <c r="N186" i="49"/>
  <c r="N187" i="49" s="1"/>
  <c r="N69" i="49" s="1"/>
  <c r="L156" i="49"/>
  <c r="L157" i="49" s="1"/>
  <c r="L66" i="49" s="1"/>
  <c r="N128" i="49"/>
  <c r="N130" i="49" s="1" a="1"/>
  <c r="N130" i="49" s="1"/>
  <c r="L116" i="49"/>
  <c r="L117" i="49" s="1"/>
  <c r="L63" i="49" s="1"/>
  <c r="M396" i="49"/>
  <c r="M398" i="49" s="1" a="1"/>
  <c r="M398" i="49" s="1"/>
  <c r="L396" i="49"/>
  <c r="L398" i="49" s="1" a="1"/>
  <c r="L398" i="49" s="1"/>
  <c r="N356" i="49"/>
  <c r="N358" i="49" s="1" a="1"/>
  <c r="N358" i="49" s="1"/>
  <c r="I16" i="63" a="1"/>
  <c r="I16" i="63" s="1"/>
  <c r="K18" i="63" a="1"/>
  <c r="K18" i="63" s="1"/>
  <c r="E2" i="44"/>
  <c r="D2" i="44"/>
  <c r="E12" i="48"/>
  <c r="C5" i="51"/>
  <c r="E144" i="42"/>
  <c r="E145" i="42"/>
  <c r="E146" i="42"/>
  <c r="E147" i="42"/>
  <c r="E148" i="42"/>
  <c r="E149" i="42"/>
  <c r="E150" i="42"/>
  <c r="E151" i="42"/>
  <c r="E152" i="42"/>
  <c r="E153" i="42"/>
  <c r="E154" i="42"/>
  <c r="E155" i="42"/>
  <c r="E156" i="42"/>
  <c r="E157" i="42"/>
  <c r="E158" i="42"/>
  <c r="E159" i="42"/>
  <c r="E160" i="42"/>
  <c r="E143" i="42"/>
  <c r="D21" i="50"/>
  <c r="D7" i="50"/>
  <c r="C19" i="50"/>
  <c r="C5" i="50"/>
  <c r="C78" i="51"/>
  <c r="C400" i="44"/>
  <c r="C393" i="44"/>
  <c r="C385" i="44"/>
  <c r="C378" i="44"/>
  <c r="C371" i="44"/>
  <c r="C362" i="44"/>
  <c r="C355" i="44"/>
  <c r="C348" i="44"/>
  <c r="C340" i="44"/>
  <c r="C333" i="44"/>
  <c r="C326" i="44"/>
  <c r="L51" i="83" l="1"/>
  <c r="L48" i="84"/>
  <c r="D50" i="83"/>
  <c r="D50" i="85"/>
  <c r="L51" i="84"/>
  <c r="D48" i="84"/>
  <c r="D51" i="84"/>
  <c r="L50" i="84"/>
  <c r="D48" i="83"/>
  <c r="D50" i="84"/>
  <c r="D51" i="83"/>
  <c r="L50" i="83"/>
  <c r="L48" i="83"/>
  <c r="L48" i="85"/>
  <c r="D48" i="85"/>
  <c r="L50" i="85"/>
  <c r="D51" i="85"/>
  <c r="L51" i="85"/>
  <c r="M366" i="49" a="1"/>
  <c r="M366" i="49" s="1"/>
  <c r="M367" i="49" s="1"/>
  <c r="L366" i="49" a="1"/>
  <c r="L366" i="49" s="1"/>
  <c r="L367" i="49" s="1"/>
  <c r="O366" i="49" a="1"/>
  <c r="O366" i="49" s="1"/>
  <c r="O367" i="49" s="1"/>
  <c r="N366" i="49" a="1"/>
  <c r="N366" i="49" s="1"/>
  <c r="N367" i="49" s="1"/>
  <c r="O414" i="49"/>
  <c r="O415" i="49" s="1"/>
  <c r="L146" i="63" s="1" a="1"/>
  <c r="L146" i="63" s="1"/>
  <c r="L442" i="49"/>
  <c r="O442" i="49"/>
  <c r="O443" i="49" s="1"/>
  <c r="L148" i="63" s="1" a="1"/>
  <c r="L148" i="63" s="1"/>
  <c r="K443" i="49"/>
  <c r="H148" i="63" s="1" a="1"/>
  <c r="H148" i="63" s="1"/>
  <c r="M355" i="49"/>
  <c r="M424" i="49"/>
  <c r="M351" i="49"/>
  <c r="N442" i="49"/>
  <c r="N443" i="49" s="1"/>
  <c r="K148" i="63" s="1" a="1"/>
  <c r="K148" i="63" s="1"/>
  <c r="K161" i="63" s="1" a="1"/>
  <c r="K161" i="63" s="1"/>
  <c r="J325" i="49"/>
  <c r="O424" i="49" s="1"/>
  <c r="L443" i="49"/>
  <c r="I148" i="63" s="1" a="1"/>
  <c r="I148" i="63" s="1"/>
  <c r="I161" i="63" s="1" a="1"/>
  <c r="I161" i="63" s="1"/>
  <c r="M442" i="49"/>
  <c r="M443" i="49" s="1"/>
  <c r="M156" i="49"/>
  <c r="M157" i="49" s="1"/>
  <c r="M66" i="49" s="1"/>
  <c r="O186" i="49"/>
  <c r="O187" i="49" s="1"/>
  <c r="O69" i="49" s="1"/>
  <c r="O68" i="49" s="1"/>
  <c r="O75" i="49" s="1"/>
  <c r="L214" i="49"/>
  <c r="L215" i="49" s="1"/>
  <c r="L72" i="49" s="1"/>
  <c r="L71" i="49" s="1"/>
  <c r="L76" i="49" s="1"/>
  <c r="M214" i="49"/>
  <c r="M215" i="49" s="1"/>
  <c r="M72" i="49" s="1"/>
  <c r="M71" i="49" s="1"/>
  <c r="M76" i="49" s="1"/>
  <c r="K186" i="49"/>
  <c r="K187" i="49" s="1"/>
  <c r="K69" i="49" s="1"/>
  <c r="M117" i="49"/>
  <c r="M63" i="49" s="1"/>
  <c r="M62" i="49" s="1"/>
  <c r="N214" i="49"/>
  <c r="N215" i="49" s="1"/>
  <c r="N72" i="49" s="1"/>
  <c r="N71" i="49" s="1"/>
  <c r="N76" i="49" s="1"/>
  <c r="K366" i="49" a="1"/>
  <c r="K366" i="49" s="1"/>
  <c r="K364" i="49" a="1"/>
  <c r="K364" i="49" s="1"/>
  <c r="K42" i="49"/>
  <c r="K43" i="49" s="1"/>
  <c r="K11" i="49" s="1"/>
  <c r="O269" i="49"/>
  <c r="O270" i="49" s="1"/>
  <c r="O271" i="49" s="1"/>
  <c r="M269" i="49"/>
  <c r="M270" i="49" s="1"/>
  <c r="M271" i="49" s="1"/>
  <c r="O256" i="49"/>
  <c r="O257" i="49" s="1"/>
  <c r="O258" i="49" s="1"/>
  <c r="L269" i="49"/>
  <c r="L270" i="49" s="1"/>
  <c r="L271" i="49" s="1"/>
  <c r="M257" i="49"/>
  <c r="M258" i="49" s="1"/>
  <c r="M240" i="49" s="1"/>
  <c r="N283" i="49"/>
  <c r="N284" i="49" s="1"/>
  <c r="N242" i="49" s="1"/>
  <c r="N257" i="49"/>
  <c r="N258" i="49" s="1"/>
  <c r="N240" i="49" s="1"/>
  <c r="N42" i="49"/>
  <c r="N43" i="49" s="1"/>
  <c r="N11" i="49" s="1"/>
  <c r="M41" i="49"/>
  <c r="M42" i="49" s="1"/>
  <c r="O28" i="49"/>
  <c r="O29" i="49" s="1"/>
  <c r="O10" i="49" s="1"/>
  <c r="M28" i="49"/>
  <c r="M29" i="49" s="1"/>
  <c r="M10" i="49" s="1"/>
  <c r="L344" i="49"/>
  <c r="L345" i="49" s="1"/>
  <c r="I141" i="63" s="1" a="1"/>
  <c r="I141" i="63" s="1"/>
  <c r="N270" i="49"/>
  <c r="N271" i="49" s="1"/>
  <c r="N241" i="49" s="1"/>
  <c r="M283" i="49"/>
  <c r="M284" i="49" s="1"/>
  <c r="M242" i="49" s="1"/>
  <c r="L68" i="49"/>
  <c r="L75" i="49" s="1"/>
  <c r="J16" i="63" a="1"/>
  <c r="J16" i="63" s="1"/>
  <c r="N65" i="49"/>
  <c r="N28" i="49"/>
  <c r="N29" i="49" s="1"/>
  <c r="N10" i="49" s="1"/>
  <c r="L283" i="49"/>
  <c r="L284" i="49" s="1"/>
  <c r="L242" i="49" s="1"/>
  <c r="K130" i="49" a="1"/>
  <c r="K130" i="49" s="1"/>
  <c r="K131" i="49" s="1"/>
  <c r="K132" i="49" s="1"/>
  <c r="K64" i="49" s="1"/>
  <c r="K13" i="63" a="1"/>
  <c r="K13" i="63" s="1"/>
  <c r="L28" i="49"/>
  <c r="L29" i="49" s="1"/>
  <c r="L10" i="49" s="1"/>
  <c r="O115" i="49" a="1"/>
  <c r="O115" i="49" s="1"/>
  <c r="O116" i="49" s="1"/>
  <c r="O117" i="49" s="1"/>
  <c r="O63" i="49" s="1"/>
  <c r="K383" i="49" a="1"/>
  <c r="K383" i="49" s="1"/>
  <c r="K384" i="49" s="1"/>
  <c r="K385" i="49" s="1"/>
  <c r="H143" i="63" s="1"/>
  <c r="L383" i="49" a="1"/>
  <c r="L383" i="49" s="1"/>
  <c r="L384" i="49" s="1"/>
  <c r="L385" i="49" s="1"/>
  <c r="I143" i="63" s="1" a="1"/>
  <c r="I143" i="63" s="1"/>
  <c r="K414" i="49"/>
  <c r="K415" i="49" s="1"/>
  <c r="H146" i="63" s="1" a="1"/>
  <c r="H146" i="63" s="1"/>
  <c r="O384" i="49"/>
  <c r="O385" i="49" s="1"/>
  <c r="L143" i="63" s="1" a="1"/>
  <c r="L143" i="63" s="1"/>
  <c r="M414" i="49"/>
  <c r="M415" i="49" s="1"/>
  <c r="J146" i="63" s="1" a="1"/>
  <c r="J146" i="63" s="1"/>
  <c r="E36" i="63"/>
  <c r="E166" i="63"/>
  <c r="E34" i="63"/>
  <c r="K344" i="49"/>
  <c r="K345" i="49" s="1"/>
  <c r="H141" i="63" s="1"/>
  <c r="L414" i="49"/>
  <c r="L415" i="49" s="1"/>
  <c r="I146" i="63" s="1" a="1"/>
  <c r="I146" i="63" s="1"/>
  <c r="N384" i="49"/>
  <c r="N385" i="49" s="1"/>
  <c r="K143" i="63" s="1" a="1"/>
  <c r="K143" i="63" s="1"/>
  <c r="N414" i="49"/>
  <c r="N415" i="49" s="1"/>
  <c r="K146" i="63" s="1" a="1"/>
  <c r="K146" i="63" s="1"/>
  <c r="O344" i="49"/>
  <c r="O345" i="49" s="1"/>
  <c r="L141" i="63" s="1" a="1"/>
  <c r="L141" i="63" s="1"/>
  <c r="M344" i="49"/>
  <c r="M345" i="49" s="1"/>
  <c r="J141" i="63" s="1" a="1"/>
  <c r="J141" i="63" s="1"/>
  <c r="N344" i="49"/>
  <c r="N345" i="49" s="1"/>
  <c r="K141" i="63" s="1" a="1"/>
  <c r="K141" i="63" s="1"/>
  <c r="O214" i="49"/>
  <c r="O215" i="49" s="1"/>
  <c r="O72" i="49" s="1"/>
  <c r="O71" i="49" s="1"/>
  <c r="O76" i="49" s="1"/>
  <c r="O156" i="49"/>
  <c r="O157" i="49" s="1"/>
  <c r="L13" i="63" s="1" a="1"/>
  <c r="L13" i="63" s="1"/>
  <c r="I18" i="63" a="1"/>
  <c r="I18" i="63" s="1"/>
  <c r="K136" i="49" a="1"/>
  <c r="K136" i="49" s="1"/>
  <c r="L56" i="49"/>
  <c r="L57" i="49" s="1"/>
  <c r="L12" i="49" s="1"/>
  <c r="M57" i="49"/>
  <c r="M12" i="49" s="1"/>
  <c r="N57" i="49"/>
  <c r="N12" i="49" s="1"/>
  <c r="E164" i="63"/>
  <c r="K257" i="49"/>
  <c r="K258" i="49" s="1"/>
  <c r="K240" i="49" s="1"/>
  <c r="K241" i="49"/>
  <c r="H185" i="63" a="1"/>
  <c r="H185" i="63" s="1"/>
  <c r="K301" i="49"/>
  <c r="N359" i="49"/>
  <c r="N360" i="49" s="1"/>
  <c r="K142" i="63" s="1" a="1"/>
  <c r="K142" i="63" s="1"/>
  <c r="L399" i="49"/>
  <c r="L400" i="49" s="1"/>
  <c r="I144" i="63" s="1" a="1"/>
  <c r="I144" i="63" s="1"/>
  <c r="K399" i="49"/>
  <c r="K400" i="49" s="1"/>
  <c r="H144" i="63" s="1" a="1"/>
  <c r="H144" i="63" s="1"/>
  <c r="O399" i="49"/>
  <c r="O400" i="49" s="1"/>
  <c r="L144" i="63" s="1" a="1"/>
  <c r="L144" i="63" s="1"/>
  <c r="K359" i="49"/>
  <c r="K360" i="49" s="1"/>
  <c r="H142" i="63" s="1" a="1"/>
  <c r="H142" i="63" s="1"/>
  <c r="L359" i="49"/>
  <c r="L360" i="49" s="1"/>
  <c r="I142" i="63" s="1" a="1"/>
  <c r="I142" i="63" s="1"/>
  <c r="N399" i="49"/>
  <c r="N400" i="49" s="1"/>
  <c r="K144" i="63" s="1" a="1"/>
  <c r="K144" i="63" s="1"/>
  <c r="O136" i="49" a="1"/>
  <c r="O136" i="49" s="1"/>
  <c r="O138" i="49" a="1"/>
  <c r="O138" i="49" s="1"/>
  <c r="L138" i="49" a="1"/>
  <c r="L138" i="49" s="1"/>
  <c r="K138" i="49" a="1"/>
  <c r="K138" i="49" s="1"/>
  <c r="L136" i="49" a="1"/>
  <c r="L136" i="49" s="1"/>
  <c r="N136" i="49" a="1"/>
  <c r="N136" i="49" s="1"/>
  <c r="M138" i="49" a="1"/>
  <c r="M138" i="49" s="1"/>
  <c r="M136" i="49" a="1"/>
  <c r="M136" i="49" s="1"/>
  <c r="N138" i="49" a="1"/>
  <c r="N138" i="49" s="1"/>
  <c r="L65" i="49"/>
  <c r="K71" i="49"/>
  <c r="K76" i="49" s="1"/>
  <c r="O171" i="49"/>
  <c r="O172" i="49" s="1"/>
  <c r="O67" i="49" s="1"/>
  <c r="M171" i="49"/>
  <c r="M172" i="49" s="1"/>
  <c r="M67" i="49" s="1"/>
  <c r="L62" i="49"/>
  <c r="M68" i="49"/>
  <c r="M75" i="49" s="1"/>
  <c r="N68" i="49"/>
  <c r="N75" i="49" s="1"/>
  <c r="O131" i="49"/>
  <c r="O132" i="49" s="1"/>
  <c r="O64" i="49" s="1"/>
  <c r="N131" i="49"/>
  <c r="N132" i="49" s="1"/>
  <c r="N64" i="49" s="1"/>
  <c r="N62" i="49" s="1"/>
  <c r="H18" i="63" a="1"/>
  <c r="H18" i="63" s="1"/>
  <c r="L16" i="63" a="1"/>
  <c r="L16" i="63" s="1"/>
  <c r="M399" i="49"/>
  <c r="M400" i="49" s="1"/>
  <c r="J144" i="63" s="1" a="1"/>
  <c r="J144" i="63" s="1"/>
  <c r="J11" i="63" a="1"/>
  <c r="J11" i="63" s="1"/>
  <c r="K63" i="49"/>
  <c r="J13" i="63" a="1"/>
  <c r="J13" i="63" s="1"/>
  <c r="K171" i="49"/>
  <c r="K172" i="49" s="1"/>
  <c r="K67" i="49" s="1"/>
  <c r="K11" i="63" a="1"/>
  <c r="K11" i="63" s="1"/>
  <c r="J18" i="63" a="1"/>
  <c r="J18" i="63" s="1"/>
  <c r="K16" i="63" a="1"/>
  <c r="K16" i="63" s="1"/>
  <c r="I13" i="63" a="1"/>
  <c r="I13" i="63" s="1"/>
  <c r="H16" i="63" a="1"/>
  <c r="H16" i="63" s="1"/>
  <c r="M384" i="49"/>
  <c r="M385" i="49" s="1"/>
  <c r="J143" i="63" s="1" a="1"/>
  <c r="J143" i="63" s="1"/>
  <c r="L11" i="63" a="1"/>
  <c r="L11" i="63" s="1"/>
  <c r="I11" i="63" a="1"/>
  <c r="I11" i="63" s="1"/>
  <c r="L42" i="49"/>
  <c r="L43" i="49" s="1"/>
  <c r="L11" i="49" s="1"/>
  <c r="O42" i="49"/>
  <c r="L257" i="49"/>
  <c r="O283" i="49"/>
  <c r="O284" i="49" s="1"/>
  <c r="O242" i="49" s="1"/>
  <c r="O56" i="49"/>
  <c r="K56" i="49"/>
  <c r="M56" i="85" l="1"/>
  <c r="L56" i="85"/>
  <c r="O56" i="85"/>
  <c r="P56" i="85"/>
  <c r="N56" i="85"/>
  <c r="N56" i="83"/>
  <c r="P56" i="83"/>
  <c r="M56" i="83"/>
  <c r="L56" i="83"/>
  <c r="O56" i="83"/>
  <c r="F56" i="85"/>
  <c r="H56" i="85"/>
  <c r="E56" i="85"/>
  <c r="D56" i="85"/>
  <c r="G56" i="85"/>
  <c r="L56" i="84"/>
  <c r="O56" i="84"/>
  <c r="N56" i="84"/>
  <c r="M56" i="84"/>
  <c r="P56" i="84"/>
  <c r="D56" i="83"/>
  <c r="H56" i="83"/>
  <c r="F56" i="83"/>
  <c r="G56" i="83"/>
  <c r="E56" i="83"/>
  <c r="G56" i="84"/>
  <c r="H56" i="84"/>
  <c r="E56" i="84"/>
  <c r="D56" i="84"/>
  <c r="F56" i="84"/>
  <c r="O297" i="49"/>
  <c r="H214" i="63" a="1"/>
  <c r="H214" i="63" s="1"/>
  <c r="H250" i="63" s="1"/>
  <c r="H207" i="63" a="1"/>
  <c r="H207" i="63" s="1"/>
  <c r="H243" i="63" s="1"/>
  <c r="H215" i="63" a="1"/>
  <c r="H215" i="63" s="1"/>
  <c r="H251" i="63" s="1"/>
  <c r="H208" i="63" a="1"/>
  <c r="H208" i="63" s="1"/>
  <c r="H244" i="63" s="1"/>
  <c r="H210" i="63" a="1"/>
  <c r="H210" i="63" s="1"/>
  <c r="H246" i="63" s="1"/>
  <c r="H209" i="63" a="1"/>
  <c r="H209" i="63" s="1"/>
  <c r="H245" i="63" s="1"/>
  <c r="H211" i="63" a="1"/>
  <c r="H211" i="63" s="1"/>
  <c r="H247" i="63" s="1"/>
  <c r="H212" i="63" a="1"/>
  <c r="H212" i="63" s="1"/>
  <c r="H248" i="63" s="1"/>
  <c r="H213" i="63" a="1"/>
  <c r="H213" i="63" s="1"/>
  <c r="H249" i="63" s="1"/>
  <c r="O355" i="49"/>
  <c r="O351" i="49"/>
  <c r="J148" i="63" a="1"/>
  <c r="J148" i="63" s="1"/>
  <c r="J161" i="63" s="1" a="1"/>
  <c r="J161" i="63" s="1"/>
  <c r="J177" i="63" s="1"/>
  <c r="M300" i="49"/>
  <c r="M356" i="49"/>
  <c r="O294" i="49"/>
  <c r="J184" i="63" a="1"/>
  <c r="J184" i="63" s="1"/>
  <c r="J195" i="63" s="1" a="1"/>
  <c r="J195" i="63" s="1"/>
  <c r="J231" i="63" s="1"/>
  <c r="K184" i="63" a="1"/>
  <c r="K184" i="63" s="1"/>
  <c r="K194" i="63" s="1" a="1"/>
  <c r="K194" i="63" s="1"/>
  <c r="K230" i="63" s="1"/>
  <c r="K367" i="49"/>
  <c r="K369" i="49" s="1" a="1"/>
  <c r="K369" i="49" s="1"/>
  <c r="O241" i="49"/>
  <c r="L185" i="63" a="1"/>
  <c r="L185" i="63" s="1"/>
  <c r="L206" i="63" s="1" a="1"/>
  <c r="L206" i="63" s="1"/>
  <c r="L242" i="63" s="1"/>
  <c r="L241" i="49"/>
  <c r="I185" i="63" a="1"/>
  <c r="I185" i="63" s="1"/>
  <c r="I206" i="63" s="1" a="1"/>
  <c r="I206" i="63" s="1"/>
  <c r="I242" i="63" s="1"/>
  <c r="O240" i="49"/>
  <c r="L184" i="63" a="1"/>
  <c r="L184" i="63" s="1"/>
  <c r="L204" i="63" s="1" a="1"/>
  <c r="L204" i="63" s="1"/>
  <c r="L240" i="63" s="1"/>
  <c r="M43" i="49"/>
  <c r="M11" i="49" s="1"/>
  <c r="K185" i="63" a="1"/>
  <c r="K185" i="63" s="1"/>
  <c r="K205" i="63" s="1" a="1"/>
  <c r="K205" i="63" s="1"/>
  <c r="K241" i="63" s="1"/>
  <c r="L159" i="63" a="1"/>
  <c r="L159" i="63" s="1"/>
  <c r="U104" i="51" s="1" a="1"/>
  <c r="U104" i="51" s="1"/>
  <c r="O62" i="49"/>
  <c r="H159" i="63" a="1"/>
  <c r="H159" i="63" s="1"/>
  <c r="I159" i="63" a="1"/>
  <c r="I159" i="63" s="1"/>
  <c r="R104" i="51" s="1" a="1"/>
  <c r="R104" i="51" s="1"/>
  <c r="K159" i="63" a="1"/>
  <c r="K159" i="63" s="1"/>
  <c r="T104" i="51" s="1" a="1"/>
  <c r="T104" i="51" s="1"/>
  <c r="P72" i="49"/>
  <c r="Q72" i="49" s="1"/>
  <c r="O66" i="49"/>
  <c r="O65" i="49" s="1"/>
  <c r="L18" i="63" a="1"/>
  <c r="L18" i="63" s="1"/>
  <c r="K55" i="63" a="1"/>
  <c r="K55" i="63" s="1"/>
  <c r="I55" i="63" a="1"/>
  <c r="I55" i="63" s="1"/>
  <c r="I54" i="63" a="1"/>
  <c r="I54" i="63" s="1"/>
  <c r="L54" i="63" a="1"/>
  <c r="L54" i="63" s="1"/>
  <c r="H55" i="63" a="1"/>
  <c r="H55" i="63" s="1"/>
  <c r="K54" i="63" a="1"/>
  <c r="K54" i="63" s="1"/>
  <c r="J54" i="63" a="1"/>
  <c r="J54" i="63" s="1"/>
  <c r="O43" i="49"/>
  <c r="O11" i="49" s="1"/>
  <c r="K57" i="49"/>
  <c r="K12" i="49" s="1"/>
  <c r="O57" i="49"/>
  <c r="O12" i="49" s="1"/>
  <c r="T105" i="51" a="1"/>
  <c r="T105" i="51" s="1"/>
  <c r="K177" i="63"/>
  <c r="R105" i="51" a="1"/>
  <c r="R105" i="51" s="1"/>
  <c r="I177" i="63"/>
  <c r="L161" i="63" a="1"/>
  <c r="L161" i="63" s="1"/>
  <c r="J159" i="63" a="1"/>
  <c r="J159" i="63" s="1"/>
  <c r="H161" i="63" a="1"/>
  <c r="H161" i="63" s="1"/>
  <c r="P242" i="49"/>
  <c r="H184" i="63" a="1"/>
  <c r="H184" i="63" s="1"/>
  <c r="M241" i="49"/>
  <c r="J185" i="63" a="1"/>
  <c r="J185" i="63" s="1"/>
  <c r="K158" i="63" a="1"/>
  <c r="K158" i="63" s="1"/>
  <c r="I158" i="63" a="1"/>
  <c r="I158" i="63" s="1"/>
  <c r="H158" i="63" a="1"/>
  <c r="H158" i="63" s="1"/>
  <c r="M294" i="49"/>
  <c r="O300" i="49"/>
  <c r="M291" i="49"/>
  <c r="M65" i="49"/>
  <c r="K291" i="49"/>
  <c r="K62" i="49"/>
  <c r="N139" i="49"/>
  <c r="L139" i="49"/>
  <c r="L141" i="49" s="1" a="1"/>
  <c r="L141" i="49" s="1"/>
  <c r="K139" i="49"/>
  <c r="K141" i="49" s="1" a="1"/>
  <c r="K141" i="49" s="1"/>
  <c r="O139" i="49"/>
  <c r="O141" i="49" s="1" a="1"/>
  <c r="O141" i="49" s="1"/>
  <c r="M139" i="49"/>
  <c r="M141" i="49" s="1" a="1"/>
  <c r="M141" i="49" s="1"/>
  <c r="K300" i="49"/>
  <c r="N369" i="49" a="1"/>
  <c r="N369" i="49" s="1"/>
  <c r="O369" i="49" a="1"/>
  <c r="O369" i="49" s="1"/>
  <c r="L369" i="49" a="1"/>
  <c r="L369" i="49" s="1"/>
  <c r="M369" i="49" a="1"/>
  <c r="M369" i="49" s="1"/>
  <c r="N291" i="49"/>
  <c r="N297" i="49"/>
  <c r="N294" i="49"/>
  <c r="K294" i="49"/>
  <c r="M297" i="49"/>
  <c r="N300" i="49"/>
  <c r="L294" i="49"/>
  <c r="K297" i="49"/>
  <c r="O291" i="49"/>
  <c r="L291" i="49"/>
  <c r="L300" i="49"/>
  <c r="I12" i="63" a="1"/>
  <c r="I12" i="63" s="1"/>
  <c r="I28" i="63" s="1" a="1"/>
  <c r="I28" i="63" s="1"/>
  <c r="H31" i="51" s="1" a="1"/>
  <c r="H31" i="51" s="1"/>
  <c r="E96" i="83" s="1" a="1"/>
  <c r="E96" i="83" s="1"/>
  <c r="P69" i="49"/>
  <c r="Q69" i="49" s="1"/>
  <c r="L258" i="49"/>
  <c r="N425" i="49"/>
  <c r="N427" i="49" s="1" a="1"/>
  <c r="N427" i="49" s="1"/>
  <c r="H17" i="63" a="1"/>
  <c r="H17" i="63" s="1"/>
  <c r="H30" i="63" s="1" a="1"/>
  <c r="H30" i="63" s="1"/>
  <c r="G32" i="51" s="1" a="1"/>
  <c r="G32" i="51" s="1"/>
  <c r="J12" i="63" a="1"/>
  <c r="J12" i="63" s="1"/>
  <c r="J28" i="63" s="1" a="1"/>
  <c r="J28" i="63" s="1"/>
  <c r="I31" i="51" s="1" a="1"/>
  <c r="I31" i="51" s="1"/>
  <c r="F96" i="83" s="1" a="1"/>
  <c r="F96" i="83" s="1"/>
  <c r="H12" i="63" a="1"/>
  <c r="H12" i="63" s="1"/>
  <c r="H28" i="63" s="1"/>
  <c r="O425" i="49"/>
  <c r="O427" i="49" s="1" a="1"/>
  <c r="O427" i="49" s="1"/>
  <c r="J17" i="63" a="1"/>
  <c r="J17" i="63" s="1"/>
  <c r="J30" i="63" s="1" a="1"/>
  <c r="J30" i="63" s="1"/>
  <c r="I32" i="51" s="1" a="1"/>
  <c r="I32" i="51" s="1"/>
  <c r="K12" i="63" a="1"/>
  <c r="K12" i="63" s="1"/>
  <c r="K28" i="63" s="1" a="1"/>
  <c r="K28" i="63" s="1"/>
  <c r="J31" i="51" s="1" a="1"/>
  <c r="J31" i="51" s="1"/>
  <c r="G96" i="83" s="1" a="1"/>
  <c r="G96" i="83" s="1"/>
  <c r="L14" i="63" a="1"/>
  <c r="L14" i="63" s="1"/>
  <c r="L29" i="63" s="1" a="1"/>
  <c r="L29" i="63" s="1"/>
  <c r="I17" i="63" a="1"/>
  <c r="I17" i="63" s="1"/>
  <c r="I30" i="63" s="1" a="1"/>
  <c r="I30" i="63" s="1"/>
  <c r="H32" i="51" s="1" a="1"/>
  <c r="H32" i="51" s="1"/>
  <c r="H14" i="63" a="1"/>
  <c r="H14" i="63" s="1"/>
  <c r="L12" i="63" a="1"/>
  <c r="L12" i="63" s="1"/>
  <c r="L28" i="63" s="1" a="1"/>
  <c r="L28" i="63" s="1"/>
  <c r="K31" i="51" s="1" a="1"/>
  <c r="K31" i="51" s="1"/>
  <c r="H96" i="83" s="1" a="1"/>
  <c r="H96" i="83" s="1"/>
  <c r="L17" i="63" a="1"/>
  <c r="L17" i="63" s="1"/>
  <c r="L30" i="63" s="1" a="1"/>
  <c r="L30" i="63" s="1"/>
  <c r="K32" i="51" s="1" a="1"/>
  <c r="K32" i="51" s="1"/>
  <c r="I14" i="63" a="1"/>
  <c r="I14" i="63" s="1"/>
  <c r="I29" i="63" s="1" a="1"/>
  <c r="I29" i="63" s="1"/>
  <c r="K14" i="63" a="1"/>
  <c r="K14" i="63" s="1"/>
  <c r="K29" i="63" s="1" a="1"/>
  <c r="K29" i="63" s="1"/>
  <c r="K17" i="63" a="1"/>
  <c r="K17" i="63" s="1"/>
  <c r="K30" i="63" s="1" a="1"/>
  <c r="K30" i="63" s="1"/>
  <c r="J32" i="51" s="1" a="1"/>
  <c r="J32" i="51" s="1"/>
  <c r="J14" i="63" a="1"/>
  <c r="J14" i="63" s="1"/>
  <c r="J29" i="63" s="1" a="1"/>
  <c r="J29" i="63" s="1"/>
  <c r="K425" i="49"/>
  <c r="K427" i="49" s="1" a="1"/>
  <c r="K427" i="49" s="1"/>
  <c r="K19" i="63" a="1"/>
  <c r="K19" i="63" s="1"/>
  <c r="K31" i="63" s="1" a="1"/>
  <c r="K31" i="63" s="1"/>
  <c r="M425" i="49"/>
  <c r="M427" i="49" s="1" a="1"/>
  <c r="M427" i="49" s="1"/>
  <c r="L425" i="49"/>
  <c r="L427" i="49" s="1" a="1"/>
  <c r="L427" i="49" s="1"/>
  <c r="C3" i="51"/>
  <c r="B3" i="51"/>
  <c r="C2" i="51"/>
  <c r="B3" i="50"/>
  <c r="C2" i="50"/>
  <c r="Q56" i="84" l="1"/>
  <c r="E35" i="84" s="1"/>
  <c r="I56" i="85"/>
  <c r="E36" i="85" s="1"/>
  <c r="I56" i="84"/>
  <c r="E36" i="84" s="1"/>
  <c r="I56" i="83"/>
  <c r="E36" i="83" s="1"/>
  <c r="Q56" i="83"/>
  <c r="E35" i="83" s="1"/>
  <c r="Q56" i="85"/>
  <c r="E35" i="85" s="1"/>
  <c r="M96" i="85" a="1"/>
  <c r="M96" i="85" s="1"/>
  <c r="M96" i="84" a="1"/>
  <c r="M96" i="84" s="1"/>
  <c r="O96" i="84" a="1"/>
  <c r="O96" i="84" s="1"/>
  <c r="O96" i="85" a="1"/>
  <c r="O96" i="85" s="1"/>
  <c r="P96" i="84" a="1"/>
  <c r="P96" i="84" s="1"/>
  <c r="P96" i="85" a="1"/>
  <c r="P96" i="85" s="1"/>
  <c r="B5" i="51"/>
  <c r="B78" i="51" s="1"/>
  <c r="B5" i="50"/>
  <c r="B19" i="50" s="1"/>
  <c r="K125" i="63"/>
  <c r="K108" i="63"/>
  <c r="I125" i="63"/>
  <c r="I108" i="63"/>
  <c r="H199" i="63" a="1"/>
  <c r="H199" i="63" s="1"/>
  <c r="H235" i="63" s="1"/>
  <c r="H200" i="63" a="1"/>
  <c r="H200" i="63" s="1"/>
  <c r="H236" i="63" s="1"/>
  <c r="H201" i="63" a="1"/>
  <c r="H201" i="63" s="1"/>
  <c r="H237" i="63" s="1"/>
  <c r="H202" i="63" a="1"/>
  <c r="H202" i="63" s="1"/>
  <c r="H238" i="63" s="1"/>
  <c r="H203" i="63" a="1"/>
  <c r="H203" i="63" s="1"/>
  <c r="H239" i="63" s="1"/>
  <c r="H196" i="63" a="1"/>
  <c r="H196" i="63" s="1"/>
  <c r="H232" i="63" s="1"/>
  <c r="H204" i="63" a="1"/>
  <c r="H204" i="63" s="1"/>
  <c r="H240" i="63" s="1"/>
  <c r="H197" i="63" a="1"/>
  <c r="H197" i="63" s="1"/>
  <c r="H233" i="63" s="1"/>
  <c r="H198" i="63" a="1"/>
  <c r="H198" i="63" s="1"/>
  <c r="H234" i="63" s="1"/>
  <c r="Q104" i="51" a="1"/>
  <c r="Q104" i="51" s="1"/>
  <c r="S105" i="51" a="1"/>
  <c r="S105" i="51" s="1"/>
  <c r="J200" i="63" a="1"/>
  <c r="J200" i="63" s="1"/>
  <c r="J236" i="63" s="1"/>
  <c r="O356" i="49"/>
  <c r="O358" i="49" s="1" a="1"/>
  <c r="O358" i="49" s="1"/>
  <c r="O359" i="49" s="1"/>
  <c r="O360" i="49" s="1"/>
  <c r="L142" i="63" s="1" a="1"/>
  <c r="L142" i="63" s="1"/>
  <c r="M358" i="49" a="1"/>
  <c r="M358" i="49" s="1"/>
  <c r="M359" i="49" s="1"/>
  <c r="M360" i="49" s="1"/>
  <c r="J142" i="63" s="1" a="1"/>
  <c r="J142" i="63" s="1"/>
  <c r="H44" i="63"/>
  <c r="G31" i="51" a="1"/>
  <c r="G31" i="51" s="1"/>
  <c r="D96" i="83" s="1" a="1"/>
  <c r="D96" i="83" s="1"/>
  <c r="J202" i="63" a="1"/>
  <c r="J202" i="63" s="1"/>
  <c r="J238" i="63" s="1"/>
  <c r="J201" i="63" a="1"/>
  <c r="J201" i="63" s="1"/>
  <c r="J237" i="63" s="1"/>
  <c r="J194" i="63" a="1"/>
  <c r="J194" i="63" s="1"/>
  <c r="J230" i="63" s="1"/>
  <c r="J204" i="63" a="1"/>
  <c r="J204" i="63" s="1"/>
  <c r="J240" i="63" s="1"/>
  <c r="J203" i="63" a="1"/>
  <c r="J203" i="63" s="1"/>
  <c r="J239" i="63" s="1"/>
  <c r="K201" i="63" a="1"/>
  <c r="K201" i="63" s="1"/>
  <c r="K237" i="63" s="1"/>
  <c r="K203" i="63" a="1"/>
  <c r="K203" i="63" s="1"/>
  <c r="K239" i="63" s="1"/>
  <c r="K200" i="63" a="1"/>
  <c r="K200" i="63" s="1"/>
  <c r="K236" i="63" s="1"/>
  <c r="K204" i="63" a="1"/>
  <c r="K204" i="63" s="1"/>
  <c r="K240" i="63" s="1"/>
  <c r="K195" i="63" a="1"/>
  <c r="K195" i="63" s="1"/>
  <c r="K231" i="63" s="1"/>
  <c r="K202" i="63" a="1"/>
  <c r="K202" i="63" s="1"/>
  <c r="K238" i="63" s="1"/>
  <c r="L212" i="63" a="1"/>
  <c r="L212" i="63" s="1"/>
  <c r="L248" i="63" s="1"/>
  <c r="L215" i="63" a="1"/>
  <c r="L215" i="63" s="1"/>
  <c r="L251" i="63" s="1"/>
  <c r="L214" i="63" a="1"/>
  <c r="L214" i="63" s="1"/>
  <c r="L250" i="63" s="1"/>
  <c r="L211" i="63" a="1"/>
  <c r="L211" i="63" s="1"/>
  <c r="L247" i="63" s="1"/>
  <c r="L205" i="63" a="1"/>
  <c r="L205" i="63" s="1"/>
  <c r="L241" i="63" s="1"/>
  <c r="L213" i="63" a="1"/>
  <c r="L213" i="63" s="1"/>
  <c r="L249" i="63" s="1"/>
  <c r="P241" i="49"/>
  <c r="I213" i="63" a="1"/>
  <c r="I213" i="63" s="1"/>
  <c r="I249" i="63" s="1"/>
  <c r="I205" i="63" a="1"/>
  <c r="I205" i="63" s="1"/>
  <c r="I241" i="63" s="1"/>
  <c r="I212" i="63" a="1"/>
  <c r="I212" i="63" s="1"/>
  <c r="I248" i="63" s="1"/>
  <c r="I215" i="63" a="1"/>
  <c r="I215" i="63" s="1"/>
  <c r="I251" i="63" s="1"/>
  <c r="I214" i="63" a="1"/>
  <c r="I214" i="63" s="1"/>
  <c r="I250" i="63" s="1"/>
  <c r="I211" i="63" a="1"/>
  <c r="I211" i="63" s="1"/>
  <c r="I247" i="63" s="1"/>
  <c r="L194" i="63" a="1"/>
  <c r="L194" i="63" s="1"/>
  <c r="L230" i="63" s="1"/>
  <c r="K213" i="63" a="1"/>
  <c r="K213" i="63" s="1"/>
  <c r="K249" i="63" s="1"/>
  <c r="L200" i="63" a="1"/>
  <c r="L200" i="63" s="1"/>
  <c r="L236" i="63" s="1"/>
  <c r="L201" i="63" a="1"/>
  <c r="L201" i="63" s="1"/>
  <c r="L237" i="63" s="1"/>
  <c r="L202" i="63" a="1"/>
  <c r="L202" i="63" s="1"/>
  <c r="L238" i="63" s="1"/>
  <c r="L203" i="63" a="1"/>
  <c r="L203" i="63" s="1"/>
  <c r="L239" i="63" s="1"/>
  <c r="L195" i="63" a="1"/>
  <c r="L195" i="63" s="1"/>
  <c r="L231" i="63" s="1"/>
  <c r="J55" i="63" a="1"/>
  <c r="J55" i="63" s="1"/>
  <c r="L175" i="63"/>
  <c r="K206" i="63" a="1"/>
  <c r="K206" i="63" s="1"/>
  <c r="K242" i="63" s="1"/>
  <c r="K212" i="63" a="1"/>
  <c r="K212" i="63" s="1"/>
  <c r="K248" i="63" s="1"/>
  <c r="K214" i="63" a="1"/>
  <c r="K214" i="63" s="1"/>
  <c r="K250" i="63" s="1"/>
  <c r="K215" i="63" a="1"/>
  <c r="K215" i="63" s="1"/>
  <c r="K251" i="63" s="1"/>
  <c r="K211" i="63" a="1"/>
  <c r="K211" i="63" s="1"/>
  <c r="K247" i="63" s="1"/>
  <c r="I175" i="63"/>
  <c r="K175" i="63"/>
  <c r="P62" i="49"/>
  <c r="Q62" i="49" s="1"/>
  <c r="H175" i="63"/>
  <c r="N141" i="49" a="1"/>
  <c r="N141" i="49" s="1"/>
  <c r="N142" i="49" s="1"/>
  <c r="N143" i="49" s="1"/>
  <c r="K15" i="63" s="1" a="1"/>
  <c r="K15" i="63" s="1"/>
  <c r="K40" i="63" s="1" a="1"/>
  <c r="K40" i="63" s="1"/>
  <c r="K82" i="63" a="1"/>
  <c r="K82" i="63" s="1"/>
  <c r="K86" i="63" a="1"/>
  <c r="K86" i="63" s="1"/>
  <c r="K112" i="63" s="1"/>
  <c r="K64" i="63" a="1"/>
  <c r="K64" i="63" s="1"/>
  <c r="K68" i="63" a="1"/>
  <c r="K68" i="63" s="1"/>
  <c r="K102" i="63" s="1"/>
  <c r="K69" i="63" a="1"/>
  <c r="K69" i="63" s="1"/>
  <c r="K120" i="63" s="1"/>
  <c r="K67" i="63" a="1"/>
  <c r="K67" i="63" s="1"/>
  <c r="K119" i="63" s="1"/>
  <c r="K85" i="63" a="1"/>
  <c r="K85" i="63" s="1"/>
  <c r="I82" i="63" a="1"/>
  <c r="I82" i="63" s="1"/>
  <c r="I68" i="63" a="1"/>
  <c r="I68" i="63" s="1"/>
  <c r="I102" i="63" s="1"/>
  <c r="I64" i="63" a="1"/>
  <c r="I64" i="63" s="1"/>
  <c r="I85" i="63" a="1"/>
  <c r="I85" i="63" s="1"/>
  <c r="I86" i="63" a="1"/>
  <c r="I86" i="63" s="1"/>
  <c r="I112" i="63" s="1"/>
  <c r="I67" i="63" a="1"/>
  <c r="I67" i="63" s="1"/>
  <c r="I119" i="63" s="1"/>
  <c r="I69" i="63" a="1"/>
  <c r="I69" i="63" s="1"/>
  <c r="I120" i="63" s="1"/>
  <c r="H88" i="63" a="1"/>
  <c r="H88" i="63" s="1"/>
  <c r="H74" i="63" a="1"/>
  <c r="H74" i="63" s="1"/>
  <c r="H110" i="63" s="1"/>
  <c r="H73" i="63" a="1"/>
  <c r="H73" i="63" s="1"/>
  <c r="H109" i="63" s="1"/>
  <c r="H72" i="63" a="1"/>
  <c r="H72" i="63" s="1"/>
  <c r="H108" i="63" s="1"/>
  <c r="H71" i="63" a="1"/>
  <c r="H71" i="63" s="1"/>
  <c r="H107" i="63" s="1"/>
  <c r="H91" i="63" a="1"/>
  <c r="H91" i="63" s="1"/>
  <c r="H90" i="63" a="1"/>
  <c r="H90" i="63" s="1"/>
  <c r="H75" i="63" a="1"/>
  <c r="H75" i="63" s="1"/>
  <c r="H89" i="63" a="1"/>
  <c r="H89" i="63" s="1"/>
  <c r="I73" i="63" a="1"/>
  <c r="I73" i="63" s="1"/>
  <c r="I109" i="63" s="1"/>
  <c r="I87" i="63" a="1"/>
  <c r="I87" i="63" s="1"/>
  <c r="I90" i="63" a="1"/>
  <c r="I90" i="63" s="1"/>
  <c r="I75" i="63" a="1"/>
  <c r="I75" i="63" s="1"/>
  <c r="I111" i="63" s="1"/>
  <c r="I91" i="63" a="1"/>
  <c r="I91" i="63" s="1"/>
  <c r="I70" i="63" a="1"/>
  <c r="I70" i="63" s="1"/>
  <c r="I74" i="63" a="1"/>
  <c r="I74" i="63" s="1"/>
  <c r="P11" i="49"/>
  <c r="L55" i="63" a="1"/>
  <c r="L55" i="63" s="1"/>
  <c r="K90" i="63" a="1"/>
  <c r="K90" i="63" s="1"/>
  <c r="K70" i="63" a="1"/>
  <c r="K70" i="63" s="1"/>
  <c r="K74" i="63" a="1"/>
  <c r="K74" i="63" s="1"/>
  <c r="K87" i="63" a="1"/>
  <c r="K87" i="63" s="1"/>
  <c r="K75" i="63" a="1"/>
  <c r="K75" i="63" s="1"/>
  <c r="K111" i="63" s="1"/>
  <c r="K91" i="63" a="1"/>
  <c r="K91" i="63" s="1"/>
  <c r="K73" i="63" a="1"/>
  <c r="K73" i="63" s="1"/>
  <c r="K109" i="63" s="1"/>
  <c r="J68" i="63" a="1"/>
  <c r="J68" i="63" s="1"/>
  <c r="J102" i="63" s="1"/>
  <c r="J86" i="63" a="1"/>
  <c r="J86" i="63" s="1"/>
  <c r="J112" i="63" s="1"/>
  <c r="J69" i="63" a="1"/>
  <c r="J69" i="63" s="1"/>
  <c r="J120" i="63" s="1"/>
  <c r="J82" i="63" a="1"/>
  <c r="J82" i="63" s="1"/>
  <c r="J64" i="63" a="1"/>
  <c r="J64" i="63" s="1"/>
  <c r="J67" i="63" a="1"/>
  <c r="J67" i="63" s="1"/>
  <c r="J119" i="63" s="1"/>
  <c r="J85" i="63" a="1"/>
  <c r="J85" i="63" s="1"/>
  <c r="L64" i="63" a="1"/>
  <c r="L64" i="63" s="1"/>
  <c r="L69" i="63" a="1"/>
  <c r="L69" i="63" s="1"/>
  <c r="L120" i="63" s="1"/>
  <c r="L86" i="63" a="1"/>
  <c r="L86" i="63" s="1"/>
  <c r="L112" i="63" s="1"/>
  <c r="L67" i="63" a="1"/>
  <c r="L67" i="63" s="1"/>
  <c r="L119" i="63" s="1"/>
  <c r="L68" i="63" a="1"/>
  <c r="L68" i="63" s="1"/>
  <c r="L102" i="63" s="1"/>
  <c r="L85" i="63" a="1"/>
  <c r="L85" i="63" s="1"/>
  <c r="L82" i="63" a="1"/>
  <c r="L82" i="63" s="1"/>
  <c r="P12" i="49"/>
  <c r="J211" i="63" a="1"/>
  <c r="J211" i="63" s="1"/>
  <c r="J247" i="63" s="1"/>
  <c r="J205" i="63" a="1"/>
  <c r="J205" i="63" s="1"/>
  <c r="J241" i="63" s="1"/>
  <c r="J213" i="63" a="1"/>
  <c r="J213" i="63" s="1"/>
  <c r="J249" i="63" s="1"/>
  <c r="J206" i="63" a="1"/>
  <c r="J206" i="63" s="1"/>
  <c r="J242" i="63" s="1"/>
  <c r="J215" i="63" a="1"/>
  <c r="J215" i="63" s="1"/>
  <c r="J251" i="63" s="1"/>
  <c r="J214" i="63" a="1"/>
  <c r="J214" i="63" s="1"/>
  <c r="J250" i="63" s="1"/>
  <c r="J212" i="63" a="1"/>
  <c r="J212" i="63" s="1"/>
  <c r="J248" i="63" s="1"/>
  <c r="R140" i="51" a="1"/>
  <c r="R140" i="51" s="1"/>
  <c r="U139" i="51" a="1"/>
  <c r="U139" i="51" s="1"/>
  <c r="R139" i="51" a="1"/>
  <c r="R139" i="51" s="1"/>
  <c r="J109" i="51" a="1"/>
  <c r="J109" i="51" s="1"/>
  <c r="T140" i="51" a="1"/>
  <c r="T140" i="51" s="1"/>
  <c r="T139" i="51" a="1"/>
  <c r="T139" i="51" s="1"/>
  <c r="S104" i="51" a="1"/>
  <c r="S104" i="51" s="1"/>
  <c r="J175" i="63"/>
  <c r="U105" i="51" a="1"/>
  <c r="U105" i="51" s="1"/>
  <c r="L177" i="63"/>
  <c r="H104" i="51" a="1"/>
  <c r="H104" i="51" s="1"/>
  <c r="M96" i="83" s="1" a="1"/>
  <c r="M96" i="83" s="1"/>
  <c r="I174" i="63"/>
  <c r="J104" i="51" a="1"/>
  <c r="J104" i="51" s="1"/>
  <c r="O96" i="83" s="1" a="1"/>
  <c r="O96" i="83" s="1"/>
  <c r="K174" i="63"/>
  <c r="G104" i="51" a="1"/>
  <c r="G104" i="51" s="1"/>
  <c r="L96" i="83" s="1" a="1"/>
  <c r="L96" i="83" s="1"/>
  <c r="H174" i="63"/>
  <c r="Q105" i="51" a="1"/>
  <c r="Q105" i="51" s="1"/>
  <c r="H177" i="63"/>
  <c r="K67" i="51" a="1"/>
  <c r="K67" i="51" s="1"/>
  <c r="L46" i="63"/>
  <c r="I66" i="51" a="1"/>
  <c r="I66" i="51" s="1"/>
  <c r="J44" i="63"/>
  <c r="G67" i="51" a="1"/>
  <c r="G67" i="51" s="1"/>
  <c r="H46" i="63"/>
  <c r="K66" i="51" a="1"/>
  <c r="K66" i="51" s="1"/>
  <c r="L44" i="63"/>
  <c r="H67" i="51" a="1"/>
  <c r="H67" i="51" s="1"/>
  <c r="I46" i="63"/>
  <c r="T32" i="51" a="1"/>
  <c r="T32" i="51" s="1"/>
  <c r="T67" i="51" s="1" a="1"/>
  <c r="T67" i="51" s="1"/>
  <c r="K47" i="63"/>
  <c r="S31" i="51" a="1"/>
  <c r="S31" i="51" s="1"/>
  <c r="J45" i="63"/>
  <c r="U31" i="51" a="1"/>
  <c r="U31" i="51" s="1"/>
  <c r="L45" i="63"/>
  <c r="J67" i="51" a="1"/>
  <c r="J67" i="51" s="1"/>
  <c r="K46" i="63"/>
  <c r="J66" i="51" a="1"/>
  <c r="J66" i="51" s="1"/>
  <c r="K44" i="63"/>
  <c r="T31" i="51" a="1"/>
  <c r="T31" i="51" s="1"/>
  <c r="K45" i="63"/>
  <c r="I67" i="51" a="1"/>
  <c r="I67" i="51" s="1"/>
  <c r="J46" i="63"/>
  <c r="R31" i="51" a="1"/>
  <c r="R31" i="51" s="1"/>
  <c r="I45" i="63"/>
  <c r="H66" i="51" a="1"/>
  <c r="H66" i="51" s="1"/>
  <c r="I44" i="63"/>
  <c r="L240" i="49"/>
  <c r="P240" i="49" s="1"/>
  <c r="I184" i="63"/>
  <c r="M370" i="49"/>
  <c r="M371" i="49" s="1"/>
  <c r="J145" i="63" s="1" a="1"/>
  <c r="J145" i="63" s="1"/>
  <c r="J170" i="63" s="1" a="1"/>
  <c r="J170" i="63" s="1"/>
  <c r="K370" i="49"/>
  <c r="K371" i="49" s="1"/>
  <c r="H145" i="63" s="1" a="1"/>
  <c r="H145" i="63" s="1"/>
  <c r="H170" i="63" s="1" a="1"/>
  <c r="H170" i="63" s="1"/>
  <c r="O370" i="49"/>
  <c r="O371" i="49" s="1"/>
  <c r="L145" i="63" s="1"/>
  <c r="L170" i="63" s="1" a="1"/>
  <c r="L170" i="63" s="1"/>
  <c r="N370" i="49"/>
  <c r="N371" i="49" s="1"/>
  <c r="K145" i="63" s="1" a="1"/>
  <c r="K145" i="63" s="1"/>
  <c r="K170" i="63" s="1" a="1"/>
  <c r="K170" i="63" s="1"/>
  <c r="M142" i="49"/>
  <c r="M143" i="49" s="1"/>
  <c r="J15" i="63" s="1" a="1"/>
  <c r="J15" i="63" s="1"/>
  <c r="J40" i="63" s="1" a="1"/>
  <c r="J40" i="63" s="1"/>
  <c r="K142" i="49"/>
  <c r="K143" i="49" s="1"/>
  <c r="H15" i="63" s="1" a="1"/>
  <c r="H15" i="63" s="1"/>
  <c r="H40" i="63" s="1" a="1"/>
  <c r="H40" i="63" s="1"/>
  <c r="O142" i="49"/>
  <c r="O143" i="49" s="1"/>
  <c r="L15" i="63" s="1" a="1"/>
  <c r="L15" i="63" s="1"/>
  <c r="L40" i="63" s="1" a="1"/>
  <c r="L40" i="63" s="1"/>
  <c r="L142" i="49"/>
  <c r="L143" i="49" s="1"/>
  <c r="I15" i="63" s="1" a="1"/>
  <c r="I15" i="63" s="1"/>
  <c r="I40" i="63" s="1" a="1"/>
  <c r="I40" i="63" s="1"/>
  <c r="L370" i="49"/>
  <c r="L371" i="49" s="1"/>
  <c r="I145" i="63" s="1" a="1"/>
  <c r="I145" i="63" s="1"/>
  <c r="I170" i="63" s="1" a="1"/>
  <c r="I170" i="63" s="1"/>
  <c r="H19" i="63" a="1"/>
  <c r="H19" i="63" s="1"/>
  <c r="H31" i="63" s="1" a="1"/>
  <c r="H31" i="63" s="1"/>
  <c r="L19" i="63" a="1"/>
  <c r="L19" i="63" s="1"/>
  <c r="L31" i="63" s="1" a="1"/>
  <c r="L31" i="63" s="1"/>
  <c r="I19" i="63" a="1"/>
  <c r="I19" i="63" s="1"/>
  <c r="I31" i="63" s="1" a="1"/>
  <c r="I31" i="63" s="1"/>
  <c r="O428" i="49"/>
  <c r="N428" i="49"/>
  <c r="M428" i="49"/>
  <c r="L428" i="49"/>
  <c r="K428" i="49"/>
  <c r="P297" i="49"/>
  <c r="Q297" i="49" s="1"/>
  <c r="L297" i="49"/>
  <c r="P300" i="49" s="1"/>
  <c r="Q300" i="49" s="1"/>
  <c r="P294" i="49"/>
  <c r="Q294" i="49" s="1"/>
  <c r="P303" i="49"/>
  <c r="Q303" i="49" s="1"/>
  <c r="C94" i="44"/>
  <c r="C87" i="44"/>
  <c r="C139" i="44"/>
  <c r="C132" i="44"/>
  <c r="C124" i="44"/>
  <c r="C117" i="44"/>
  <c r="C110" i="44"/>
  <c r="C101" i="44"/>
  <c r="C72" i="44"/>
  <c r="E40" i="84" l="1"/>
  <c r="E40" i="83"/>
  <c r="E40" i="85"/>
  <c r="E96" i="85" a="1"/>
  <c r="E96" i="85" s="1"/>
  <c r="E96" i="84" a="1"/>
  <c r="E96" i="84" s="1"/>
  <c r="H96" i="84" a="1"/>
  <c r="H96" i="84" s="1"/>
  <c r="H96" i="85" a="1"/>
  <c r="H96" i="85" s="1"/>
  <c r="G96" i="84" a="1"/>
  <c r="G96" i="84" s="1"/>
  <c r="G96" i="85" a="1"/>
  <c r="G96" i="85" s="1"/>
  <c r="F96" i="85" a="1"/>
  <c r="F96" i="85" s="1"/>
  <c r="F96" i="84" a="1"/>
  <c r="F96" i="84" s="1"/>
  <c r="L96" i="85" a="1"/>
  <c r="L96" i="85" s="1"/>
  <c r="L96" i="84" a="1"/>
  <c r="L96" i="84" s="1"/>
  <c r="O101" i="83" a="1"/>
  <c r="O101" i="83" s="1"/>
  <c r="O63" i="83" s="1"/>
  <c r="N96" i="84" a="1"/>
  <c r="N96" i="84" s="1"/>
  <c r="N96" i="85" a="1"/>
  <c r="N96" i="85" s="1"/>
  <c r="B33" i="50"/>
  <c r="I106" i="63"/>
  <c r="K110" i="63"/>
  <c r="J90" i="63" a="1"/>
  <c r="J90" i="63" s="1"/>
  <c r="J126" i="63" s="1"/>
  <c r="J108" i="63"/>
  <c r="J125" i="63"/>
  <c r="L108" i="63"/>
  <c r="L125" i="63"/>
  <c r="K126" i="63"/>
  <c r="K114" i="63"/>
  <c r="I123" i="63"/>
  <c r="I128" i="63"/>
  <c r="H125" i="63"/>
  <c r="H129" i="63"/>
  <c r="H124" i="63"/>
  <c r="H113" i="63"/>
  <c r="K127" i="63"/>
  <c r="K130" i="63"/>
  <c r="I110" i="63"/>
  <c r="H106" i="63"/>
  <c r="H114" i="63"/>
  <c r="K123" i="63"/>
  <c r="K128" i="63"/>
  <c r="I127" i="63"/>
  <c r="I130" i="63"/>
  <c r="H130" i="63"/>
  <c r="J114" i="63"/>
  <c r="K106" i="63"/>
  <c r="I126" i="63"/>
  <c r="I114" i="63"/>
  <c r="S140" i="51" a="1"/>
  <c r="S140" i="51" s="1"/>
  <c r="Q139" i="51" a="1"/>
  <c r="Q139" i="51" s="1"/>
  <c r="L158" i="63" a="1"/>
  <c r="L158" i="63" s="1"/>
  <c r="K104" i="51" s="1" a="1"/>
  <c r="K104" i="51" s="1"/>
  <c r="P96" i="83" s="1" a="1"/>
  <c r="P96" i="83" s="1"/>
  <c r="J158" i="63" a="1"/>
  <c r="J158" i="63" s="1"/>
  <c r="I104" i="51" s="1" a="1"/>
  <c r="I104" i="51" s="1"/>
  <c r="N96" i="83" s="1" a="1"/>
  <c r="N96" i="83" s="1"/>
  <c r="U111" i="51" a="1"/>
  <c r="U111" i="51" s="1"/>
  <c r="U146" i="51" s="1" a="1"/>
  <c r="U146" i="51" s="1"/>
  <c r="G66" i="51" a="1"/>
  <c r="G66" i="51" s="1"/>
  <c r="G139" i="51" a="1"/>
  <c r="G139" i="51" s="1"/>
  <c r="K110" i="51" a="1"/>
  <c r="K110" i="51" s="1"/>
  <c r="K145" i="51" s="1" a="1"/>
  <c r="K145" i="51" s="1"/>
  <c r="K109" i="51" a="1"/>
  <c r="K109" i="51" s="1"/>
  <c r="T110" i="51" a="1"/>
  <c r="T110" i="51" s="1"/>
  <c r="J110" i="51" a="1"/>
  <c r="J110" i="51" s="1"/>
  <c r="J145" i="51" s="1" a="1"/>
  <c r="J145" i="51" s="1"/>
  <c r="K112" i="51" a="1"/>
  <c r="K112" i="51" s="1"/>
  <c r="K147" i="51" s="1" a="1"/>
  <c r="K147" i="51" s="1"/>
  <c r="K111" i="51" a="1"/>
  <c r="K111" i="51" s="1"/>
  <c r="K146" i="51" s="1" a="1"/>
  <c r="K146" i="51" s="1"/>
  <c r="U109" i="51" a="1"/>
  <c r="U109" i="51" s="1"/>
  <c r="J75" i="63" a="1"/>
  <c r="J75" i="63" s="1"/>
  <c r="J111" i="63" s="1"/>
  <c r="T109" i="51" a="1"/>
  <c r="T109" i="51" s="1"/>
  <c r="U110" i="51" a="1"/>
  <c r="U110" i="51" s="1"/>
  <c r="J73" i="63" a="1"/>
  <c r="J73" i="63" s="1"/>
  <c r="J109" i="63" s="1"/>
  <c r="J70" i="63" a="1"/>
  <c r="J70" i="63" s="1"/>
  <c r="J74" i="63" a="1"/>
  <c r="J74" i="63" s="1"/>
  <c r="J110" i="63" s="1"/>
  <c r="J91" i="63" a="1"/>
  <c r="J91" i="63" s="1"/>
  <c r="J87" i="63" a="1"/>
  <c r="J87" i="63" s="1"/>
  <c r="J112" i="51" a="1"/>
  <c r="J112" i="51" s="1"/>
  <c r="J147" i="51" s="1" a="1"/>
  <c r="J147" i="51" s="1"/>
  <c r="T111" i="51" a="1"/>
  <c r="T111" i="51" s="1"/>
  <c r="J111" i="51" a="1"/>
  <c r="J111" i="51" s="1"/>
  <c r="J146" i="51" s="1" a="1"/>
  <c r="J146" i="51" s="1"/>
  <c r="K178" i="63"/>
  <c r="I178" i="63"/>
  <c r="L178" i="63"/>
  <c r="H178" i="63"/>
  <c r="J178" i="63"/>
  <c r="J144" i="51" a="1"/>
  <c r="J144" i="51" s="1"/>
  <c r="H38" i="51" a="1"/>
  <c r="H38" i="51" s="1"/>
  <c r="H73" i="51" s="1" a="1"/>
  <c r="H73" i="51" s="1"/>
  <c r="J37" i="51" a="1"/>
  <c r="J37" i="51" s="1"/>
  <c r="J72" i="51" s="1" a="1"/>
  <c r="J72" i="51" s="1"/>
  <c r="H48" i="63"/>
  <c r="G33" i="51" a="1"/>
  <c r="G33" i="51" s="1"/>
  <c r="G68" i="51" s="1" a="1"/>
  <c r="G68" i="51" s="1"/>
  <c r="J39" i="51" a="1"/>
  <c r="J39" i="51" s="1"/>
  <c r="J74" i="51" s="1" a="1"/>
  <c r="J74" i="51" s="1"/>
  <c r="H39" i="51" a="1"/>
  <c r="H39" i="51" s="1"/>
  <c r="H74" i="51" s="1" a="1"/>
  <c r="H74" i="51" s="1"/>
  <c r="J38" i="51" a="1"/>
  <c r="J38" i="51" s="1"/>
  <c r="J73" i="51" s="1" a="1"/>
  <c r="J73" i="51" s="1"/>
  <c r="L48" i="63"/>
  <c r="K33" i="51" a="1"/>
  <c r="K33" i="51" s="1"/>
  <c r="K68" i="51" s="1" a="1"/>
  <c r="K68" i="51" s="1"/>
  <c r="J48" i="63"/>
  <c r="I33" i="51" a="1"/>
  <c r="I33" i="51" s="1"/>
  <c r="I68" i="51" s="1" a="1"/>
  <c r="I68" i="51" s="1"/>
  <c r="J36" i="51" a="1"/>
  <c r="J36" i="51" s="1"/>
  <c r="G101" i="83" s="1" a="1"/>
  <c r="G101" i="83" s="1"/>
  <c r="G63" i="83" s="1"/>
  <c r="K48" i="63"/>
  <c r="J33" i="51" a="1"/>
  <c r="J33" i="51" s="1"/>
  <c r="J68" i="51" s="1" a="1"/>
  <c r="J68" i="51" s="1"/>
  <c r="H36" i="51" a="1"/>
  <c r="H36" i="51" s="1"/>
  <c r="E101" i="83" s="1" a="1"/>
  <c r="E101" i="83" s="1"/>
  <c r="E63" i="83" s="1"/>
  <c r="I48" i="63"/>
  <c r="H33" i="51" a="1"/>
  <c r="H33" i="51" s="1"/>
  <c r="H68" i="51" s="1" a="1"/>
  <c r="H68" i="51" s="1"/>
  <c r="H37" i="51" a="1"/>
  <c r="H37" i="51" s="1"/>
  <c r="H72" i="51" s="1" a="1"/>
  <c r="H72" i="51" s="1"/>
  <c r="Q107" i="51" a="1"/>
  <c r="Q107" i="51" s="1"/>
  <c r="I118" i="63"/>
  <c r="R36" i="51" a="1"/>
  <c r="R36" i="51" s="1"/>
  <c r="J104" i="63"/>
  <c r="L70" i="63" a="1"/>
  <c r="L70" i="63" s="1"/>
  <c r="L75" i="63" a="1"/>
  <c r="L75" i="63" s="1"/>
  <c r="L111" i="63" s="1"/>
  <c r="L74" i="63" a="1"/>
  <c r="L74" i="63" s="1"/>
  <c r="L110" i="63" s="1"/>
  <c r="L87" i="63" a="1"/>
  <c r="L87" i="63" s="1"/>
  <c r="L90" i="63" a="1"/>
  <c r="L90" i="63" s="1"/>
  <c r="L73" i="63" a="1"/>
  <c r="L73" i="63" s="1"/>
  <c r="L109" i="63" s="1"/>
  <c r="L91" i="63" a="1"/>
  <c r="L91" i="63" s="1"/>
  <c r="K121" i="63"/>
  <c r="T37" i="51" a="1"/>
  <c r="T37" i="51" s="1"/>
  <c r="T72" i="51" s="1" a="1"/>
  <c r="T72" i="51" s="1"/>
  <c r="L100" i="63"/>
  <c r="I105" i="63"/>
  <c r="K103" i="63"/>
  <c r="J121" i="63"/>
  <c r="I103" i="63"/>
  <c r="K105" i="63"/>
  <c r="L118" i="63"/>
  <c r="J103" i="63"/>
  <c r="R38" i="51" a="1"/>
  <c r="R38" i="51" s="1"/>
  <c r="R73" i="51" s="1" a="1"/>
  <c r="R73" i="51" s="1"/>
  <c r="I122" i="63"/>
  <c r="K104" i="63"/>
  <c r="L121" i="63"/>
  <c r="J100" i="63"/>
  <c r="I121" i="63"/>
  <c r="R37" i="51" a="1"/>
  <c r="R37" i="51" s="1"/>
  <c r="R72" i="51" s="1" a="1"/>
  <c r="R72" i="51" s="1"/>
  <c r="K100" i="63"/>
  <c r="L104" i="63"/>
  <c r="J118" i="63"/>
  <c r="I100" i="63"/>
  <c r="K122" i="63"/>
  <c r="T38" i="51" a="1"/>
  <c r="T38" i="51" s="1"/>
  <c r="T73" i="51" s="1" a="1"/>
  <c r="T73" i="51" s="1"/>
  <c r="I104" i="63"/>
  <c r="K118" i="63"/>
  <c r="T36" i="51" a="1"/>
  <c r="T36" i="51" s="1"/>
  <c r="G110" i="51" a="1"/>
  <c r="G110" i="51" s="1"/>
  <c r="G145" i="51" s="1" a="1"/>
  <c r="G145" i="51" s="1"/>
  <c r="G108" i="51" a="1"/>
  <c r="G108" i="51" s="1"/>
  <c r="L100" i="83" s="1" a="1"/>
  <c r="L100" i="83" s="1"/>
  <c r="G112" i="51" a="1"/>
  <c r="G112" i="51" s="1"/>
  <c r="G147" i="51" s="1" a="1"/>
  <c r="G147" i="51" s="1"/>
  <c r="Q110" i="51" a="1"/>
  <c r="Q110" i="51" s="1"/>
  <c r="Q145" i="51" s="1" a="1"/>
  <c r="Q145" i="51" s="1"/>
  <c r="G111" i="51" a="1"/>
  <c r="G111" i="51" s="1"/>
  <c r="G146" i="51" s="1" a="1"/>
  <c r="G146" i="51" s="1"/>
  <c r="I203" i="63" a="1"/>
  <c r="I203" i="63" s="1"/>
  <c r="I239" i="63" s="1"/>
  <c r="I202" i="63" a="1"/>
  <c r="I202" i="63" s="1"/>
  <c r="I238" i="63" s="1"/>
  <c r="I204" i="63" a="1"/>
  <c r="I204" i="63" s="1"/>
  <c r="I240" i="63" s="1"/>
  <c r="I195" i="63" a="1"/>
  <c r="I195" i="63" s="1"/>
  <c r="I231" i="63" s="1"/>
  <c r="I194" i="63" a="1"/>
  <c r="I194" i="63" s="1"/>
  <c r="I230" i="63" s="1"/>
  <c r="I201" i="63" a="1"/>
  <c r="I201" i="63" s="1"/>
  <c r="I237" i="63" s="1"/>
  <c r="I200" i="63" a="1"/>
  <c r="I200" i="63" s="1"/>
  <c r="I236" i="63" s="1"/>
  <c r="J139" i="51" a="1"/>
  <c r="J139" i="51" s="1"/>
  <c r="H139" i="51" a="1"/>
  <c r="H139" i="51" s="1"/>
  <c r="T66" i="51" a="1"/>
  <c r="T66" i="51" s="1"/>
  <c r="U66" i="51" a="1"/>
  <c r="U66" i="51" s="1"/>
  <c r="U140" i="51" a="1"/>
  <c r="U140" i="51" s="1"/>
  <c r="R66" i="51" a="1"/>
  <c r="R66" i="51" s="1"/>
  <c r="Q140" i="51" a="1"/>
  <c r="Q140" i="51" s="1"/>
  <c r="Q111" i="51" a="1"/>
  <c r="Q111" i="51" s="1"/>
  <c r="Q146" i="51" s="1" a="1"/>
  <c r="Q146" i="51" s="1"/>
  <c r="I111" i="51" a="1"/>
  <c r="I111" i="51" s="1"/>
  <c r="I146" i="51" s="1" a="1"/>
  <c r="I146" i="51" s="1"/>
  <c r="I110" i="51" a="1"/>
  <c r="I110" i="51" s="1"/>
  <c r="I145" i="51" s="1" a="1"/>
  <c r="I145" i="51" s="1"/>
  <c r="S139" i="51" a="1"/>
  <c r="S139" i="51" s="1"/>
  <c r="G106" i="51" a="1"/>
  <c r="G106" i="51" s="1"/>
  <c r="G141" i="51" s="1" a="1"/>
  <c r="G141" i="51" s="1"/>
  <c r="G107" i="51" a="1"/>
  <c r="G107" i="51" s="1"/>
  <c r="I109" i="51" a="1"/>
  <c r="I109" i="51" s="1"/>
  <c r="R32" i="51" a="1"/>
  <c r="R32" i="51" s="1"/>
  <c r="R67" i="51" s="1" a="1"/>
  <c r="R67" i="51" s="1"/>
  <c r="I47" i="63"/>
  <c r="Q32" i="51" a="1"/>
  <c r="Q32" i="51" s="1"/>
  <c r="Q67" i="51" s="1" a="1"/>
  <c r="Q67" i="51" s="1"/>
  <c r="H47" i="63"/>
  <c r="S66" i="51" a="1"/>
  <c r="S66" i="51" s="1"/>
  <c r="U32" i="51" a="1"/>
  <c r="U32" i="51" s="1"/>
  <c r="U67" i="51" s="1" a="1"/>
  <c r="U67" i="51" s="1"/>
  <c r="L47" i="63"/>
  <c r="I112" i="51" a="1"/>
  <c r="I112" i="51" s="1"/>
  <c r="I147" i="51" s="1" a="1"/>
  <c r="I147" i="51" s="1"/>
  <c r="Q108" i="51" a="1"/>
  <c r="Q108" i="51" s="1"/>
  <c r="S111" i="51" a="1"/>
  <c r="S111" i="51" s="1"/>
  <c r="S110" i="51" a="1"/>
  <c r="S110" i="51" s="1"/>
  <c r="S109" i="51" a="1"/>
  <c r="S109" i="51" s="1"/>
  <c r="J19" i="63" a="1"/>
  <c r="J19" i="63" s="1"/>
  <c r="J31" i="63" s="1" a="1"/>
  <c r="J31" i="63" s="1"/>
  <c r="L429" i="49"/>
  <c r="I147" i="63" s="1" a="1"/>
  <c r="I147" i="63" s="1"/>
  <c r="N429" i="49"/>
  <c r="K147" i="63" s="1" a="1"/>
  <c r="K147" i="63" s="1"/>
  <c r="K429" i="49"/>
  <c r="H147" i="63" s="1" a="1"/>
  <c r="H147" i="63" s="1"/>
  <c r="M429" i="49"/>
  <c r="J147" i="63" s="1" a="1"/>
  <c r="J147" i="63" s="1"/>
  <c r="O429" i="49"/>
  <c r="L147" i="63" s="1" a="1"/>
  <c r="L147" i="63" s="1"/>
  <c r="K292" i="49"/>
  <c r="K290" i="49" s="1"/>
  <c r="O292" i="49"/>
  <c r="O290" i="49" s="1"/>
  <c r="M292" i="49"/>
  <c r="M290" i="49" s="1"/>
  <c r="J17" i="44"/>
  <c r="I17" i="44"/>
  <c r="J34" i="44"/>
  <c r="H34" i="44"/>
  <c r="G34" i="44"/>
  <c r="H17" i="44"/>
  <c r="I34" i="44"/>
  <c r="K34" i="44"/>
  <c r="K17" i="44"/>
  <c r="E10" i="48"/>
  <c r="E11" i="48"/>
  <c r="E101" i="85" l="1" a="1"/>
  <c r="E101" i="85" s="1"/>
  <c r="E63" i="85" s="1"/>
  <c r="E101" i="84" a="1"/>
  <c r="E101" i="84" s="1"/>
  <c r="E63" i="84" s="1"/>
  <c r="G101" i="84" a="1"/>
  <c r="G101" i="84" s="1"/>
  <c r="G63" i="84" s="1"/>
  <c r="G101" i="85" a="1"/>
  <c r="G101" i="85" s="1"/>
  <c r="G63" i="85" s="1"/>
  <c r="L99" i="85" a="1"/>
  <c r="L99" i="85" s="1"/>
  <c r="L99" i="84" a="1"/>
  <c r="L99" i="84" s="1"/>
  <c r="P101" i="83" a="1"/>
  <c r="P101" i="83" s="1"/>
  <c r="P63" i="83" s="1"/>
  <c r="L100" i="84" a="1"/>
  <c r="L100" i="84" s="1"/>
  <c r="L100" i="85" a="1"/>
  <c r="L100" i="85" s="1"/>
  <c r="N101" i="83" a="1"/>
  <c r="N101" i="83" s="1"/>
  <c r="N63" i="83" s="1"/>
  <c r="O101" i="84" a="1"/>
  <c r="O101" i="84" s="1"/>
  <c r="O63" i="84" s="1"/>
  <c r="O101" i="85" a="1"/>
  <c r="O101" i="85" s="1"/>
  <c r="O63" i="85" s="1"/>
  <c r="N101" i="85" a="1"/>
  <c r="N101" i="85" s="1"/>
  <c r="N63" i="85" s="1"/>
  <c r="N101" i="84" a="1"/>
  <c r="N101" i="84" s="1"/>
  <c r="N63" i="84" s="1"/>
  <c r="L99" i="83" a="1"/>
  <c r="L99" i="83" s="1"/>
  <c r="L63" i="83" s="1"/>
  <c r="P101" i="84" a="1"/>
  <c r="P101" i="84" s="1"/>
  <c r="P63" i="84" s="1"/>
  <c r="P101" i="85" a="1"/>
  <c r="P101" i="85" s="1"/>
  <c r="P63" i="85" s="1"/>
  <c r="I139" i="51" a="1"/>
  <c r="I139" i="51" s="1"/>
  <c r="S37" i="51" a="1"/>
  <c r="S37" i="51" s="1"/>
  <c r="S72" i="51" s="1" a="1"/>
  <c r="S72" i="51" s="1"/>
  <c r="L106" i="63"/>
  <c r="J105" i="63"/>
  <c r="L103" i="63"/>
  <c r="J122" i="63"/>
  <c r="L127" i="63"/>
  <c r="L130" i="63"/>
  <c r="L105" i="63"/>
  <c r="L126" i="63"/>
  <c r="L114" i="63"/>
  <c r="L123" i="63"/>
  <c r="L128" i="63"/>
  <c r="J123" i="63"/>
  <c r="J128" i="63"/>
  <c r="L122" i="63"/>
  <c r="J127" i="63"/>
  <c r="J130" i="63"/>
  <c r="J106" i="63"/>
  <c r="T145" i="51" a="1"/>
  <c r="T145" i="51" s="1"/>
  <c r="K139" i="51" a="1"/>
  <c r="K139" i="51" s="1"/>
  <c r="J174" i="63"/>
  <c r="L174" i="63"/>
  <c r="U145" i="51" a="1"/>
  <c r="U145" i="51" s="1"/>
  <c r="K144" i="51" a="1"/>
  <c r="K144" i="51" s="1"/>
  <c r="U144" i="51" a="1"/>
  <c r="U144" i="51" s="1"/>
  <c r="T144" i="51" a="1"/>
  <c r="T144" i="51" s="1"/>
  <c r="I39" i="51" a="1"/>
  <c r="I39" i="51" s="1"/>
  <c r="I74" i="51" s="1" a="1"/>
  <c r="I74" i="51" s="1"/>
  <c r="I36" i="51" a="1"/>
  <c r="I36" i="51" s="1"/>
  <c r="F101" i="83" s="1" a="1"/>
  <c r="F101" i="83" s="1"/>
  <c r="F63" i="83" s="1"/>
  <c r="I38" i="51" a="1"/>
  <c r="I38" i="51" s="1"/>
  <c r="I73" i="51" s="1" a="1"/>
  <c r="I73" i="51" s="1"/>
  <c r="S36" i="51" a="1"/>
  <c r="S36" i="51" s="1"/>
  <c r="S38" i="51" a="1"/>
  <c r="S38" i="51" s="1"/>
  <c r="S73" i="51" s="1" a="1"/>
  <c r="S73" i="51" s="1"/>
  <c r="I37" i="51" a="1"/>
  <c r="I37" i="51" s="1"/>
  <c r="I72" i="51" s="1" a="1"/>
  <c r="I72" i="51" s="1"/>
  <c r="T146" i="51" a="1"/>
  <c r="T146" i="51" s="1"/>
  <c r="J71" i="51" a="1"/>
  <c r="J71" i="51" s="1"/>
  <c r="H71" i="51" a="1"/>
  <c r="H71" i="51" s="1"/>
  <c r="I144" i="51" a="1"/>
  <c r="I144" i="51" s="1"/>
  <c r="G142" i="51" a="1"/>
  <c r="G142" i="51" s="1"/>
  <c r="G143" i="51" a="1"/>
  <c r="G143" i="51" s="1"/>
  <c r="Q142" i="51" a="1"/>
  <c r="Q142" i="51" s="1"/>
  <c r="U36" i="51" a="1"/>
  <c r="U36" i="51" s="1"/>
  <c r="H112" i="51" a="1"/>
  <c r="H112" i="51" s="1"/>
  <c r="H147" i="51" s="1" a="1"/>
  <c r="H147" i="51" s="1"/>
  <c r="H111" i="51" a="1"/>
  <c r="H111" i="51" s="1"/>
  <c r="H146" i="51" s="1" a="1"/>
  <c r="H146" i="51" s="1"/>
  <c r="K37" i="51" a="1"/>
  <c r="K37" i="51" s="1"/>
  <c r="K72" i="51" s="1" a="1"/>
  <c r="K72" i="51" s="1"/>
  <c r="K39" i="51" a="1"/>
  <c r="K39" i="51" s="1"/>
  <c r="K74" i="51" s="1" a="1"/>
  <c r="K74" i="51" s="1"/>
  <c r="K36" i="51" a="1"/>
  <c r="K36" i="51" s="1"/>
  <c r="H101" i="83" s="1" a="1"/>
  <c r="H101" i="83" s="1"/>
  <c r="H63" i="83" s="1"/>
  <c r="K38" i="51" a="1"/>
  <c r="K38" i="51" s="1"/>
  <c r="K73" i="51" s="1" a="1"/>
  <c r="K73" i="51" s="1"/>
  <c r="U37" i="51" a="1"/>
  <c r="U37" i="51" s="1"/>
  <c r="U72" i="51" s="1" a="1"/>
  <c r="U72" i="51" s="1"/>
  <c r="T71" i="51" a="1"/>
  <c r="T71" i="51" s="1"/>
  <c r="R71" i="51" a="1"/>
  <c r="R71" i="51" s="1"/>
  <c r="U38" i="51" a="1"/>
  <c r="U38" i="51" s="1"/>
  <c r="U73" i="51" s="1" a="1"/>
  <c r="U73" i="51" s="1"/>
  <c r="H109" i="51" a="1"/>
  <c r="H109" i="51" s="1"/>
  <c r="H110" i="51" a="1"/>
  <c r="H110" i="51" s="1"/>
  <c r="H145" i="51" s="1" a="1"/>
  <c r="H145" i="51" s="1"/>
  <c r="K106" i="51" a="1"/>
  <c r="K106" i="51" s="1"/>
  <c r="K141" i="51" s="1" a="1"/>
  <c r="K141" i="51" s="1"/>
  <c r="J106" i="51" a="1"/>
  <c r="J106" i="51" s="1"/>
  <c r="J141" i="51" s="1" a="1"/>
  <c r="J141" i="51" s="1"/>
  <c r="H106" i="51" a="1"/>
  <c r="H106" i="51" s="1"/>
  <c r="H141" i="51" s="1" a="1"/>
  <c r="H141" i="51" s="1"/>
  <c r="I106" i="51" a="1"/>
  <c r="I106" i="51" s="1"/>
  <c r="I141" i="51" s="1" a="1"/>
  <c r="I141" i="51" s="1"/>
  <c r="S32" i="51" a="1"/>
  <c r="S32" i="51" s="1"/>
  <c r="S67" i="51" s="1" a="1"/>
  <c r="S67" i="51" s="1"/>
  <c r="J47" i="63"/>
  <c r="Q143" i="51" a="1"/>
  <c r="Q143" i="51" s="1"/>
  <c r="K160" i="63" a="1"/>
  <c r="K160" i="63" s="1"/>
  <c r="L160" i="63" a="1"/>
  <c r="L160" i="63" s="1"/>
  <c r="I160" i="63" a="1"/>
  <c r="I160" i="63" s="1"/>
  <c r="J160" i="63" a="1"/>
  <c r="J160" i="63" s="1"/>
  <c r="H160" i="63" a="1"/>
  <c r="H160" i="63" s="1"/>
  <c r="S145" i="51" a="1"/>
  <c r="S145" i="51" s="1"/>
  <c r="S146" i="51" a="1"/>
  <c r="S146" i="51" s="1"/>
  <c r="R109" i="51" a="1"/>
  <c r="R109" i="51" s="1"/>
  <c r="R110" i="51" a="1"/>
  <c r="R110" i="51" s="1"/>
  <c r="R111" i="51" a="1"/>
  <c r="R111" i="51" s="1"/>
  <c r="S144" i="51" a="1"/>
  <c r="S144" i="51" s="1"/>
  <c r="G314" i="44"/>
  <c r="H169" i="44"/>
  <c r="L298" i="49"/>
  <c r="L296" i="49" s="1"/>
  <c r="L303" i="49" s="1"/>
  <c r="P73" i="49"/>
  <c r="Q73" i="49" s="1"/>
  <c r="M301" i="49"/>
  <c r="M299" i="49" s="1"/>
  <c r="M304" i="49" s="1"/>
  <c r="P71" i="49"/>
  <c r="Q71" i="49" s="1"/>
  <c r="L292" i="49"/>
  <c r="L290" i="49" s="1"/>
  <c r="K298" i="49"/>
  <c r="K296" i="49" s="1"/>
  <c r="K303" i="49" s="1"/>
  <c r="N301" i="49"/>
  <c r="N299" i="49" s="1"/>
  <c r="N304" i="49" s="1"/>
  <c r="L301" i="49"/>
  <c r="L299" i="49" s="1"/>
  <c r="L304" i="49" s="1"/>
  <c r="K295" i="49"/>
  <c r="K293" i="49" s="1"/>
  <c r="N298" i="49"/>
  <c r="N296" i="49" s="1"/>
  <c r="N303" i="49" s="1"/>
  <c r="O301" i="49"/>
  <c r="O299" i="49" s="1"/>
  <c r="O304" i="49" s="1"/>
  <c r="K299" i="49"/>
  <c r="K304" i="49" s="1"/>
  <c r="M295" i="49"/>
  <c r="M293" i="49" s="1"/>
  <c r="O298" i="49"/>
  <c r="O296" i="49" s="1"/>
  <c r="O303" i="49" s="1"/>
  <c r="L295" i="49"/>
  <c r="L293" i="49" s="1"/>
  <c r="N292" i="49"/>
  <c r="N290" i="49" s="1"/>
  <c r="N295" i="49"/>
  <c r="N293" i="49" s="1"/>
  <c r="K68" i="49"/>
  <c r="K75" i="49" s="1"/>
  <c r="H113" i="44"/>
  <c r="I106" i="44"/>
  <c r="J113" i="44"/>
  <c r="K113" i="44"/>
  <c r="K106" i="44"/>
  <c r="G120" i="44"/>
  <c r="H106" i="44"/>
  <c r="J106" i="44"/>
  <c r="I113" i="44"/>
  <c r="G75" i="44"/>
  <c r="J68" i="44"/>
  <c r="K68" i="44"/>
  <c r="I61" i="44"/>
  <c r="H61" i="44"/>
  <c r="K61" i="44"/>
  <c r="I68" i="44"/>
  <c r="J61" i="44"/>
  <c r="H68" i="44"/>
  <c r="J492" i="44"/>
  <c r="O86" i="83" s="1"/>
  <c r="H430" i="44"/>
  <c r="H492" i="44"/>
  <c r="M86" i="83" s="1"/>
  <c r="I430" i="44"/>
  <c r="J430" i="44"/>
  <c r="H498" i="44"/>
  <c r="K492" i="44"/>
  <c r="P86" i="83" s="1"/>
  <c r="I492" i="44"/>
  <c r="N86" i="83" s="1"/>
  <c r="K430" i="44"/>
  <c r="K498" i="44"/>
  <c r="G430" i="44"/>
  <c r="G498" i="44"/>
  <c r="I498" i="44"/>
  <c r="J498" i="44"/>
  <c r="H97" i="44"/>
  <c r="K83" i="44"/>
  <c r="I75" i="44"/>
  <c r="I90" i="44"/>
  <c r="J97" i="44"/>
  <c r="J120" i="44"/>
  <c r="J90" i="44"/>
  <c r="I97" i="44"/>
  <c r="I128" i="44"/>
  <c r="G68" i="44"/>
  <c r="H120" i="44"/>
  <c r="J135" i="44"/>
  <c r="K75" i="44"/>
  <c r="K90" i="44"/>
  <c r="H90" i="44"/>
  <c r="H135" i="44"/>
  <c r="G97" i="44"/>
  <c r="G113" i="44"/>
  <c r="H128" i="44"/>
  <c r="K128" i="44"/>
  <c r="K97" i="44"/>
  <c r="G90" i="44"/>
  <c r="I120" i="44"/>
  <c r="J128" i="44"/>
  <c r="H75" i="44"/>
  <c r="K120" i="44"/>
  <c r="G135" i="44"/>
  <c r="G106" i="44"/>
  <c r="I135" i="44"/>
  <c r="I83" i="44"/>
  <c r="J75" i="44"/>
  <c r="H83" i="44"/>
  <c r="J83" i="44"/>
  <c r="K135" i="44"/>
  <c r="G128" i="44"/>
  <c r="G83" i="44"/>
  <c r="H101" i="84" l="1" a="1"/>
  <c r="H101" i="84" s="1"/>
  <c r="H63" i="84" s="1"/>
  <c r="H101" i="85" a="1"/>
  <c r="H101" i="85" s="1"/>
  <c r="H63" i="85" s="1"/>
  <c r="L72" i="85"/>
  <c r="L58" i="85" s="1"/>
  <c r="L72" i="84"/>
  <c r="L58" i="84" s="1"/>
  <c r="L72" i="83"/>
  <c r="O72" i="85"/>
  <c r="O58" i="85" s="1"/>
  <c r="O72" i="83"/>
  <c r="O58" i="83" s="1"/>
  <c r="O72" i="84"/>
  <c r="O58" i="84" s="1"/>
  <c r="L86" i="84"/>
  <c r="L55" i="84" s="1"/>
  <c r="L86" i="85"/>
  <c r="P86" i="85"/>
  <c r="P86" i="84"/>
  <c r="M72" i="85"/>
  <c r="M58" i="85" s="1"/>
  <c r="M72" i="83"/>
  <c r="M58" i="83" s="1"/>
  <c r="M72" i="84"/>
  <c r="M58" i="84" s="1"/>
  <c r="F101" i="85" a="1"/>
  <c r="F101" i="85" s="1"/>
  <c r="F63" i="85" s="1"/>
  <c r="F101" i="84" a="1"/>
  <c r="F101" i="84" s="1"/>
  <c r="F63" i="84" s="1"/>
  <c r="N86" i="84"/>
  <c r="N86" i="85"/>
  <c r="P72" i="84"/>
  <c r="P58" i="84" s="1"/>
  <c r="P72" i="85"/>
  <c r="P58" i="85" s="1"/>
  <c r="P72" i="83"/>
  <c r="P58" i="83" s="1"/>
  <c r="O55" i="83"/>
  <c r="E72" i="84"/>
  <c r="E72" i="85"/>
  <c r="E72" i="83"/>
  <c r="N72" i="85"/>
  <c r="N58" i="85" s="1"/>
  <c r="N72" i="83"/>
  <c r="N58" i="83" s="1"/>
  <c r="N72" i="84"/>
  <c r="N58" i="84" s="1"/>
  <c r="O86" i="85"/>
  <c r="O86" i="84"/>
  <c r="M86" i="84"/>
  <c r="M55" i="84" s="1"/>
  <c r="M86" i="85"/>
  <c r="M101" i="85" a="1"/>
  <c r="M101" i="85" s="1"/>
  <c r="M63" i="85" s="1"/>
  <c r="M101" i="84" a="1"/>
  <c r="M101" i="84" s="1"/>
  <c r="M63" i="84" s="1"/>
  <c r="M101" i="83" a="1"/>
  <c r="M101" i="83" s="1"/>
  <c r="M63" i="83" s="1"/>
  <c r="L63" i="84"/>
  <c r="L63" i="85"/>
  <c r="K109" i="65"/>
  <c r="K117" i="65" s="1"/>
  <c r="K108" i="65"/>
  <c r="K123" i="65" s="1"/>
  <c r="S71" i="51" a="1"/>
  <c r="S71" i="51" s="1"/>
  <c r="I71" i="51" a="1"/>
  <c r="I71" i="51" s="1"/>
  <c r="K71" i="51" a="1"/>
  <c r="K71" i="51" s="1"/>
  <c r="U71" i="51" a="1"/>
  <c r="U71" i="51" s="1"/>
  <c r="H144" i="51" a="1"/>
  <c r="H144" i="51" s="1"/>
  <c r="K105" i="51" a="1"/>
  <c r="K105" i="51" s="1"/>
  <c r="K140" i="51" s="1" a="1"/>
  <c r="K140" i="51" s="1"/>
  <c r="L176" i="63"/>
  <c r="J105" i="51" a="1"/>
  <c r="J105" i="51" s="1"/>
  <c r="J140" i="51" s="1" a="1"/>
  <c r="J140" i="51" s="1"/>
  <c r="K176" i="63"/>
  <c r="G105" i="51" a="1"/>
  <c r="G105" i="51" s="1"/>
  <c r="G140" i="51" s="1" a="1"/>
  <c r="G140" i="51" s="1"/>
  <c r="H176" i="63"/>
  <c r="I105" i="51" a="1"/>
  <c r="I105" i="51" s="1"/>
  <c r="I140" i="51" s="1" a="1"/>
  <c r="I140" i="51" s="1"/>
  <c r="J176" i="63"/>
  <c r="H105" i="51" a="1"/>
  <c r="H105" i="51" s="1"/>
  <c r="H140" i="51" s="1" a="1"/>
  <c r="H140" i="51" s="1"/>
  <c r="I176" i="63"/>
  <c r="R145" i="51" a="1"/>
  <c r="R145" i="51" s="1"/>
  <c r="R146" i="51" a="1"/>
  <c r="R146" i="51" s="1"/>
  <c r="P302" i="49"/>
  <c r="R144" i="51" a="1"/>
  <c r="R144" i="51" s="1"/>
  <c r="J315" i="44"/>
  <c r="H315" i="44"/>
  <c r="I315" i="44"/>
  <c r="K314" i="44"/>
  <c r="G315" i="44"/>
  <c r="H314" i="44"/>
  <c r="K315" i="44"/>
  <c r="J314" i="44"/>
  <c r="I314" i="44"/>
  <c r="H106" i="65"/>
  <c r="H13" i="63" a="1"/>
  <c r="H13" i="63" s="1"/>
  <c r="H29" i="63" s="1" a="1"/>
  <c r="H29" i="63" s="1"/>
  <c r="M298" i="49"/>
  <c r="M296" i="49" s="1"/>
  <c r="M303" i="49" s="1"/>
  <c r="O295" i="49"/>
  <c r="O293" i="49" s="1"/>
  <c r="P296" i="49" s="1"/>
  <c r="Q296" i="49" s="1"/>
  <c r="P67" i="49"/>
  <c r="Q67" i="49" s="1"/>
  <c r="P295" i="49"/>
  <c r="Q295" i="49" s="1"/>
  <c r="P304" i="49"/>
  <c r="Q304" i="49" s="1"/>
  <c r="P293" i="49"/>
  <c r="Q293" i="49" s="1"/>
  <c r="P64" i="49"/>
  <c r="Q64" i="49" s="1"/>
  <c r="P70" i="49"/>
  <c r="Q70" i="49" s="1"/>
  <c r="G105" i="65"/>
  <c r="G108" i="65"/>
  <c r="G106" i="65"/>
  <c r="G107" i="65"/>
  <c r="G109" i="65"/>
  <c r="H378" i="44"/>
  <c r="H379" i="44" s="1" a="1"/>
  <c r="H379" i="44" s="1"/>
  <c r="H377" i="44"/>
  <c r="I332" i="44"/>
  <c r="I333" i="44" s="1"/>
  <c r="I334" i="44" s="1" a="1"/>
  <c r="I334" i="44" s="1"/>
  <c r="K326" i="44"/>
  <c r="K327" i="44" s="1" a="1"/>
  <c r="K327" i="44" s="1"/>
  <c r="K325" i="44"/>
  <c r="J370" i="44"/>
  <c r="J371" i="44" s="1"/>
  <c r="J372" i="44" s="1" a="1"/>
  <c r="J372" i="44" s="1"/>
  <c r="K332" i="44"/>
  <c r="K333" i="44" s="1"/>
  <c r="K334" i="44" s="1" a="1"/>
  <c r="K334" i="44" s="1"/>
  <c r="I371" i="44"/>
  <c r="I372" i="44" s="1" a="1"/>
  <c r="I372" i="44" s="1"/>
  <c r="I370" i="44"/>
  <c r="G384" i="44"/>
  <c r="G385" i="44"/>
  <c r="G386" i="44" s="1" a="1"/>
  <c r="G386" i="44" s="1"/>
  <c r="G340" i="44"/>
  <c r="G341" i="44" s="1" a="1"/>
  <c r="G341" i="44" s="1"/>
  <c r="G339" i="44"/>
  <c r="H325" i="44"/>
  <c r="H326" i="44" s="1"/>
  <c r="H327" i="44" s="1" a="1"/>
  <c r="H327" i="44" s="1"/>
  <c r="I378" i="44"/>
  <c r="I379" i="44" s="1" a="1"/>
  <c r="I379" i="44" s="1"/>
  <c r="I377" i="44"/>
  <c r="H333" i="44"/>
  <c r="H334" i="44" s="1" a="1"/>
  <c r="H334" i="44" s="1"/>
  <c r="H332" i="44"/>
  <c r="J378" i="44"/>
  <c r="J379" i="44" s="1" a="1"/>
  <c r="J379" i="44" s="1"/>
  <c r="J377" i="44"/>
  <c r="J325" i="44"/>
  <c r="J326" i="44" s="1"/>
  <c r="J327" i="44" s="1" a="1"/>
  <c r="J327" i="44" s="1"/>
  <c r="K377" i="44"/>
  <c r="K378" i="44" s="1"/>
  <c r="K379" i="44" s="1" a="1"/>
  <c r="K379" i="44" s="1"/>
  <c r="H371" i="44"/>
  <c r="H372" i="44" s="1" a="1"/>
  <c r="H372" i="44" s="1"/>
  <c r="H370" i="44"/>
  <c r="J332" i="44"/>
  <c r="J333" i="44" s="1"/>
  <c r="J334" i="44" s="1" a="1"/>
  <c r="J334" i="44" s="1"/>
  <c r="I325" i="44"/>
  <c r="I326" i="44" s="1"/>
  <c r="I327" i="44" s="1" a="1"/>
  <c r="I327" i="44" s="1"/>
  <c r="K370" i="44"/>
  <c r="K371" i="44" s="1"/>
  <c r="K372" i="44" s="1" a="1"/>
  <c r="K372" i="44" s="1"/>
  <c r="K116" i="44"/>
  <c r="K117" i="44"/>
  <c r="K118" i="44" s="1" a="1"/>
  <c r="K118" i="44" s="1"/>
  <c r="K115" i="44" a="1"/>
  <c r="K115" i="44" s="1"/>
  <c r="H109" i="44"/>
  <c r="H110" i="44"/>
  <c r="H111" i="44" s="1" a="1"/>
  <c r="H111" i="44" s="1"/>
  <c r="H108" i="44" a="1"/>
  <c r="H108" i="44" s="1"/>
  <c r="I116" i="44"/>
  <c r="I117" i="44"/>
  <c r="I118" i="44" s="1" a="1"/>
  <c r="I118" i="44" s="1"/>
  <c r="I115" i="44" a="1"/>
  <c r="I115" i="44" s="1"/>
  <c r="J116" i="44"/>
  <c r="J117" i="44"/>
  <c r="J118" i="44" s="1" a="1"/>
  <c r="J118" i="44" s="1"/>
  <c r="J115" i="44" a="1"/>
  <c r="J115" i="44" s="1"/>
  <c r="H117" i="44"/>
  <c r="H118" i="44" s="1" a="1"/>
  <c r="H118" i="44" s="1"/>
  <c r="H115" i="44" a="1"/>
  <c r="H115" i="44" s="1"/>
  <c r="H116" i="44"/>
  <c r="G79" i="44"/>
  <c r="G80" i="44" s="1" a="1"/>
  <c r="G80" i="44" s="1"/>
  <c r="G78" i="44"/>
  <c r="G77" i="44" a="1"/>
  <c r="G77" i="44" s="1"/>
  <c r="G124" i="44"/>
  <c r="G125" i="44" s="1" a="1"/>
  <c r="G125" i="44" s="1"/>
  <c r="G123" i="44"/>
  <c r="G122" i="44" a="1"/>
  <c r="G122" i="44" s="1"/>
  <c r="J110" i="44"/>
  <c r="J111" i="44" s="1" a="1"/>
  <c r="J111" i="44" s="1"/>
  <c r="J108" i="44" a="1"/>
  <c r="J108" i="44" s="1"/>
  <c r="J109" i="44"/>
  <c r="K110" i="44"/>
  <c r="K111" i="44" s="1" a="1"/>
  <c r="K111" i="44" s="1"/>
  <c r="K108" i="44" a="1"/>
  <c r="K108" i="44" s="1"/>
  <c r="K109" i="44"/>
  <c r="I109" i="44"/>
  <c r="I110" i="44"/>
  <c r="I111" i="44" s="1" a="1"/>
  <c r="I111" i="44" s="1"/>
  <c r="I108" i="44" a="1"/>
  <c r="I108" i="44" s="1"/>
  <c r="I70" i="44" a="1"/>
  <c r="I70" i="44" s="1"/>
  <c r="I72" i="44"/>
  <c r="I73" i="44" s="1" a="1"/>
  <c r="I73" i="44" s="1"/>
  <c r="I71" i="44"/>
  <c r="K70" i="44" a="1"/>
  <c r="K70" i="44" s="1"/>
  <c r="K71" i="44"/>
  <c r="K72" i="44"/>
  <c r="K73" i="44" s="1" a="1"/>
  <c r="K73" i="44" s="1"/>
  <c r="J72" i="44"/>
  <c r="J73" i="44" s="1" a="1"/>
  <c r="J73" i="44" s="1"/>
  <c r="J70" i="44" a="1"/>
  <c r="J70" i="44" s="1"/>
  <c r="J71" i="44"/>
  <c r="H72" i="44"/>
  <c r="H73" i="44" s="1" a="1"/>
  <c r="H73" i="44" s="1"/>
  <c r="H70" i="44" a="1"/>
  <c r="H70" i="44" s="1"/>
  <c r="H71" i="44"/>
  <c r="H65" i="44"/>
  <c r="H66" i="44" s="1" a="1"/>
  <c r="H66" i="44" s="1"/>
  <c r="H63" i="44" a="1"/>
  <c r="H63" i="44" s="1"/>
  <c r="K63" i="44" a="1"/>
  <c r="K63" i="44" s="1"/>
  <c r="K65" i="44"/>
  <c r="K66" i="44" s="1" a="1"/>
  <c r="K66" i="44" s="1"/>
  <c r="I63" i="44" a="1"/>
  <c r="I63" i="44" s="1"/>
  <c r="I65" i="44"/>
  <c r="I66" i="44" s="1" a="1"/>
  <c r="I66" i="44" s="1"/>
  <c r="J63" i="44" a="1"/>
  <c r="J63" i="44" s="1"/>
  <c r="J65" i="44"/>
  <c r="J66" i="44" s="1" a="1"/>
  <c r="J66" i="44" s="1"/>
  <c r="H64" i="44"/>
  <c r="K64" i="44"/>
  <c r="I64" i="44"/>
  <c r="J64" i="44"/>
  <c r="H237" i="44"/>
  <c r="K231" i="44"/>
  <c r="H86" i="83" s="1"/>
  <c r="J231" i="44"/>
  <c r="G86" i="83" s="1"/>
  <c r="H231" i="44"/>
  <c r="E86" i="83" s="1"/>
  <c r="G237" i="44"/>
  <c r="K237" i="44"/>
  <c r="I231" i="44"/>
  <c r="F86" i="83" s="1"/>
  <c r="G231" i="44"/>
  <c r="D86" i="83" s="1"/>
  <c r="D55" i="83" s="1"/>
  <c r="I237" i="44"/>
  <c r="J237" i="44"/>
  <c r="K13" i="44"/>
  <c r="H13" i="44"/>
  <c r="I13" i="44"/>
  <c r="J13" i="44"/>
  <c r="G13" i="44"/>
  <c r="E55" i="83" l="1"/>
  <c r="O55" i="84"/>
  <c r="P55" i="83"/>
  <c r="M55" i="85"/>
  <c r="L55" i="85"/>
  <c r="N55" i="85"/>
  <c r="H86" i="85"/>
  <c r="H86" i="84"/>
  <c r="N55" i="84"/>
  <c r="P55" i="84"/>
  <c r="M55" i="83"/>
  <c r="O55" i="85"/>
  <c r="P55" i="85"/>
  <c r="L55" i="83"/>
  <c r="L58" i="83"/>
  <c r="Q58" i="83" s="1"/>
  <c r="D86" i="85"/>
  <c r="D55" i="85" s="1"/>
  <c r="D86" i="84"/>
  <c r="D55" i="84" s="1"/>
  <c r="Q58" i="84"/>
  <c r="N55" i="83"/>
  <c r="Q58" i="85"/>
  <c r="G86" i="85"/>
  <c r="G86" i="84"/>
  <c r="F86" i="85"/>
  <c r="F86" i="84"/>
  <c r="E86" i="85"/>
  <c r="E55" i="85" s="1"/>
  <c r="E86" i="84"/>
  <c r="E55" i="84" s="1"/>
  <c r="Q63" i="85"/>
  <c r="Q63" i="83"/>
  <c r="Q63" i="84"/>
  <c r="F109" i="65"/>
  <c r="F107" i="65"/>
  <c r="H107" i="65"/>
  <c r="H115" i="65" s="1"/>
  <c r="F108" i="65"/>
  <c r="F106" i="65"/>
  <c r="K107" i="65"/>
  <c r="K115" i="65" s="1"/>
  <c r="K105" i="65"/>
  <c r="K120" i="65" s="1"/>
  <c r="Q302" i="49"/>
  <c r="G23" i="51"/>
  <c r="G12" i="51" s="1" a="1"/>
  <c r="G12" i="51" s="1"/>
  <c r="E3" i="63"/>
  <c r="Q31" i="51" a="1"/>
  <c r="Q31" i="51" s="1"/>
  <c r="H45" i="63"/>
  <c r="H121" i="65"/>
  <c r="H105" i="65"/>
  <c r="H108" i="65"/>
  <c r="H109" i="65"/>
  <c r="K124" i="65"/>
  <c r="K116" i="65"/>
  <c r="G114" i="65"/>
  <c r="G121" i="65"/>
  <c r="G115" i="65"/>
  <c r="G122" i="65"/>
  <c r="G116" i="65"/>
  <c r="G123" i="65"/>
  <c r="G117" i="65"/>
  <c r="G124" i="65"/>
  <c r="G113" i="65"/>
  <c r="G120" i="65"/>
  <c r="P66" i="49"/>
  <c r="Q66" i="49" s="1"/>
  <c r="K65" i="49"/>
  <c r="P65" i="49" s="1"/>
  <c r="Q65" i="49" s="1"/>
  <c r="P68" i="49"/>
  <c r="Q68" i="49" s="1"/>
  <c r="P301" i="49"/>
  <c r="Q301" i="49" s="1"/>
  <c r="P298" i="49"/>
  <c r="Q298" i="49" s="1"/>
  <c r="P299" i="49"/>
  <c r="Q299" i="49" s="1"/>
  <c r="S21" i="51"/>
  <c r="S10" i="51" s="1" a="1"/>
  <c r="S10" i="51" s="1"/>
  <c r="T21" i="51"/>
  <c r="T10" i="51" s="1" a="1"/>
  <c r="T10" i="51" s="1"/>
  <c r="R21" i="51"/>
  <c r="R10" i="51" s="1" a="1"/>
  <c r="R10" i="51" s="1"/>
  <c r="U21" i="51"/>
  <c r="U10" i="51" s="1" a="1"/>
  <c r="U10" i="51" s="1"/>
  <c r="Q23" i="51"/>
  <c r="Q12" i="51" s="1" a="1"/>
  <c r="Q12" i="51" s="1"/>
  <c r="R22" i="51"/>
  <c r="R11" i="51" s="1" a="1"/>
  <c r="R11" i="51" s="1"/>
  <c r="T22" i="51"/>
  <c r="T11" i="51" s="1" a="1"/>
  <c r="T11" i="51" s="1"/>
  <c r="U22" i="51"/>
  <c r="U11" i="51" s="1" a="1"/>
  <c r="U11" i="51" s="1"/>
  <c r="I21" i="51"/>
  <c r="I10" i="51" s="1" a="1"/>
  <c r="I10" i="51" s="1"/>
  <c r="K22" i="51"/>
  <c r="K11" i="51" s="1" a="1"/>
  <c r="K11" i="51" s="1"/>
  <c r="J22" i="51"/>
  <c r="J11" i="51" s="1" a="1"/>
  <c r="J11" i="51" s="1"/>
  <c r="H22" i="51"/>
  <c r="H11" i="51" s="1" a="1"/>
  <c r="H11" i="51" s="1"/>
  <c r="J21" i="51"/>
  <c r="J10" i="51" s="1" a="1"/>
  <c r="J10" i="51" s="1"/>
  <c r="K21" i="51"/>
  <c r="K10" i="51" s="1" a="1"/>
  <c r="K10" i="51" s="1"/>
  <c r="S22" i="51"/>
  <c r="S11" i="51" s="1" a="1"/>
  <c r="S11" i="51" s="1"/>
  <c r="U94" i="51"/>
  <c r="U95" i="51"/>
  <c r="J94" i="51"/>
  <c r="T95" i="51"/>
  <c r="G96" i="51"/>
  <c r="I95" i="51"/>
  <c r="R95" i="51"/>
  <c r="I22" i="51"/>
  <c r="I11" i="51" s="1" a="1"/>
  <c r="I11" i="51" s="1"/>
  <c r="J95" i="51"/>
  <c r="S95" i="51"/>
  <c r="Q96" i="51"/>
  <c r="S94" i="51"/>
  <c r="T94" i="51"/>
  <c r="K94" i="51"/>
  <c r="H21" i="51"/>
  <c r="H10" i="51" s="1" a="1"/>
  <c r="H10" i="51" s="1"/>
  <c r="I94" i="51"/>
  <c r="R94" i="51"/>
  <c r="H95" i="51"/>
  <c r="H94" i="51"/>
  <c r="K95" i="51"/>
  <c r="J108" i="65"/>
  <c r="J107" i="65"/>
  <c r="J109" i="65"/>
  <c r="J106" i="65"/>
  <c r="Q55" i="85" l="1"/>
  <c r="D35" i="85" s="1"/>
  <c r="D96" i="85" a="1"/>
  <c r="D96" i="85" s="1"/>
  <c r="D96" i="84" a="1"/>
  <c r="D96" i="84" s="1"/>
  <c r="Q55" i="83"/>
  <c r="D35" i="83" s="1"/>
  <c r="Q55" i="84"/>
  <c r="D35" i="84" s="1"/>
  <c r="J105" i="65"/>
  <c r="J113" i="65" s="1"/>
  <c r="H122" i="65"/>
  <c r="K113" i="65"/>
  <c r="K122" i="65"/>
  <c r="K110" i="65"/>
  <c r="K125" i="65" s="1"/>
  <c r="E11" i="77"/>
  <c r="K106" i="65"/>
  <c r="K114" i="65" s="1"/>
  <c r="F105" i="65"/>
  <c r="F120" i="65" s="1"/>
  <c r="E11" i="78"/>
  <c r="Q66" i="51" a="1"/>
  <c r="Q66" i="51" s="1"/>
  <c r="I46" i="51"/>
  <c r="S46" i="51"/>
  <c r="U46" i="51"/>
  <c r="G47" i="51"/>
  <c r="S45" i="51"/>
  <c r="T46" i="51"/>
  <c r="K45" i="51"/>
  <c r="R46" i="51"/>
  <c r="H45" i="51"/>
  <c r="Q47" i="51"/>
  <c r="J45" i="51"/>
  <c r="H46" i="51"/>
  <c r="U45" i="51"/>
  <c r="I45" i="51"/>
  <c r="J46" i="51"/>
  <c r="R45" i="51"/>
  <c r="K46" i="51"/>
  <c r="T45" i="51"/>
  <c r="R129" i="51" a="1"/>
  <c r="R129" i="51" s="1"/>
  <c r="R83" i="51" a="1"/>
  <c r="R83" i="51" s="1"/>
  <c r="J130" i="51" a="1"/>
  <c r="J130" i="51" s="1"/>
  <c r="J84" i="51" a="1"/>
  <c r="J84" i="51" s="1"/>
  <c r="U129" i="51" a="1"/>
  <c r="U129" i="51" s="1"/>
  <c r="U83" i="51" a="1"/>
  <c r="U83" i="51" s="1"/>
  <c r="H130" i="51" a="1"/>
  <c r="H130" i="51" s="1"/>
  <c r="H84" i="51" a="1"/>
  <c r="H84" i="51" s="1"/>
  <c r="I129" i="51" a="1"/>
  <c r="I129" i="51" s="1"/>
  <c r="I83" i="51" a="1"/>
  <c r="I83" i="51" s="1"/>
  <c r="K129" i="51" a="1"/>
  <c r="K129" i="51" s="1"/>
  <c r="K83" i="51" a="1"/>
  <c r="K83" i="51" s="1"/>
  <c r="I130" i="51" a="1"/>
  <c r="I130" i="51" s="1"/>
  <c r="I84" i="51" a="1"/>
  <c r="I84" i="51" s="1"/>
  <c r="G110" i="65"/>
  <c r="G125" i="65" s="1"/>
  <c r="T129" i="51" a="1"/>
  <c r="T129" i="51" s="1"/>
  <c r="T83" i="51" a="1"/>
  <c r="T83" i="51" s="1"/>
  <c r="G131" i="51" a="1"/>
  <c r="G131" i="51" s="1"/>
  <c r="G85" i="51" a="1"/>
  <c r="G85" i="51" s="1"/>
  <c r="R130" i="51" a="1"/>
  <c r="R130" i="51" s="1"/>
  <c r="R84" i="51" a="1"/>
  <c r="R84" i="51" s="1"/>
  <c r="K130" i="51" a="1"/>
  <c r="K130" i="51" s="1"/>
  <c r="K84" i="51" a="1"/>
  <c r="K84" i="51" s="1"/>
  <c r="S129" i="51" a="1"/>
  <c r="S129" i="51" s="1"/>
  <c r="S83" i="51" a="1"/>
  <c r="S83" i="51" s="1"/>
  <c r="T130" i="51" a="1"/>
  <c r="T130" i="51" s="1"/>
  <c r="T84" i="51" a="1"/>
  <c r="T84" i="51" s="1"/>
  <c r="H129" i="51" a="1"/>
  <c r="H129" i="51" s="1"/>
  <c r="H83" i="51" a="1"/>
  <c r="H83" i="51" s="1"/>
  <c r="Q131" i="51" a="1"/>
  <c r="Q131" i="51" s="1"/>
  <c r="Q85" i="51" a="1"/>
  <c r="Q85" i="51" s="1"/>
  <c r="J129" i="51" a="1"/>
  <c r="J129" i="51" s="1"/>
  <c r="J83" i="51" a="1"/>
  <c r="J83" i="51" s="1"/>
  <c r="S130" i="51" a="1"/>
  <c r="S130" i="51" s="1"/>
  <c r="S84" i="51" a="1"/>
  <c r="S84" i="51" s="1"/>
  <c r="U130" i="51" a="1"/>
  <c r="U130" i="51" s="1"/>
  <c r="U84" i="51" a="1"/>
  <c r="U84" i="51" s="1"/>
  <c r="F123" i="65"/>
  <c r="F121" i="65"/>
  <c r="F117" i="65"/>
  <c r="F116" i="65"/>
  <c r="H114" i="65"/>
  <c r="F115" i="65"/>
  <c r="H123" i="65"/>
  <c r="H120" i="65"/>
  <c r="E10" i="78"/>
  <c r="H124" i="65"/>
  <c r="K57" i="51" a="1"/>
  <c r="K57" i="51" s="1"/>
  <c r="T56" i="51" a="1"/>
  <c r="T56" i="51" s="1"/>
  <c r="I56" i="51" a="1"/>
  <c r="I56" i="51" s="1"/>
  <c r="S56" i="51" a="1"/>
  <c r="S56" i="51" s="1"/>
  <c r="I57" i="51" a="1"/>
  <c r="I57" i="51" s="1"/>
  <c r="S57" i="51" a="1"/>
  <c r="S57" i="51" s="1"/>
  <c r="U57" i="51" a="1"/>
  <c r="U57" i="51" s="1"/>
  <c r="H56" i="51" a="1"/>
  <c r="H56" i="51" s="1"/>
  <c r="G58" i="51" a="1"/>
  <c r="G58" i="51" s="1"/>
  <c r="T57" i="51" a="1"/>
  <c r="T57" i="51" s="1"/>
  <c r="K56" i="51" a="1"/>
  <c r="K56" i="51" s="1"/>
  <c r="R57" i="51" a="1"/>
  <c r="R57" i="51" s="1"/>
  <c r="J56" i="51" a="1"/>
  <c r="J56" i="51" s="1"/>
  <c r="Q58" i="51" a="1"/>
  <c r="Q58" i="51" s="1"/>
  <c r="H57" i="51" a="1"/>
  <c r="H57" i="51" s="1"/>
  <c r="U56" i="51" a="1"/>
  <c r="U56" i="51" s="1"/>
  <c r="J57" i="51" a="1"/>
  <c r="J57" i="51" s="1"/>
  <c r="R56" i="51" a="1"/>
  <c r="R56" i="51" s="1"/>
  <c r="F114" i="65"/>
  <c r="J116" i="65"/>
  <c r="J123" i="65"/>
  <c r="J117" i="65"/>
  <c r="J124" i="65"/>
  <c r="J115" i="65"/>
  <c r="J122" i="65"/>
  <c r="J114" i="65"/>
  <c r="J121" i="65"/>
  <c r="D10" i="78"/>
  <c r="K54" i="44"/>
  <c r="K53" i="44"/>
  <c r="G53" i="44"/>
  <c r="I53" i="44"/>
  <c r="G54" i="44"/>
  <c r="H53" i="44"/>
  <c r="J53" i="44"/>
  <c r="H54" i="44"/>
  <c r="I54" i="44"/>
  <c r="J54" i="44"/>
  <c r="J120" i="65" l="1"/>
  <c r="E10" i="77"/>
  <c r="K121" i="65"/>
  <c r="F113" i="65"/>
  <c r="U119" i="51"/>
  <c r="Q120" i="51"/>
  <c r="T119" i="51"/>
  <c r="I118" i="51"/>
  <c r="S119" i="51"/>
  <c r="H118" i="51"/>
  <c r="S118" i="51"/>
  <c r="G120" i="51"/>
  <c r="U118" i="51"/>
  <c r="I119" i="51"/>
  <c r="H119" i="51"/>
  <c r="K119" i="51"/>
  <c r="T118" i="51"/>
  <c r="J119" i="51"/>
  <c r="K118" i="51"/>
  <c r="H110" i="65"/>
  <c r="H118" i="65" s="1"/>
  <c r="J118" i="51"/>
  <c r="R119" i="51"/>
  <c r="R118" i="51"/>
  <c r="F124" i="65"/>
  <c r="F122" i="65"/>
  <c r="H116" i="65"/>
  <c r="H113" i="65"/>
  <c r="H117" i="65"/>
  <c r="G118" i="65"/>
  <c r="K118" i="65"/>
  <c r="B3" i="49"/>
  <c r="C2" i="49"/>
  <c r="B7" i="49" l="1"/>
  <c r="B59" i="49" s="1"/>
  <c r="H125" i="65"/>
  <c r="I169" i="44"/>
  <c r="K169" i="44"/>
  <c r="J169" i="44"/>
  <c r="E15" i="48"/>
  <c r="D406" i="44" s="1"/>
  <c r="E14" i="48"/>
  <c r="D145" i="44" s="1"/>
  <c r="E9" i="48"/>
  <c r="E8" i="48"/>
  <c r="B3" i="48"/>
  <c r="C2" i="48"/>
  <c r="B3" i="47"/>
  <c r="C2" i="47"/>
  <c r="G72" i="84" l="1"/>
  <c r="G55" i="84" s="1"/>
  <c r="G72" i="85"/>
  <c r="G55" i="85" s="1"/>
  <c r="G72" i="83"/>
  <c r="G55" i="83" s="1"/>
  <c r="H72" i="85"/>
  <c r="H55" i="85" s="1"/>
  <c r="H72" i="84"/>
  <c r="H55" i="84" s="1"/>
  <c r="H72" i="83"/>
  <c r="H55" i="83" s="1"/>
  <c r="F72" i="84"/>
  <c r="F55" i="84" s="1"/>
  <c r="F72" i="83"/>
  <c r="F55" i="83" s="1"/>
  <c r="F72" i="85"/>
  <c r="F55" i="85" s="1"/>
  <c r="B5" i="47"/>
  <c r="B5" i="48"/>
  <c r="B21" i="48" s="1"/>
  <c r="B237" i="49"/>
  <c r="B290" i="49" s="1"/>
  <c r="H151" i="44" a="1"/>
  <c r="H151" i="44" s="1"/>
  <c r="I151" i="44" s="1" a="1"/>
  <c r="I151" i="44" s="1"/>
  <c r="I261" i="44" s="1" a="1"/>
  <c r="I261" i="44" s="1"/>
  <c r="H162" i="44" a="1"/>
  <c r="H162" i="44" s="1"/>
  <c r="I162" i="44" s="1" a="1"/>
  <c r="I162" i="44" s="1"/>
  <c r="H161" i="44" a="1"/>
  <c r="H161" i="44" s="1"/>
  <c r="I161" i="44" s="1" a="1"/>
  <c r="I161" i="44" s="1"/>
  <c r="H160" i="44" a="1"/>
  <c r="H160" i="44" s="1"/>
  <c r="I160" i="44" s="1" a="1"/>
  <c r="I160" i="44" s="1"/>
  <c r="H159" i="44" a="1"/>
  <c r="H159" i="44" s="1"/>
  <c r="I159" i="44" s="1" a="1"/>
  <c r="I159" i="44" s="1"/>
  <c r="H158" i="44" a="1"/>
  <c r="H158" i="44" s="1"/>
  <c r="I158" i="44" s="1" a="1"/>
  <c r="I158" i="44" s="1"/>
  <c r="H163" i="44" a="1"/>
  <c r="H163" i="44" s="1"/>
  <c r="I163" i="44" s="1" a="1"/>
  <c r="I163" i="44" s="1"/>
  <c r="H149" i="44" a="1"/>
  <c r="H149" i="44" s="1"/>
  <c r="I149" i="44" s="1" a="1"/>
  <c r="I149" i="44" s="1"/>
  <c r="H417" i="44" a="1"/>
  <c r="H417" i="44" s="1"/>
  <c r="I417" i="44" s="1" a="1"/>
  <c r="I417" i="44" s="1"/>
  <c r="H418" i="44" a="1"/>
  <c r="H418" i="44" s="1"/>
  <c r="I418" i="44" s="1" a="1"/>
  <c r="I418" i="44" s="1"/>
  <c r="H414" i="44" a="1"/>
  <c r="H414" i="44" s="1"/>
  <c r="I414" i="44" s="1" a="1"/>
  <c r="I414" i="44" s="1"/>
  <c r="H412" i="44" a="1"/>
  <c r="H412" i="44" s="1"/>
  <c r="I412" i="44" s="1" a="1"/>
  <c r="I412" i="44" s="1"/>
  <c r="H416" i="44" a="1"/>
  <c r="H416" i="44" s="1"/>
  <c r="I416" i="44" s="1" a="1"/>
  <c r="I416" i="44" s="1"/>
  <c r="H415" i="44" a="1"/>
  <c r="H415" i="44" s="1"/>
  <c r="I415" i="44" s="1" a="1"/>
  <c r="I415" i="44" s="1"/>
  <c r="H156" i="44" a="1"/>
  <c r="H156" i="44" s="1"/>
  <c r="I156" i="44" s="1" a="1"/>
  <c r="I156" i="44" s="1"/>
  <c r="H153" i="44" a="1"/>
  <c r="H153" i="44" s="1"/>
  <c r="I153" i="44" s="1" a="1"/>
  <c r="I153" i="44" s="1"/>
  <c r="H155" i="44" a="1"/>
  <c r="H155" i="44" s="1"/>
  <c r="I155" i="44" s="1" a="1"/>
  <c r="I155" i="44" s="1"/>
  <c r="H154" i="44" a="1"/>
  <c r="H154" i="44" s="1"/>
  <c r="I154" i="44" s="1" a="1"/>
  <c r="I154" i="44" s="1"/>
  <c r="H157" i="44" a="1"/>
  <c r="H157" i="44" s="1"/>
  <c r="I157" i="44" s="1" a="1"/>
  <c r="I157" i="44" s="1"/>
  <c r="H413" i="44" a="1"/>
  <c r="H413" i="44" s="1"/>
  <c r="I413" i="44" s="1" a="1"/>
  <c r="I413" i="44" s="1"/>
  <c r="H411" i="44" a="1"/>
  <c r="H411" i="44" s="1"/>
  <c r="I411" i="44" s="1" a="1"/>
  <c r="I411" i="44" s="1"/>
  <c r="H409" i="44" a="1"/>
  <c r="H409" i="44" s="1"/>
  <c r="I409" i="44" s="1" a="1"/>
  <c r="I409" i="44" s="1"/>
  <c r="H440" i="44" s="1" a="1"/>
  <c r="H440" i="44" s="1"/>
  <c r="H150" i="44" a="1"/>
  <c r="H150" i="44" s="1"/>
  <c r="I150" i="44" s="1" a="1"/>
  <c r="I150" i="44" s="1"/>
  <c r="H152" i="44" a="1"/>
  <c r="H152" i="44" s="1"/>
  <c r="I152" i="44" s="1" a="1"/>
  <c r="I152" i="44" s="1"/>
  <c r="H148" i="44" a="1"/>
  <c r="H148" i="44" s="1"/>
  <c r="I148" i="44" s="1" a="1"/>
  <c r="I148" i="44" s="1"/>
  <c r="P63" i="49"/>
  <c r="Q63" i="49" s="1"/>
  <c r="I55" i="84" l="1"/>
  <c r="D36" i="84" s="1"/>
  <c r="I55" i="83"/>
  <c r="D36" i="83" s="1"/>
  <c r="F81" i="84"/>
  <c r="F59" i="84" s="1"/>
  <c r="F81" i="85"/>
  <c r="F59" i="85" s="1"/>
  <c r="F81" i="83"/>
  <c r="F59" i="83" s="1"/>
  <c r="I55" i="85"/>
  <c r="D36" i="85" s="1"/>
  <c r="B75" i="48"/>
  <c r="J191" i="44" a="1"/>
  <c r="J191" i="44" s="1"/>
  <c r="G191" i="44" a="1"/>
  <c r="G191" i="44" s="1"/>
  <c r="K191" i="44" a="1"/>
  <c r="K191" i="44" s="1"/>
  <c r="I191" i="44" a="1"/>
  <c r="I191" i="44" s="1"/>
  <c r="H191" i="44" a="1"/>
  <c r="H191" i="44" s="1"/>
  <c r="K199" i="44" a="1"/>
  <c r="K199" i="44" s="1"/>
  <c r="I199" i="44" a="1"/>
  <c r="I199" i="44" s="1"/>
  <c r="J199" i="44" a="1"/>
  <c r="J199" i="44" s="1"/>
  <c r="H199" i="44" a="1"/>
  <c r="H199" i="44" s="1"/>
  <c r="G199" i="44" a="1"/>
  <c r="G199" i="44" s="1"/>
  <c r="J194" i="44" a="1"/>
  <c r="J194" i="44" s="1"/>
  <c r="K194" i="44" a="1"/>
  <c r="K194" i="44" s="1"/>
  <c r="I194" i="44" a="1"/>
  <c r="I194" i="44" s="1"/>
  <c r="H194" i="44" a="1"/>
  <c r="H194" i="44" s="1"/>
  <c r="G194" i="44" a="1"/>
  <c r="G194" i="44" s="1"/>
  <c r="H195" i="44" a="1"/>
  <c r="H195" i="44" s="1"/>
  <c r="G195" i="44" a="1"/>
  <c r="G195" i="44" s="1"/>
  <c r="K195" i="44" a="1"/>
  <c r="K195" i="44" s="1"/>
  <c r="J195" i="44" a="1"/>
  <c r="J195" i="44" s="1"/>
  <c r="I195" i="44" a="1"/>
  <c r="I195" i="44" s="1"/>
  <c r="K196" i="44" a="1"/>
  <c r="K196" i="44" s="1"/>
  <c r="J196" i="44" a="1"/>
  <c r="J196" i="44" s="1"/>
  <c r="H196" i="44" a="1"/>
  <c r="H196" i="44" s="1"/>
  <c r="I196" i="44" a="1"/>
  <c r="I196" i="44" s="1"/>
  <c r="G196" i="44" a="1"/>
  <c r="G196" i="44" s="1"/>
  <c r="H187" i="44" a="1"/>
  <c r="H187" i="44" s="1"/>
  <c r="G187" i="44" a="1"/>
  <c r="G187" i="44" s="1"/>
  <c r="K187" i="44" a="1"/>
  <c r="K187" i="44" s="1"/>
  <c r="I187" i="44" a="1"/>
  <c r="I187" i="44" s="1"/>
  <c r="J187" i="44" a="1"/>
  <c r="J187" i="44" s="1"/>
  <c r="G192" i="44" a="1"/>
  <c r="G192" i="44" s="1"/>
  <c r="J192" i="44" a="1"/>
  <c r="J192" i="44" s="1"/>
  <c r="K192" i="44" a="1"/>
  <c r="K192" i="44" s="1"/>
  <c r="I192" i="44" a="1"/>
  <c r="I192" i="44" s="1"/>
  <c r="H192" i="44" a="1"/>
  <c r="H192" i="44" s="1"/>
  <c r="K197" i="44" a="1"/>
  <c r="K197" i="44" s="1"/>
  <c r="J197" i="44" a="1"/>
  <c r="J197" i="44" s="1"/>
  <c r="I197" i="44" a="1"/>
  <c r="I197" i="44" s="1"/>
  <c r="H197" i="44" a="1"/>
  <c r="H197" i="44" s="1"/>
  <c r="G197" i="44" a="1"/>
  <c r="G197" i="44" s="1"/>
  <c r="K188" i="44" a="1"/>
  <c r="K188" i="44" s="1"/>
  <c r="I188" i="44" a="1"/>
  <c r="I188" i="44" s="1"/>
  <c r="J188" i="44" a="1"/>
  <c r="J188" i="44" s="1"/>
  <c r="H188" i="44" a="1"/>
  <c r="H188" i="44" s="1"/>
  <c r="G188" i="44" a="1"/>
  <c r="G188" i="44" s="1"/>
  <c r="I198" i="44" a="1"/>
  <c r="I198" i="44" s="1"/>
  <c r="H198" i="44" a="1"/>
  <c r="H198" i="44" s="1"/>
  <c r="G198" i="44" a="1"/>
  <c r="G198" i="44" s="1"/>
  <c r="K198" i="44" a="1"/>
  <c r="K198" i="44" s="1"/>
  <c r="J198" i="44" a="1"/>
  <c r="J198" i="44" s="1"/>
  <c r="J185" i="44" a="1"/>
  <c r="J185" i="44" s="1"/>
  <c r="G185" i="44" a="1"/>
  <c r="G185" i="44" s="1"/>
  <c r="I185" i="44" a="1"/>
  <c r="I185" i="44" s="1"/>
  <c r="H185" i="44" a="1"/>
  <c r="H185" i="44" s="1"/>
  <c r="K185" i="44" a="1"/>
  <c r="K185" i="44" s="1"/>
  <c r="K189" i="44" a="1"/>
  <c r="K189" i="44" s="1"/>
  <c r="J189" i="44" a="1"/>
  <c r="J189" i="44" s="1"/>
  <c r="I189" i="44" a="1"/>
  <c r="I189" i="44" s="1"/>
  <c r="G189" i="44" a="1"/>
  <c r="G189" i="44" s="1"/>
  <c r="H189" i="44" a="1"/>
  <c r="H189" i="44" s="1"/>
  <c r="H261" i="44" a="1"/>
  <c r="H261" i="44" s="1"/>
  <c r="G261" i="44" a="1"/>
  <c r="G261" i="44" s="1"/>
  <c r="K261" i="44" a="1"/>
  <c r="K261" i="44" s="1"/>
  <c r="J261" i="44" a="1"/>
  <c r="J261" i="44" s="1"/>
  <c r="G453" i="44" a="1"/>
  <c r="G453" i="44" s="1"/>
  <c r="K453" i="44" a="1"/>
  <c r="K453" i="44" s="1"/>
  <c r="H453" i="44" a="1"/>
  <c r="H453" i="44" s="1"/>
  <c r="I453" i="44" a="1"/>
  <c r="I453" i="44" s="1"/>
  <c r="J453" i="44" a="1"/>
  <c r="J453" i="44" s="1"/>
  <c r="I452" i="44" a="1"/>
  <c r="I452" i="44" s="1"/>
  <c r="G452" i="44" a="1"/>
  <c r="G452" i="44" s="1"/>
  <c r="K452" i="44" a="1"/>
  <c r="K452" i="44" s="1"/>
  <c r="J452" i="44" a="1"/>
  <c r="J452" i="44" s="1"/>
  <c r="H452" i="44" a="1"/>
  <c r="H452" i="44" s="1"/>
  <c r="H449" i="44" a="1"/>
  <c r="H449" i="44" s="1"/>
  <c r="I449" i="44" a="1"/>
  <c r="I449" i="44" s="1"/>
  <c r="J449" i="44" a="1"/>
  <c r="J449" i="44" s="1"/>
  <c r="K449" i="44" a="1"/>
  <c r="K449" i="44" s="1"/>
  <c r="G449" i="44" a="1"/>
  <c r="G449" i="44" s="1"/>
  <c r="G450" i="44" a="1"/>
  <c r="G450" i="44" s="1"/>
  <c r="J450" i="44" a="1"/>
  <c r="J450" i="44" s="1"/>
  <c r="K450" i="44" a="1"/>
  <c r="K450" i="44" s="1"/>
  <c r="H450" i="44" a="1"/>
  <c r="H450" i="44" s="1"/>
  <c r="I450" i="44" a="1"/>
  <c r="I450" i="44" s="1"/>
  <c r="I522" i="44" a="1"/>
  <c r="I522" i="44" s="1"/>
  <c r="G522" i="44" a="1"/>
  <c r="G522" i="44" s="1"/>
  <c r="H522" i="44" a="1"/>
  <c r="H522" i="44" s="1"/>
  <c r="J522" i="44" a="1"/>
  <c r="J522" i="44" s="1"/>
  <c r="K522" i="44" a="1"/>
  <c r="K522" i="44" s="1"/>
  <c r="K448" i="44" a="1"/>
  <c r="K448" i="44" s="1"/>
  <c r="J448" i="44" a="1"/>
  <c r="J448" i="44" s="1"/>
  <c r="H448" i="44" a="1"/>
  <c r="H448" i="44" s="1"/>
  <c r="I448" i="44" a="1"/>
  <c r="I448" i="44" s="1"/>
  <c r="G448" i="44" a="1"/>
  <c r="G448" i="44" s="1"/>
  <c r="G179" i="44" a="1"/>
  <c r="G179" i="44" s="1"/>
  <c r="I179" i="44" a="1"/>
  <c r="I179" i="44" s="1"/>
  <c r="J179" i="44" a="1"/>
  <c r="J179" i="44" s="1"/>
  <c r="K179" i="44" a="1"/>
  <c r="K179" i="44" s="1"/>
  <c r="H179" i="44" a="1"/>
  <c r="H179" i="44" s="1"/>
  <c r="K180" i="44" a="1"/>
  <c r="K180" i="44" s="1"/>
  <c r="G180" i="44" a="1"/>
  <c r="G180" i="44" s="1"/>
  <c r="J180" i="44" a="1"/>
  <c r="J180" i="44" s="1"/>
  <c r="H180" i="44" a="1"/>
  <c r="H180" i="44" s="1"/>
  <c r="I180" i="44" a="1"/>
  <c r="I180" i="44" s="1"/>
  <c r="G440" i="44" a="1"/>
  <c r="G440" i="44" s="1"/>
  <c r="I440" i="44" a="1"/>
  <c r="I440" i="44" s="1"/>
  <c r="J440" i="44" a="1"/>
  <c r="J440" i="44" s="1"/>
  <c r="K440" i="44" a="1"/>
  <c r="K440" i="44" s="1"/>
  <c r="G441" i="44" a="1"/>
  <c r="G441" i="44" s="1"/>
  <c r="H441" i="44" a="1"/>
  <c r="H441" i="44" s="1"/>
  <c r="M75" i="85" s="1"/>
  <c r="M57" i="85" s="1"/>
  <c r="I441" i="44" a="1"/>
  <c r="I441" i="44" s="1"/>
  <c r="J441" i="44" a="1"/>
  <c r="J441" i="44" s="1"/>
  <c r="K441" i="44" a="1"/>
  <c r="K441" i="44" s="1"/>
  <c r="H446" i="44" a="1"/>
  <c r="H446" i="44" s="1"/>
  <c r="I446" i="44" a="1"/>
  <c r="I446" i="44" s="1"/>
  <c r="J446" i="44" a="1"/>
  <c r="J446" i="44" s="1"/>
  <c r="K446" i="44" a="1"/>
  <c r="K446" i="44" s="1"/>
  <c r="G446" i="44" a="1"/>
  <c r="G446" i="44" s="1"/>
  <c r="D11" i="78"/>
  <c r="B3" i="44"/>
  <c r="B3" i="42"/>
  <c r="B3" i="39"/>
  <c r="B3" i="40"/>
  <c r="A2" i="4"/>
  <c r="C2" i="44"/>
  <c r="C2" i="42"/>
  <c r="C2" i="39"/>
  <c r="C2" i="40"/>
  <c r="B1" i="4"/>
  <c r="H75" i="83" l="1"/>
  <c r="H57" i="83" s="1"/>
  <c r="H75" i="85"/>
  <c r="H57" i="85" s="1"/>
  <c r="H75" i="84"/>
  <c r="H57" i="84" s="1"/>
  <c r="L75" i="85"/>
  <c r="L57" i="85" s="1"/>
  <c r="L75" i="83"/>
  <c r="L57" i="83" s="1"/>
  <c r="L75" i="84"/>
  <c r="L57" i="84" s="1"/>
  <c r="G75" i="85"/>
  <c r="G57" i="85" s="1"/>
  <c r="G75" i="84"/>
  <c r="G57" i="84" s="1"/>
  <c r="G75" i="83"/>
  <c r="G57" i="83" s="1"/>
  <c r="P81" i="84"/>
  <c r="P59" i="84" s="1"/>
  <c r="P81" i="85"/>
  <c r="P59" i="85" s="1"/>
  <c r="P81" i="83"/>
  <c r="P59" i="83" s="1"/>
  <c r="O88" i="83"/>
  <c r="O88" i="85"/>
  <c r="O88" i="84"/>
  <c r="G88" i="84"/>
  <c r="G88" i="85"/>
  <c r="G88" i="83"/>
  <c r="D40" i="83"/>
  <c r="N75" i="84"/>
  <c r="N57" i="84" s="1"/>
  <c r="N75" i="85"/>
  <c r="N57" i="85" s="1"/>
  <c r="N75" i="83"/>
  <c r="N57" i="83" s="1"/>
  <c r="F88" i="85"/>
  <c r="F88" i="83"/>
  <c r="F88" i="84"/>
  <c r="F75" i="85"/>
  <c r="F57" i="85" s="1"/>
  <c r="F75" i="84"/>
  <c r="F57" i="84" s="1"/>
  <c r="F75" i="83"/>
  <c r="F57" i="83" s="1"/>
  <c r="O81" i="85"/>
  <c r="O59" i="85" s="1"/>
  <c r="O81" i="83"/>
  <c r="O59" i="83" s="1"/>
  <c r="O81" i="84"/>
  <c r="O59" i="84" s="1"/>
  <c r="L88" i="84"/>
  <c r="L88" i="85"/>
  <c r="L88" i="83"/>
  <c r="G81" i="84"/>
  <c r="G59" i="84" s="1"/>
  <c r="G81" i="85"/>
  <c r="G59" i="85" s="1"/>
  <c r="G81" i="83"/>
  <c r="G59" i="83" s="1"/>
  <c r="H88" i="84"/>
  <c r="H88" i="85"/>
  <c r="H88" i="83"/>
  <c r="D75" i="84"/>
  <c r="D57" i="84" s="1"/>
  <c r="D75" i="85"/>
  <c r="D57" i="85" s="1"/>
  <c r="D75" i="83"/>
  <c r="D57" i="83" s="1"/>
  <c r="M81" i="85"/>
  <c r="M59" i="85" s="1"/>
  <c r="M81" i="83"/>
  <c r="M59" i="83" s="1"/>
  <c r="M81" i="84"/>
  <c r="M59" i="84" s="1"/>
  <c r="H81" i="85"/>
  <c r="H59" i="85" s="1"/>
  <c r="H81" i="84"/>
  <c r="H59" i="84" s="1"/>
  <c r="H81" i="83"/>
  <c r="H59" i="83" s="1"/>
  <c r="H79" i="84"/>
  <c r="H79" i="83"/>
  <c r="H79" i="85"/>
  <c r="M75" i="84"/>
  <c r="M57" i="84" s="1"/>
  <c r="P88" i="85"/>
  <c r="P88" i="83"/>
  <c r="P88" i="84"/>
  <c r="L79" i="84"/>
  <c r="L79" i="85"/>
  <c r="L79" i="83"/>
  <c r="L81" i="85"/>
  <c r="L59" i="85" s="1"/>
  <c r="L81" i="84"/>
  <c r="L59" i="84" s="1"/>
  <c r="L81" i="83"/>
  <c r="L59" i="83" s="1"/>
  <c r="D81" i="85"/>
  <c r="D59" i="85" s="1"/>
  <c r="D81" i="83"/>
  <c r="D59" i="83" s="1"/>
  <c r="D81" i="84"/>
  <c r="D59" i="84" s="1"/>
  <c r="E79" i="85"/>
  <c r="E79" i="83"/>
  <c r="E79" i="84"/>
  <c r="M75" i="83"/>
  <c r="M57" i="83" s="1"/>
  <c r="D40" i="84"/>
  <c r="M79" i="85"/>
  <c r="M79" i="84"/>
  <c r="M79" i="83"/>
  <c r="P79" i="85"/>
  <c r="P79" i="83"/>
  <c r="P79" i="84"/>
  <c r="N81" i="85"/>
  <c r="N59" i="85" s="1"/>
  <c r="N81" i="83"/>
  <c r="N59" i="83" s="1"/>
  <c r="N81" i="84"/>
  <c r="N59" i="84" s="1"/>
  <c r="E81" i="84"/>
  <c r="E59" i="84" s="1"/>
  <c r="E81" i="85"/>
  <c r="E59" i="85" s="1"/>
  <c r="E81" i="83"/>
  <c r="E59" i="83" s="1"/>
  <c r="F79" i="85"/>
  <c r="F79" i="83"/>
  <c r="F79" i="84"/>
  <c r="D40" i="85"/>
  <c r="O79" i="85"/>
  <c r="O79" i="83"/>
  <c r="O60" i="83" s="1"/>
  <c r="O79" i="84"/>
  <c r="P75" i="84"/>
  <c r="P57" i="84" s="1"/>
  <c r="P75" i="85"/>
  <c r="P57" i="85" s="1"/>
  <c r="P75" i="83"/>
  <c r="P57" i="83" s="1"/>
  <c r="N88" i="85"/>
  <c r="N88" i="84"/>
  <c r="N88" i="83"/>
  <c r="E88" i="85"/>
  <c r="E88" i="83"/>
  <c r="E88" i="84"/>
  <c r="D79" i="85"/>
  <c r="D79" i="83"/>
  <c r="D79" i="84"/>
  <c r="N79" i="85"/>
  <c r="N60" i="85" s="1"/>
  <c r="N79" i="84"/>
  <c r="N79" i="83"/>
  <c r="O75" i="84"/>
  <c r="O57" i="84" s="1"/>
  <c r="O75" i="83"/>
  <c r="O57" i="83" s="1"/>
  <c r="O75" i="85"/>
  <c r="O57" i="85" s="1"/>
  <c r="E75" i="84"/>
  <c r="E57" i="84" s="1"/>
  <c r="E75" i="85"/>
  <c r="E57" i="85" s="1"/>
  <c r="E75" i="83"/>
  <c r="E57" i="83" s="1"/>
  <c r="M88" i="85"/>
  <c r="M88" i="84"/>
  <c r="M88" i="83"/>
  <c r="D88" i="85"/>
  <c r="D88" i="83"/>
  <c r="D88" i="84"/>
  <c r="G79" i="84"/>
  <c r="G79" i="85"/>
  <c r="G60" i="85" s="1"/>
  <c r="G79" i="83"/>
  <c r="B5" i="39"/>
  <c r="B21" i="39" s="1"/>
  <c r="B5" i="42"/>
  <c r="B137" i="42" s="1"/>
  <c r="B5" i="40"/>
  <c r="B39" i="40" s="1"/>
  <c r="B7" i="44"/>
  <c r="B142" i="44" s="1"/>
  <c r="B176" i="44" s="1"/>
  <c r="G271" i="44"/>
  <c r="J12" i="44"/>
  <c r="H12" i="44"/>
  <c r="G12" i="44"/>
  <c r="I12" i="44"/>
  <c r="K12" i="44"/>
  <c r="I273" i="44"/>
  <c r="G272" i="44"/>
  <c r="I271" i="44"/>
  <c r="J273" i="44"/>
  <c r="J271" i="44"/>
  <c r="G313" i="44"/>
  <c r="H273" i="44"/>
  <c r="K271" i="44"/>
  <c r="H313" i="44"/>
  <c r="G273" i="44"/>
  <c r="I313" i="44"/>
  <c r="I272" i="44"/>
  <c r="J313" i="44"/>
  <c r="J272" i="44"/>
  <c r="K313" i="44"/>
  <c r="K272" i="44"/>
  <c r="H271" i="44"/>
  <c r="K273" i="44"/>
  <c r="H272" i="44"/>
  <c r="F60" i="84" l="1"/>
  <c r="L60" i="85"/>
  <c r="F60" i="85"/>
  <c r="O60" i="84"/>
  <c r="G60" i="84"/>
  <c r="F60" i="83"/>
  <c r="P60" i="85"/>
  <c r="P61" i="85" s="1"/>
  <c r="P62" i="85" s="1"/>
  <c r="P64" i="85" s="1"/>
  <c r="L60" i="84"/>
  <c r="L61" i="84" s="1"/>
  <c r="G60" i="83"/>
  <c r="P60" i="84"/>
  <c r="P61" i="84" s="1"/>
  <c r="P62" i="84" s="1"/>
  <c r="P60" i="83"/>
  <c r="H60" i="83"/>
  <c r="H60" i="84"/>
  <c r="N60" i="83"/>
  <c r="N61" i="83" s="1"/>
  <c r="N62" i="83" s="1"/>
  <c r="N60" i="84"/>
  <c r="N61" i="84" s="1"/>
  <c r="N62" i="84" s="1"/>
  <c r="Q59" i="84"/>
  <c r="G35" i="84" s="1"/>
  <c r="D60" i="83"/>
  <c r="E60" i="84"/>
  <c r="Q59" i="85"/>
  <c r="G35" i="85" s="1"/>
  <c r="H60" i="85"/>
  <c r="L60" i="83"/>
  <c r="L61" i="83" s="1"/>
  <c r="L62" i="83" s="1"/>
  <c r="L64" i="83" s="1"/>
  <c r="Q57" i="84"/>
  <c r="F35" i="84" s="1"/>
  <c r="M60" i="83"/>
  <c r="E60" i="83"/>
  <c r="I57" i="83"/>
  <c r="F36" i="83" s="1"/>
  <c r="Q57" i="83"/>
  <c r="F35" i="83" s="1"/>
  <c r="O60" i="85"/>
  <c r="O61" i="85" s="1"/>
  <c r="O62" i="85" s="1"/>
  <c r="M60" i="84"/>
  <c r="M61" i="84" s="1"/>
  <c r="M62" i="84" s="1"/>
  <c r="E60" i="85"/>
  <c r="I57" i="85"/>
  <c r="F36" i="85" s="1"/>
  <c r="Q57" i="85"/>
  <c r="F35" i="85" s="1"/>
  <c r="L61" i="85"/>
  <c r="L62" i="85" s="1"/>
  <c r="O61" i="84"/>
  <c r="O62" i="84" s="1"/>
  <c r="M60" i="85"/>
  <c r="I59" i="84"/>
  <c r="I57" i="84"/>
  <c r="F36" i="84" s="1"/>
  <c r="D60" i="84"/>
  <c r="I59" i="83"/>
  <c r="P61" i="83"/>
  <c r="I59" i="85"/>
  <c r="D60" i="85"/>
  <c r="Q59" i="83"/>
  <c r="G35" i="83" s="1"/>
  <c r="O61" i="83"/>
  <c r="O62" i="83" s="1"/>
  <c r="N61" i="85"/>
  <c r="B181" i="42"/>
  <c r="B106" i="40"/>
  <c r="B182" i="44"/>
  <c r="M109" i="65"/>
  <c r="L106" i="65"/>
  <c r="L108" i="65"/>
  <c r="L123" i="65" s="1"/>
  <c r="M107" i="65"/>
  <c r="L107" i="65"/>
  <c r="L105" i="65"/>
  <c r="L120" i="65" s="1"/>
  <c r="I107" i="65"/>
  <c r="I115" i="65" s="1"/>
  <c r="I108" i="65"/>
  <c r="I116" i="65" s="1"/>
  <c r="I106" i="65"/>
  <c r="I114" i="65" s="1"/>
  <c r="I109" i="65"/>
  <c r="I117" i="65" s="1"/>
  <c r="D10" i="77"/>
  <c r="D11" i="77"/>
  <c r="I105" i="65"/>
  <c r="I113" i="65" s="1"/>
  <c r="H316" i="44"/>
  <c r="H323" i="44" s="1"/>
  <c r="H317" i="44"/>
  <c r="H375" i="44" s="1"/>
  <c r="G316" i="44"/>
  <c r="G359" i="44" s="1"/>
  <c r="G360" i="44" s="1" a="1"/>
  <c r="G360" i="44" s="1"/>
  <c r="G317" i="44"/>
  <c r="G382" i="44" s="1"/>
  <c r="I287" i="44"/>
  <c r="I288" i="44" s="1" a="1"/>
  <c r="I288" i="44" s="1"/>
  <c r="I304" i="44"/>
  <c r="I305" i="44" s="1" a="1"/>
  <c r="I305" i="44" s="1"/>
  <c r="I296" i="44"/>
  <c r="I297" i="44" s="1" a="1"/>
  <c r="I297" i="44" s="1"/>
  <c r="I279" i="44"/>
  <c r="I280" i="44" s="1" a="1"/>
  <c r="I280" i="44" s="1"/>
  <c r="G304" i="44"/>
  <c r="G305" i="44" s="1" a="1"/>
  <c r="G305" i="44" s="1"/>
  <c r="G279" i="44"/>
  <c r="G280" i="44" s="1" a="1"/>
  <c r="G280" i="44" s="1"/>
  <c r="G296" i="44"/>
  <c r="G297" i="44" s="1" a="1"/>
  <c r="G297" i="44" s="1"/>
  <c r="G287" i="44"/>
  <c r="G288" i="44" s="1" a="1"/>
  <c r="G288" i="44" s="1"/>
  <c r="H287" i="44"/>
  <c r="H288" i="44" s="1" a="1"/>
  <c r="H288" i="44" s="1"/>
  <c r="H304" i="44"/>
  <c r="H305" i="44" s="1" a="1"/>
  <c r="H305" i="44" s="1"/>
  <c r="H296" i="44"/>
  <c r="H297" i="44" s="1" a="1"/>
  <c r="H297" i="44" s="1"/>
  <c r="H279" i="44"/>
  <c r="H280" i="44" s="1" a="1"/>
  <c r="H280" i="44" s="1"/>
  <c r="K287" i="44"/>
  <c r="K288" i="44" s="1" a="1"/>
  <c r="K288" i="44" s="1"/>
  <c r="K304" i="44"/>
  <c r="K305" i="44" s="1" a="1"/>
  <c r="K305" i="44" s="1"/>
  <c r="K296" i="44"/>
  <c r="K297" i="44" s="1" a="1"/>
  <c r="K297" i="44" s="1"/>
  <c r="K279" i="44"/>
  <c r="K280" i="44" s="1" a="1"/>
  <c r="K280" i="44" s="1"/>
  <c r="J317" i="44"/>
  <c r="J390" i="44" s="1"/>
  <c r="J391" i="44" s="1" a="1"/>
  <c r="J391" i="44" s="1"/>
  <c r="J316" i="44"/>
  <c r="J345" i="44" s="1"/>
  <c r="J346" i="44" s="1" a="1"/>
  <c r="J346" i="44" s="1"/>
  <c r="I317" i="44"/>
  <c r="I382" i="44" s="1"/>
  <c r="I383" i="44" s="1" a="1"/>
  <c r="I383" i="44" s="1"/>
  <c r="I316" i="44"/>
  <c r="I323" i="44" s="1"/>
  <c r="J304" i="44"/>
  <c r="J305" i="44" s="1" a="1"/>
  <c r="J305" i="44" s="1"/>
  <c r="J279" i="44"/>
  <c r="J280" i="44" s="1" a="1"/>
  <c r="J280" i="44" s="1"/>
  <c r="J287" i="44"/>
  <c r="J288" i="44" s="1" a="1"/>
  <c r="J288" i="44" s="1"/>
  <c r="J296" i="44"/>
  <c r="J297" i="44" s="1" a="1"/>
  <c r="J297" i="44" s="1"/>
  <c r="K316" i="44"/>
  <c r="K352" i="44" s="1"/>
  <c r="K353" i="44" s="1" a="1"/>
  <c r="K353" i="44" s="1"/>
  <c r="K317" i="44"/>
  <c r="K375" i="44" s="1"/>
  <c r="F110" i="65"/>
  <c r="F125" i="65" s="1"/>
  <c r="F10" i="78"/>
  <c r="Q60" i="84" l="1"/>
  <c r="H35" i="84" s="1"/>
  <c r="I60" i="83"/>
  <c r="H36" i="83" s="1"/>
  <c r="M61" i="85"/>
  <c r="M62" i="85" s="1"/>
  <c r="I60" i="84"/>
  <c r="H36" i="84" s="1"/>
  <c r="Q60" i="85"/>
  <c r="H35" i="85" s="1"/>
  <c r="Q60" i="83"/>
  <c r="H35" i="83" s="1"/>
  <c r="H40" i="83" s="1"/>
  <c r="O64" i="85"/>
  <c r="M64" i="84"/>
  <c r="O64" i="83"/>
  <c r="L62" i="84"/>
  <c r="Q62" i="84" s="1"/>
  <c r="J35" i="84" s="1"/>
  <c r="Q61" i="84"/>
  <c r="I35" i="84" s="1"/>
  <c r="F40" i="84"/>
  <c r="N62" i="85"/>
  <c r="N64" i="85" s="1"/>
  <c r="M61" i="83"/>
  <c r="M62" i="83" s="1"/>
  <c r="I60" i="85"/>
  <c r="H36" i="85" s="1"/>
  <c r="P62" i="83"/>
  <c r="P64" i="83" s="1"/>
  <c r="O64" i="84"/>
  <c r="N64" i="83"/>
  <c r="N64" i="84"/>
  <c r="P64" i="84"/>
  <c r="L64" i="85"/>
  <c r="F40" i="85"/>
  <c r="F40" i="83"/>
  <c r="B201" i="44"/>
  <c r="L121" i="65"/>
  <c r="L114" i="65"/>
  <c r="L109" i="65"/>
  <c r="L116" i="65"/>
  <c r="M108" i="65"/>
  <c r="L115" i="65"/>
  <c r="L122" i="65"/>
  <c r="M106" i="65"/>
  <c r="M114" i="65" s="1"/>
  <c r="L113" i="65"/>
  <c r="M105" i="65"/>
  <c r="F10" i="77"/>
  <c r="G10" i="78"/>
  <c r="H337" i="44"/>
  <c r="H338" i="44" s="1" a="1"/>
  <c r="H338" i="44" s="1"/>
  <c r="K289" i="44"/>
  <c r="K290" i="44" s="1"/>
  <c r="K291" i="44" s="1"/>
  <c r="K292" i="44" s="1" a="1"/>
  <c r="K292" i="44" s="1"/>
  <c r="K281" i="44"/>
  <c r="K282" i="44" s="1"/>
  <c r="K283" i="44" s="1"/>
  <c r="K284" i="44" s="1" a="1"/>
  <c r="K284" i="44" s="1"/>
  <c r="I289" i="44"/>
  <c r="I290" i="44" s="1"/>
  <c r="I291" i="44" s="1"/>
  <c r="I292" i="44" s="1" a="1"/>
  <c r="I292" i="44" s="1"/>
  <c r="K298" i="44"/>
  <c r="K299" i="44" s="1"/>
  <c r="K300" i="44" s="1"/>
  <c r="K301" i="44" s="1" a="1"/>
  <c r="K301" i="44" s="1"/>
  <c r="G298" i="44"/>
  <c r="G299" i="44" s="1"/>
  <c r="I281" i="44"/>
  <c r="I282" i="44" s="1"/>
  <c r="I283" i="44" s="1"/>
  <c r="I284" i="44" s="1" a="1"/>
  <c r="I284" i="44" s="1"/>
  <c r="H281" i="44"/>
  <c r="H282" i="44" s="1"/>
  <c r="H283" i="44" s="1"/>
  <c r="H284" i="44" s="1" a="1"/>
  <c r="H284" i="44" s="1"/>
  <c r="J289" i="44"/>
  <c r="J290" i="44" s="1"/>
  <c r="J291" i="44" s="1"/>
  <c r="J292" i="44" s="1" a="1"/>
  <c r="J292" i="44" s="1"/>
  <c r="J298" i="44"/>
  <c r="J299" i="44" s="1"/>
  <c r="G289" i="44"/>
  <c r="G290" i="44" s="1"/>
  <c r="G291" i="44" s="1"/>
  <c r="G292" i="44" s="1" a="1"/>
  <c r="G292" i="44" s="1"/>
  <c r="H306" i="44"/>
  <c r="H307" i="44" s="1"/>
  <c r="H308" i="44" s="1"/>
  <c r="H309" i="44" s="1" a="1"/>
  <c r="H309" i="44" s="1"/>
  <c r="H298" i="44"/>
  <c r="H299" i="44" s="1"/>
  <c r="K368" i="44"/>
  <c r="K397" i="44"/>
  <c r="K398" i="44" s="1" a="1"/>
  <c r="K398" i="44" s="1"/>
  <c r="H397" i="44"/>
  <c r="H398" i="44" s="1" a="1"/>
  <c r="H398" i="44" s="1"/>
  <c r="K382" i="44"/>
  <c r="K383" i="44" s="1" a="1"/>
  <c r="K383" i="44" s="1"/>
  <c r="H390" i="44"/>
  <c r="H391" i="44" s="1" a="1"/>
  <c r="H391" i="44" s="1"/>
  <c r="K390" i="44"/>
  <c r="K391" i="44" s="1" a="1"/>
  <c r="K391" i="44" s="1"/>
  <c r="G397" i="44"/>
  <c r="G398" i="44" s="1" a="1"/>
  <c r="G398" i="44" s="1"/>
  <c r="I359" i="44"/>
  <c r="I360" i="44" s="1" a="1"/>
  <c r="I360" i="44" s="1"/>
  <c r="H345" i="44"/>
  <c r="H346" i="44" s="1" a="1"/>
  <c r="H346" i="44" s="1"/>
  <c r="K345" i="44"/>
  <c r="K346" i="44" s="1" a="1"/>
  <c r="K346" i="44" s="1"/>
  <c r="I337" i="44"/>
  <c r="G390" i="44"/>
  <c r="G391" i="44" s="1" a="1"/>
  <c r="G391" i="44" s="1"/>
  <c r="H352" i="44"/>
  <c r="H353" i="44" s="1" a="1"/>
  <c r="H353" i="44" s="1"/>
  <c r="I330" i="44"/>
  <c r="G375" i="44"/>
  <c r="G376" i="44" s="1" a="1"/>
  <c r="G376" i="44" s="1"/>
  <c r="G368" i="44"/>
  <c r="G369" i="44" s="1" a="1"/>
  <c r="G369" i="44" s="1"/>
  <c r="H368" i="44"/>
  <c r="K337" i="44"/>
  <c r="K338" i="44" s="1" a="1"/>
  <c r="K338" i="44" s="1"/>
  <c r="J330" i="44"/>
  <c r="H382" i="44"/>
  <c r="H383" i="44" s="1" a="1"/>
  <c r="H383" i="44" s="1"/>
  <c r="J306" i="44"/>
  <c r="J307" i="44" s="1"/>
  <c r="J308" i="44" s="1"/>
  <c r="J309" i="44" s="1" a="1"/>
  <c r="J309" i="44" s="1"/>
  <c r="K323" i="44"/>
  <c r="J323" i="44"/>
  <c r="I345" i="44"/>
  <c r="I346" i="44" s="1" a="1"/>
  <c r="I346" i="44" s="1"/>
  <c r="J397" i="44"/>
  <c r="J398" i="44" s="1" a="1"/>
  <c r="J398" i="44" s="1"/>
  <c r="I375" i="44"/>
  <c r="J337" i="44"/>
  <c r="J338" i="44" s="1" a="1"/>
  <c r="J338" i="44" s="1"/>
  <c r="I352" i="44"/>
  <c r="I353" i="44" s="1" a="1"/>
  <c r="I353" i="44" s="1"/>
  <c r="J352" i="44"/>
  <c r="J353" i="44" s="1" a="1"/>
  <c r="J353" i="44" s="1"/>
  <c r="G330" i="44"/>
  <c r="G331" i="44" s="1" a="1"/>
  <c r="G331" i="44" s="1"/>
  <c r="J359" i="44"/>
  <c r="J360" i="44" s="1" a="1"/>
  <c r="J360" i="44" s="1"/>
  <c r="G323" i="44"/>
  <c r="G324" i="44" s="1" a="1"/>
  <c r="G324" i="44" s="1"/>
  <c r="H330" i="44"/>
  <c r="J382" i="44"/>
  <c r="J383" i="44" s="1" a="1"/>
  <c r="J383" i="44" s="1"/>
  <c r="K359" i="44"/>
  <c r="K360" i="44" s="1" a="1"/>
  <c r="K360" i="44" s="1"/>
  <c r="G345" i="44"/>
  <c r="G346" i="44" s="1" a="1"/>
  <c r="G346" i="44" s="1"/>
  <c r="G337" i="44"/>
  <c r="K330" i="44"/>
  <c r="I397" i="44"/>
  <c r="I398" i="44" s="1" a="1"/>
  <c r="I398" i="44" s="1"/>
  <c r="J368" i="44"/>
  <c r="G352" i="44"/>
  <c r="I368" i="44"/>
  <c r="I390" i="44"/>
  <c r="I391" i="44" s="1" a="1"/>
  <c r="I391" i="44" s="1"/>
  <c r="J375" i="44"/>
  <c r="H359" i="44"/>
  <c r="H360" i="44" s="1" a="1"/>
  <c r="H360" i="44" s="1"/>
  <c r="J110" i="65"/>
  <c r="J125" i="65" s="1"/>
  <c r="I110" i="65"/>
  <c r="I125" i="65" s="1"/>
  <c r="I122" i="65"/>
  <c r="I123" i="65"/>
  <c r="I124" i="65"/>
  <c r="I121" i="65"/>
  <c r="F118" i="65"/>
  <c r="I120" i="65"/>
  <c r="N105" i="65"/>
  <c r="K354" i="44"/>
  <c r="H289" i="44"/>
  <c r="K306" i="44"/>
  <c r="K307" i="44" s="1"/>
  <c r="K308" i="44" s="1"/>
  <c r="K309" i="44" s="1" a="1"/>
  <c r="K309" i="44" s="1"/>
  <c r="G281" i="44"/>
  <c r="I298" i="44"/>
  <c r="I306" i="44"/>
  <c r="G306" i="44"/>
  <c r="G307" i="44" s="1"/>
  <c r="G308" i="44" s="1"/>
  <c r="G309" i="44" s="1" a="1"/>
  <c r="G309" i="44" s="1"/>
  <c r="J281" i="44"/>
  <c r="I10" i="78"/>
  <c r="G361" i="44"/>
  <c r="G362" i="44" s="1"/>
  <c r="G363" i="44" s="1" a="1"/>
  <c r="G363" i="44" s="1"/>
  <c r="J347" i="44"/>
  <c r="J348" i="44" s="1"/>
  <c r="J349" i="44" s="1" a="1"/>
  <c r="J349" i="44" s="1"/>
  <c r="H10" i="78"/>
  <c r="Q61" i="85" l="1"/>
  <c r="I35" i="85" s="1"/>
  <c r="H40" i="84"/>
  <c r="Q61" i="83"/>
  <c r="I35" i="83" s="1"/>
  <c r="M64" i="85"/>
  <c r="Q64" i="85" s="1"/>
  <c r="L64" i="84"/>
  <c r="Q64" i="84" s="1"/>
  <c r="M64" i="83"/>
  <c r="Q64" i="83" s="1"/>
  <c r="Q62" i="83"/>
  <c r="J35" i="83" s="1"/>
  <c r="H40" i="85"/>
  <c r="Q62" i="85"/>
  <c r="J35" i="85" s="1"/>
  <c r="L110" i="65"/>
  <c r="L125" i="65" s="1"/>
  <c r="B225" i="44"/>
  <c r="B239" i="44" s="1"/>
  <c r="J300" i="44"/>
  <c r="J301" i="44" s="1" a="1"/>
  <c r="J301" i="44" s="1"/>
  <c r="G300" i="44"/>
  <c r="G301" i="44" s="1" a="1"/>
  <c r="G301" i="44" s="1"/>
  <c r="H300" i="44"/>
  <c r="H301" i="44" s="1" a="1"/>
  <c r="H301" i="44" s="1"/>
  <c r="L124" i="65"/>
  <c r="L117" i="65"/>
  <c r="N108" i="65"/>
  <c r="N107" i="65"/>
  <c r="N115" i="65" s="1"/>
  <c r="N106" i="65"/>
  <c r="N109" i="65"/>
  <c r="H10" i="77"/>
  <c r="G10" i="77"/>
  <c r="K97" i="51"/>
  <c r="K93" i="51"/>
  <c r="G97" i="51"/>
  <c r="U93" i="51"/>
  <c r="I93" i="51"/>
  <c r="G325" i="44"/>
  <c r="G326" i="44" s="1"/>
  <c r="G327" i="44" s="1" a="1"/>
  <c r="G327" i="44" s="1"/>
  <c r="H347" i="44"/>
  <c r="H348" i="44" s="1"/>
  <c r="H349" i="44" s="1" a="1"/>
  <c r="H349" i="44" s="1"/>
  <c r="K399" i="44"/>
  <c r="K400" i="44" s="1"/>
  <c r="K401" i="44" s="1" a="1"/>
  <c r="K401" i="44" s="1"/>
  <c r="I347" i="44"/>
  <c r="I348" i="44" s="1"/>
  <c r="I349" i="44" s="1" a="1"/>
  <c r="I349" i="44" s="1"/>
  <c r="I97" i="51"/>
  <c r="J384" i="44"/>
  <c r="J385" i="44" s="1"/>
  <c r="J386" i="44" s="1" a="1"/>
  <c r="J386" i="44" s="1"/>
  <c r="J97" i="51"/>
  <c r="K347" i="44"/>
  <c r="K348" i="44" s="1"/>
  <c r="K349" i="44" s="1" a="1"/>
  <c r="K349" i="44" s="1"/>
  <c r="H93" i="51"/>
  <c r="K339" i="44"/>
  <c r="K340" i="44" s="1"/>
  <c r="K341" i="44" s="1" a="1"/>
  <c r="K341" i="44" s="1"/>
  <c r="T97" i="51"/>
  <c r="J354" i="44"/>
  <c r="J355" i="44" s="1"/>
  <c r="J356" i="44" s="1" a="1"/>
  <c r="J356" i="44" s="1"/>
  <c r="K392" i="44"/>
  <c r="K393" i="44" s="1"/>
  <c r="K394" i="44" s="1" a="1"/>
  <c r="K394" i="44" s="1"/>
  <c r="G332" i="44"/>
  <c r="G333" i="44" s="1"/>
  <c r="G334" i="44" s="1" a="1"/>
  <c r="G334" i="44" s="1"/>
  <c r="I361" i="44"/>
  <c r="I362" i="44" s="1"/>
  <c r="I363" i="44" s="1" a="1"/>
  <c r="I363" i="44" s="1"/>
  <c r="J361" i="44"/>
  <c r="J362" i="44" s="1"/>
  <c r="J363" i="44" s="1" a="1"/>
  <c r="J363" i="44" s="1"/>
  <c r="G399" i="44"/>
  <c r="G400" i="44" s="1"/>
  <c r="G401" i="44" s="1" a="1"/>
  <c r="G401" i="44" s="1"/>
  <c r="H354" i="44"/>
  <c r="H355" i="44" s="1"/>
  <c r="H356" i="44" s="1" a="1"/>
  <c r="H356" i="44" s="1"/>
  <c r="R97" i="51"/>
  <c r="I392" i="44"/>
  <c r="I393" i="44" s="1"/>
  <c r="I394" i="44" s="1" a="1"/>
  <c r="I394" i="44" s="1"/>
  <c r="G392" i="44"/>
  <c r="G393" i="44" s="1"/>
  <c r="G394" i="44" s="1" a="1"/>
  <c r="G394" i="44" s="1"/>
  <c r="J339" i="44"/>
  <c r="J340" i="44" s="1"/>
  <c r="J341" i="44" s="1" a="1"/>
  <c r="J341" i="44" s="1"/>
  <c r="K361" i="44"/>
  <c r="K362" i="44" s="1"/>
  <c r="K363" i="44" s="1" a="1"/>
  <c r="K363" i="44" s="1"/>
  <c r="I354" i="44"/>
  <c r="I355" i="44" s="1"/>
  <c r="I356" i="44" s="1" a="1"/>
  <c r="I356" i="44" s="1"/>
  <c r="G347" i="44"/>
  <c r="G348" i="44" s="1"/>
  <c r="G349" i="44" s="1" a="1"/>
  <c r="G349" i="44" s="1"/>
  <c r="H384" i="44"/>
  <c r="H385" i="44" s="1"/>
  <c r="H386" i="44" s="1" a="1"/>
  <c r="H386" i="44" s="1"/>
  <c r="I338" i="44" a="1"/>
  <c r="I338" i="44" s="1"/>
  <c r="I339" i="44" s="1"/>
  <c r="I340" i="44" s="1"/>
  <c r="I341" i="44" s="1" a="1"/>
  <c r="I341" i="44" s="1"/>
  <c r="G353" i="44" a="1"/>
  <c r="G353" i="44" s="1"/>
  <c r="G354" i="44" s="1"/>
  <c r="G355" i="44" s="1"/>
  <c r="G356" i="44" s="1" a="1"/>
  <c r="G356" i="44" s="1"/>
  <c r="M110" i="65"/>
  <c r="M125" i="65" s="1"/>
  <c r="O107" i="65"/>
  <c r="U97" i="51"/>
  <c r="Q97" i="51"/>
  <c r="J118" i="65"/>
  <c r="I118" i="65"/>
  <c r="M121" i="65"/>
  <c r="M113" i="65"/>
  <c r="M120" i="65"/>
  <c r="M117" i="65"/>
  <c r="M124" i="65"/>
  <c r="M115" i="65"/>
  <c r="M122" i="65"/>
  <c r="M116" i="65"/>
  <c r="M123" i="65"/>
  <c r="O109" i="65"/>
  <c r="O108" i="65"/>
  <c r="G100" i="51"/>
  <c r="K355" i="44"/>
  <c r="K356" i="44" s="1" a="1"/>
  <c r="K356" i="44" s="1"/>
  <c r="H361" i="44"/>
  <c r="H362" i="44" s="1"/>
  <c r="H363" i="44" s="1" a="1"/>
  <c r="H363" i="44" s="1"/>
  <c r="G377" i="44"/>
  <c r="H339" i="44"/>
  <c r="J98" i="51"/>
  <c r="J392" i="44"/>
  <c r="J393" i="44" s="1"/>
  <c r="J394" i="44" s="1" a="1"/>
  <c r="J394" i="44" s="1"/>
  <c r="K384" i="44"/>
  <c r="H392" i="44"/>
  <c r="I399" i="44"/>
  <c r="G370" i="44"/>
  <c r="G371" i="44" s="1"/>
  <c r="G372" i="44" s="1" a="1"/>
  <c r="G372" i="44" s="1"/>
  <c r="I384" i="44"/>
  <c r="J399" i="44"/>
  <c r="H399" i="44"/>
  <c r="H400" i="44" s="1"/>
  <c r="H401" i="44" s="1" a="1"/>
  <c r="H401" i="44" s="1"/>
  <c r="H290" i="44"/>
  <c r="H291" i="44" s="1"/>
  <c r="H292" i="44" s="1" a="1"/>
  <c r="H292" i="44" s="1"/>
  <c r="J282" i="44"/>
  <c r="J283" i="44" s="1"/>
  <c r="J284" i="44" s="1" a="1"/>
  <c r="J284" i="44" s="1"/>
  <c r="I299" i="44"/>
  <c r="I307" i="44"/>
  <c r="I308" i="44" s="1"/>
  <c r="I309" i="44" s="1" a="1"/>
  <c r="I309" i="44" s="1"/>
  <c r="G282" i="44"/>
  <c r="G283" i="44" s="1"/>
  <c r="G284" i="44" s="1" a="1"/>
  <c r="G284" i="44" s="1"/>
  <c r="O106" i="65"/>
  <c r="J10" i="78"/>
  <c r="L118" i="65" l="1"/>
  <c r="B268" i="44"/>
  <c r="B403" i="44" s="1"/>
  <c r="B437" i="44" s="1"/>
  <c r="B443" i="44" s="1"/>
  <c r="B462" i="44" s="1"/>
  <c r="B486" i="44" s="1"/>
  <c r="B500" i="44" s="1"/>
  <c r="R93" i="51"/>
  <c r="T93" i="51"/>
  <c r="Q93" i="51"/>
  <c r="I300" i="44"/>
  <c r="I301" i="44" s="1" a="1"/>
  <c r="I301" i="44" s="1"/>
  <c r="I128" i="51" a="1"/>
  <c r="I128" i="51" s="1"/>
  <c r="H82" i="51" a="1"/>
  <c r="H82" i="51" s="1"/>
  <c r="I10" i="77"/>
  <c r="U128" i="51" a="1"/>
  <c r="U128" i="51" s="1"/>
  <c r="O105" i="65"/>
  <c r="G94" i="51"/>
  <c r="K82" i="51" a="1"/>
  <c r="K82" i="51" s="1"/>
  <c r="K132" i="51" a="1"/>
  <c r="K132" i="51" s="1"/>
  <c r="G86" i="51" a="1"/>
  <c r="G86" i="51" s="1"/>
  <c r="K128" i="51" a="1"/>
  <c r="K128" i="51" s="1"/>
  <c r="K86" i="51" a="1"/>
  <c r="K86" i="51" s="1"/>
  <c r="U99" i="51"/>
  <c r="K96" i="51"/>
  <c r="P66" i="83" s="1"/>
  <c r="P68" i="83" s="1"/>
  <c r="G132" i="51" a="1"/>
  <c r="G132" i="51" s="1"/>
  <c r="H98" i="51"/>
  <c r="K98" i="51"/>
  <c r="U82" i="51" a="1"/>
  <c r="U82" i="51" s="1"/>
  <c r="I82" i="51" a="1"/>
  <c r="I82" i="51" s="1"/>
  <c r="T96" i="51"/>
  <c r="I86" i="51" a="1"/>
  <c r="I86" i="51" s="1"/>
  <c r="I132" i="51" a="1"/>
  <c r="I132" i="51" s="1"/>
  <c r="I98" i="51"/>
  <c r="T132" i="51" a="1"/>
  <c r="T132" i="51" s="1"/>
  <c r="H128" i="51" a="1"/>
  <c r="H128" i="51" s="1"/>
  <c r="J96" i="51"/>
  <c r="J86" i="51" a="1"/>
  <c r="J86" i="51" s="1"/>
  <c r="K100" i="51"/>
  <c r="J132" i="51" a="1"/>
  <c r="J132" i="51" s="1"/>
  <c r="G95" i="51"/>
  <c r="T86" i="51" a="1"/>
  <c r="T86" i="51" s="1"/>
  <c r="R132" i="51" a="1"/>
  <c r="R132" i="51" s="1"/>
  <c r="I100" i="51"/>
  <c r="R86" i="51" a="1"/>
  <c r="R86" i="51" s="1"/>
  <c r="J99" i="51"/>
  <c r="Q98" i="51"/>
  <c r="R96" i="51"/>
  <c r="G98" i="51"/>
  <c r="J100" i="51"/>
  <c r="H99" i="51"/>
  <c r="S98" i="51"/>
  <c r="I99" i="51"/>
  <c r="I96" i="51"/>
  <c r="N66" i="83" s="1"/>
  <c r="N68" i="83" s="1"/>
  <c r="G89" i="51" a="1"/>
  <c r="G89" i="51" s="1"/>
  <c r="G99" i="51"/>
  <c r="U132" i="51" a="1"/>
  <c r="U132" i="51" s="1"/>
  <c r="U86" i="51" a="1"/>
  <c r="U86" i="51" s="1"/>
  <c r="N110" i="65"/>
  <c r="N125" i="65" s="1"/>
  <c r="J133" i="51" a="1"/>
  <c r="J133" i="51" s="1"/>
  <c r="J87" i="51" a="1"/>
  <c r="J87" i="51" s="1"/>
  <c r="Q132" i="51" a="1"/>
  <c r="Q132" i="51" s="1"/>
  <c r="Q86" i="51" a="1"/>
  <c r="Q86" i="51" s="1"/>
  <c r="G135" i="51" a="1"/>
  <c r="G135" i="51" s="1"/>
  <c r="O115" i="65"/>
  <c r="S97" i="51"/>
  <c r="N122" i="65"/>
  <c r="O114" i="65"/>
  <c r="N116" i="65"/>
  <c r="N123" i="65"/>
  <c r="N113" i="65"/>
  <c r="N120" i="65"/>
  <c r="N117" i="65"/>
  <c r="N124" i="65"/>
  <c r="N114" i="65"/>
  <c r="N121" i="65"/>
  <c r="M118" i="65"/>
  <c r="J93" i="51"/>
  <c r="O66" i="83" s="1"/>
  <c r="O68" i="83" s="1"/>
  <c r="U98" i="51"/>
  <c r="H97" i="51"/>
  <c r="K99" i="51"/>
  <c r="K385" i="44"/>
  <c r="K386" i="44" s="1" a="1"/>
  <c r="K386" i="44" s="1"/>
  <c r="H393" i="44"/>
  <c r="H394" i="44" s="1" a="1"/>
  <c r="H394" i="44" s="1"/>
  <c r="Q94" i="51"/>
  <c r="T98" i="51"/>
  <c r="H340" i="44"/>
  <c r="H341" i="44" s="1" a="1"/>
  <c r="H341" i="44" s="1"/>
  <c r="H100" i="51"/>
  <c r="R99" i="51"/>
  <c r="Q99" i="51"/>
  <c r="I400" i="44"/>
  <c r="I401" i="44" s="1" a="1"/>
  <c r="I401" i="44" s="1"/>
  <c r="G378" i="44"/>
  <c r="G379" i="44" s="1" a="1"/>
  <c r="G379" i="44" s="1"/>
  <c r="J400" i="44"/>
  <c r="J401" i="44" s="1" a="1"/>
  <c r="J401" i="44" s="1"/>
  <c r="I385" i="44"/>
  <c r="I386" i="44" s="1" a="1"/>
  <c r="I386" i="44" s="1"/>
  <c r="G93" i="51"/>
  <c r="L66" i="83" s="1"/>
  <c r="L68" i="83" s="1"/>
  <c r="S93" i="51" l="1"/>
  <c r="O66" i="84"/>
  <c r="O68" i="84" s="1"/>
  <c r="O66" i="85"/>
  <c r="O68" i="85" s="1"/>
  <c r="M66" i="85"/>
  <c r="M68" i="85" s="1"/>
  <c r="M66" i="84"/>
  <c r="Q128" i="51" a="1"/>
  <c r="Q128" i="51" s="1"/>
  <c r="R128" i="51" a="1"/>
  <c r="R128" i="51" s="1"/>
  <c r="R82" i="51" a="1"/>
  <c r="R82" i="51" s="1"/>
  <c r="T82" i="51" a="1"/>
  <c r="T82" i="51" s="1"/>
  <c r="T128" i="51" a="1"/>
  <c r="T128" i="51" s="1"/>
  <c r="Q82" i="51" a="1"/>
  <c r="Q82" i="51" s="1"/>
  <c r="H117" i="51"/>
  <c r="J10" i="77"/>
  <c r="L10" i="77" s="1"/>
  <c r="L10" i="78"/>
  <c r="I121" i="51"/>
  <c r="R121" i="51"/>
  <c r="G121" i="51"/>
  <c r="K117" i="51"/>
  <c r="G83" i="51" a="1"/>
  <c r="G83" i="51" s="1"/>
  <c r="G129" i="51" a="1"/>
  <c r="G129" i="51" s="1"/>
  <c r="H133" i="51" a="1"/>
  <c r="H133" i="51" s="1"/>
  <c r="H87" i="51" a="1"/>
  <c r="H87" i="51" s="1"/>
  <c r="K121" i="51"/>
  <c r="U117" i="51"/>
  <c r="U88" i="51" a="1"/>
  <c r="U88" i="51" s="1"/>
  <c r="U134" i="51" a="1"/>
  <c r="U134" i="51" s="1"/>
  <c r="K131" i="51" a="1"/>
  <c r="K131" i="51" s="1"/>
  <c r="K85" i="51" a="1"/>
  <c r="K85" i="51" s="1"/>
  <c r="K133" i="51" a="1"/>
  <c r="K133" i="51" s="1"/>
  <c r="J121" i="51"/>
  <c r="K87" i="51" a="1"/>
  <c r="K87" i="51" s="1"/>
  <c r="T121" i="51"/>
  <c r="T85" i="51" a="1"/>
  <c r="T85" i="51" s="1"/>
  <c r="Q87" i="51" a="1"/>
  <c r="Q87" i="51" s="1"/>
  <c r="Q133" i="51" a="1"/>
  <c r="Q133" i="51" s="1"/>
  <c r="G84" i="51" a="1"/>
  <c r="G84" i="51" s="1"/>
  <c r="G130" i="51" a="1"/>
  <c r="G130" i="51" s="1"/>
  <c r="T131" i="51" a="1"/>
  <c r="T131" i="51" s="1"/>
  <c r="I117" i="51"/>
  <c r="I87" i="51" a="1"/>
  <c r="I87" i="51" s="1"/>
  <c r="I133" i="51" a="1"/>
  <c r="I133" i="51" s="1"/>
  <c r="J85" i="51" a="1"/>
  <c r="J85" i="51" s="1"/>
  <c r="J88" i="51" a="1"/>
  <c r="J88" i="51" s="1"/>
  <c r="J134" i="51" a="1"/>
  <c r="J134" i="51" s="1"/>
  <c r="J131" i="51" a="1"/>
  <c r="J131" i="51" s="1"/>
  <c r="G133" i="51" a="1"/>
  <c r="G133" i="51" s="1"/>
  <c r="K89" i="51" a="1"/>
  <c r="K89" i="51" s="1"/>
  <c r="J135" i="51" a="1"/>
  <c r="J135" i="51" s="1"/>
  <c r="I135" i="51" a="1"/>
  <c r="I135" i="51" s="1"/>
  <c r="I88" i="51" a="1"/>
  <c r="I88" i="51" s="1"/>
  <c r="I134" i="51" a="1"/>
  <c r="I134" i="51" s="1"/>
  <c r="K135" i="51" a="1"/>
  <c r="K135" i="51" s="1"/>
  <c r="R85" i="51" a="1"/>
  <c r="R85" i="51" s="1"/>
  <c r="R131" i="51" a="1"/>
  <c r="R131" i="51" s="1"/>
  <c r="I89" i="51" a="1"/>
  <c r="I89" i="51" s="1"/>
  <c r="J89" i="51" a="1"/>
  <c r="J89" i="51" s="1"/>
  <c r="G87" i="51" a="1"/>
  <c r="G87" i="51" s="1"/>
  <c r="H88" i="51" a="1"/>
  <c r="H88" i="51" s="1"/>
  <c r="H134" i="51" a="1"/>
  <c r="H134" i="51" s="1"/>
  <c r="S87" i="51" a="1"/>
  <c r="S87" i="51" s="1"/>
  <c r="S133" i="51" a="1"/>
  <c r="S133" i="51" s="1"/>
  <c r="I131" i="51" a="1"/>
  <c r="I131" i="51" s="1"/>
  <c r="I85" i="51" a="1"/>
  <c r="I85" i="51" s="1"/>
  <c r="G134" i="51" a="1"/>
  <c r="G134" i="51" s="1"/>
  <c r="G88" i="51" a="1"/>
  <c r="G88" i="51" s="1"/>
  <c r="S128" i="51" a="1"/>
  <c r="S128" i="51" s="1"/>
  <c r="S82" i="51" a="1"/>
  <c r="S82" i="51" s="1"/>
  <c r="G128" i="51" a="1"/>
  <c r="G128" i="51" s="1"/>
  <c r="G82" i="51" a="1"/>
  <c r="G82" i="51" s="1"/>
  <c r="G124" i="51"/>
  <c r="J122" i="51"/>
  <c r="H132" i="51" a="1"/>
  <c r="H132" i="51" s="1"/>
  <c r="H86" i="51" a="1"/>
  <c r="H86" i="51" s="1"/>
  <c r="U133" i="51" a="1"/>
  <c r="U133" i="51" s="1"/>
  <c r="U87" i="51" a="1"/>
  <c r="U87" i="51" s="1"/>
  <c r="U121" i="51"/>
  <c r="O110" i="65"/>
  <c r="O125" i="65" s="1"/>
  <c r="T133" i="51" a="1"/>
  <c r="T133" i="51" s="1"/>
  <c r="T87" i="51" a="1"/>
  <c r="T87" i="51" s="1"/>
  <c r="Q129" i="51" a="1"/>
  <c r="Q129" i="51" s="1"/>
  <c r="Q83" i="51" a="1"/>
  <c r="Q83" i="51" s="1"/>
  <c r="J128" i="51" a="1"/>
  <c r="J128" i="51" s="1"/>
  <c r="J82" i="51" a="1"/>
  <c r="J82" i="51" s="1"/>
  <c r="H135" i="51" a="1"/>
  <c r="H135" i="51" s="1"/>
  <c r="H89" i="51" a="1"/>
  <c r="H89" i="51" s="1"/>
  <c r="S132" i="51" a="1"/>
  <c r="S132" i="51" s="1"/>
  <c r="S86" i="51" a="1"/>
  <c r="S86" i="51" s="1"/>
  <c r="Q134" i="51" a="1"/>
  <c r="Q134" i="51" s="1"/>
  <c r="Q88" i="51" a="1"/>
  <c r="Q88" i="51" s="1"/>
  <c r="R134" i="51" a="1"/>
  <c r="R134" i="51" s="1"/>
  <c r="R88" i="51" a="1"/>
  <c r="R88" i="51" s="1"/>
  <c r="K134" i="51" a="1"/>
  <c r="K134" i="51" s="1"/>
  <c r="K88" i="51" a="1"/>
  <c r="K88" i="51" s="1"/>
  <c r="Q121" i="51"/>
  <c r="O122" i="65"/>
  <c r="O121" i="65"/>
  <c r="O113" i="65"/>
  <c r="O120" i="65"/>
  <c r="O116" i="65"/>
  <c r="O123" i="65"/>
  <c r="O117" i="65"/>
  <c r="O124" i="65"/>
  <c r="N118" i="65"/>
  <c r="U96" i="51"/>
  <c r="R98" i="51"/>
  <c r="S96" i="51"/>
  <c r="N66" i="85" s="1"/>
  <c r="N68" i="85" s="1"/>
  <c r="H96" i="51"/>
  <c r="M66" i="83" s="1"/>
  <c r="T99" i="51"/>
  <c r="Q95" i="51"/>
  <c r="L66" i="85" s="1"/>
  <c r="S99" i="51"/>
  <c r="N66" i="84" l="1"/>
  <c r="N68" i="84" s="1"/>
  <c r="L68" i="85"/>
  <c r="Q66" i="83"/>
  <c r="M68" i="83"/>
  <c r="M68" i="84"/>
  <c r="P66" i="84"/>
  <c r="P68" i="84" s="1"/>
  <c r="P66" i="85"/>
  <c r="P68" i="85" s="1"/>
  <c r="L66" i="84"/>
  <c r="L68" i="84" s="1"/>
  <c r="T117" i="51"/>
  <c r="R117" i="51"/>
  <c r="Q117" i="51"/>
  <c r="H27" i="50"/>
  <c r="H31" i="50" s="1" a="1"/>
  <c r="H31" i="50" s="1"/>
  <c r="I123" i="51"/>
  <c r="S122" i="51"/>
  <c r="Q26" i="50"/>
  <c r="Q30" i="50" s="1" a="1"/>
  <c r="Q30" i="50" s="1"/>
  <c r="E26" i="50"/>
  <c r="E30" i="50" s="1" a="1"/>
  <c r="E30" i="50" s="1"/>
  <c r="M25" i="50"/>
  <c r="M29" i="50" s="1" a="1"/>
  <c r="M29" i="50" s="1"/>
  <c r="Q25" i="50"/>
  <c r="Q29" i="50" s="1" a="1"/>
  <c r="Q29" i="50" s="1"/>
  <c r="M27" i="50"/>
  <c r="M31" i="50" s="1" a="1"/>
  <c r="M31" i="50" s="1"/>
  <c r="H85" i="51" a="1"/>
  <c r="H85" i="51" s="1"/>
  <c r="Q27" i="50"/>
  <c r="Q31" i="50" s="1" a="1"/>
  <c r="Q31" i="50" s="1"/>
  <c r="E25" i="50"/>
  <c r="E29" i="50" s="1" a="1"/>
  <c r="E29" i="50" s="1"/>
  <c r="M26" i="50"/>
  <c r="M30" i="50" s="1" a="1"/>
  <c r="M30" i="50" s="1"/>
  <c r="E27" i="50"/>
  <c r="E31" i="50" s="1" a="1"/>
  <c r="E31" i="50" s="1"/>
  <c r="G26" i="50"/>
  <c r="G30" i="50" s="1" a="1"/>
  <c r="G30" i="50" s="1"/>
  <c r="G25" i="50"/>
  <c r="G29" i="50" s="1" a="1"/>
  <c r="G29" i="50" s="1"/>
  <c r="F26" i="50"/>
  <c r="F30" i="50" s="1" a="1"/>
  <c r="F30" i="50" s="1"/>
  <c r="F27" i="50"/>
  <c r="F31" i="50" s="1" a="1"/>
  <c r="F31" i="50" s="1"/>
  <c r="F25" i="50"/>
  <c r="F29" i="50" s="1" a="1"/>
  <c r="F29" i="50" s="1"/>
  <c r="I26" i="50"/>
  <c r="I30" i="50" s="1" a="1"/>
  <c r="I30" i="50" s="1"/>
  <c r="G27" i="50"/>
  <c r="G31" i="50" s="1" a="1"/>
  <c r="G31" i="50" s="1"/>
  <c r="I25" i="50"/>
  <c r="I29" i="50" s="1" a="1"/>
  <c r="I29" i="50" s="1"/>
  <c r="H26" i="50"/>
  <c r="H30" i="50" s="1" a="1"/>
  <c r="H30" i="50" s="1"/>
  <c r="I27" i="50"/>
  <c r="I31" i="50" s="1" a="1"/>
  <c r="I31" i="50" s="1"/>
  <c r="H25" i="50"/>
  <c r="H29" i="50" s="1" a="1"/>
  <c r="H29" i="50" s="1"/>
  <c r="G118" i="51"/>
  <c r="U123" i="51"/>
  <c r="H122" i="51"/>
  <c r="K120" i="51"/>
  <c r="G119" i="51"/>
  <c r="K122" i="51"/>
  <c r="T120" i="51"/>
  <c r="Q122" i="51"/>
  <c r="I122" i="51"/>
  <c r="I124" i="51"/>
  <c r="J123" i="51"/>
  <c r="J120" i="51"/>
  <c r="J124" i="51"/>
  <c r="K124" i="51"/>
  <c r="R120" i="51"/>
  <c r="G122" i="51"/>
  <c r="H123" i="51"/>
  <c r="I120" i="51"/>
  <c r="G123" i="51"/>
  <c r="E109" i="65"/>
  <c r="E124" i="65" s="1"/>
  <c r="S134" i="51" a="1"/>
  <c r="S134" i="51" s="1"/>
  <c r="S88" i="51" a="1"/>
  <c r="S88" i="51" s="1"/>
  <c r="R133" i="51" a="1"/>
  <c r="R133" i="51" s="1"/>
  <c r="R87" i="51" a="1"/>
  <c r="R87" i="51" s="1"/>
  <c r="T122" i="51"/>
  <c r="U122" i="51"/>
  <c r="G117" i="51"/>
  <c r="K123" i="51"/>
  <c r="S121" i="51"/>
  <c r="H121" i="51"/>
  <c r="S117" i="51"/>
  <c r="H131" i="51" a="1"/>
  <c r="H131" i="51" s="1"/>
  <c r="R123" i="51"/>
  <c r="S131" i="51" a="1"/>
  <c r="S131" i="51" s="1"/>
  <c r="S85" i="51" a="1"/>
  <c r="S85" i="51" s="1"/>
  <c r="H124" i="51"/>
  <c r="J117" i="51"/>
  <c r="Q130" i="51" a="1"/>
  <c r="Q130" i="51" s="1"/>
  <c r="Q84" i="51" a="1"/>
  <c r="Q84" i="51" s="1"/>
  <c r="T134" i="51" a="1"/>
  <c r="T134" i="51" s="1"/>
  <c r="T88" i="51" a="1"/>
  <c r="T88" i="51" s="1"/>
  <c r="Q123" i="51"/>
  <c r="U131" i="51" a="1"/>
  <c r="U131" i="51" s="1"/>
  <c r="U85" i="51" a="1"/>
  <c r="U85" i="51" s="1"/>
  <c r="Q118" i="51"/>
  <c r="O118" i="65"/>
  <c r="E3" i="44"/>
  <c r="Q66" i="84" l="1"/>
  <c r="K35" i="83"/>
  <c r="Q68" i="83"/>
  <c r="Q66" i="85"/>
  <c r="P26" i="50"/>
  <c r="P30" i="50" s="1" a="1"/>
  <c r="P30" i="50" s="1"/>
  <c r="O26" i="50"/>
  <c r="O30" i="50" s="1" a="1"/>
  <c r="O30" i="50" s="1"/>
  <c r="P25" i="50"/>
  <c r="P29" i="50" s="1" a="1"/>
  <c r="P29" i="50" s="1"/>
  <c r="O27" i="50"/>
  <c r="O31" i="50" s="1" a="1"/>
  <c r="O31" i="50" s="1"/>
  <c r="O25" i="50"/>
  <c r="O29" i="50" s="1" a="1"/>
  <c r="O29" i="50" s="1"/>
  <c r="P27" i="50"/>
  <c r="P31" i="50" s="1" a="1"/>
  <c r="P31" i="50" s="1"/>
  <c r="N26" i="50"/>
  <c r="N30" i="50" s="1" a="1"/>
  <c r="N30" i="50" s="1"/>
  <c r="N27" i="50"/>
  <c r="N31" i="50" s="1" a="1"/>
  <c r="N31" i="50" s="1"/>
  <c r="N25" i="50"/>
  <c r="N29" i="50" s="1" a="1"/>
  <c r="N29" i="50" s="1"/>
  <c r="E107" i="65"/>
  <c r="E117" i="65"/>
  <c r="Q117" i="65" s="1"/>
  <c r="Q109" i="65"/>
  <c r="H120" i="51"/>
  <c r="T123" i="51"/>
  <c r="S120" i="51"/>
  <c r="E105" i="65"/>
  <c r="R122" i="51"/>
  <c r="E108" i="65"/>
  <c r="Q108" i="65" s="1"/>
  <c r="Q119" i="51"/>
  <c r="U120" i="51"/>
  <c r="S123" i="51"/>
  <c r="K35" i="85" l="1"/>
  <c r="Q68" i="85"/>
  <c r="K38" i="83"/>
  <c r="E38" i="83"/>
  <c r="E41" i="83" s="1"/>
  <c r="D38" i="83"/>
  <c r="D41" i="83" s="1"/>
  <c r="H38" i="83"/>
  <c r="H41" i="83" s="1"/>
  <c r="F38" i="83"/>
  <c r="F41" i="83" s="1"/>
  <c r="G38" i="83"/>
  <c r="I38" i="83"/>
  <c r="M35" i="83"/>
  <c r="J38" i="83"/>
  <c r="K35" i="84"/>
  <c r="Q68" i="84"/>
  <c r="G3" i="51"/>
  <c r="E115" i="65"/>
  <c r="Q115" i="65" s="1"/>
  <c r="Q107" i="65"/>
  <c r="E122" i="65"/>
  <c r="E123" i="65"/>
  <c r="E116" i="65"/>
  <c r="Q116" i="65" s="1"/>
  <c r="E106" i="65"/>
  <c r="Q105" i="65"/>
  <c r="E113" i="65"/>
  <c r="Q113" i="65" s="1"/>
  <c r="E120" i="65"/>
  <c r="E38" i="85" l="1"/>
  <c r="E41" i="85" s="1"/>
  <c r="D38" i="85"/>
  <c r="D41" i="85" s="1"/>
  <c r="K38" i="85"/>
  <c r="G38" i="85"/>
  <c r="F38" i="85"/>
  <c r="F41" i="85" s="1"/>
  <c r="H38" i="85"/>
  <c r="H41" i="85" s="1"/>
  <c r="I38" i="85"/>
  <c r="J38" i="85"/>
  <c r="M35" i="85"/>
  <c r="K38" i="84"/>
  <c r="E38" i="84"/>
  <c r="E41" i="84" s="1"/>
  <c r="D38" i="84"/>
  <c r="D41" i="84" s="1"/>
  <c r="G38" i="84"/>
  <c r="F38" i="84"/>
  <c r="F41" i="84" s="1"/>
  <c r="H38" i="84"/>
  <c r="H41" i="84" s="1"/>
  <c r="M35" i="84"/>
  <c r="I38" i="84"/>
  <c r="J38" i="84"/>
  <c r="E110" i="65"/>
  <c r="E121" i="65"/>
  <c r="Q106" i="65"/>
  <c r="E114" i="65"/>
  <c r="Q114" i="65" s="1"/>
  <c r="H3" i="50"/>
  <c r="E118" i="65" l="1"/>
  <c r="Q118" i="65" s="1"/>
  <c r="Q110" i="65"/>
  <c r="E125" i="65"/>
  <c r="K28" i="49" l="1"/>
  <c r="K29" i="49" s="1"/>
  <c r="K10" i="49" s="1"/>
  <c r="P10" i="49" l="1"/>
  <c r="H54" i="63" a="1"/>
  <c r="H54" i="63" s="1"/>
  <c r="H69" i="63" l="1" a="1"/>
  <c r="H69" i="63" s="1"/>
  <c r="G38" i="51" s="1" a="1"/>
  <c r="G38" i="51" s="1"/>
  <c r="H83" i="63" a="1"/>
  <c r="H83" i="63" s="1"/>
  <c r="H126" i="63" s="1"/>
  <c r="H68" i="63" a="1"/>
  <c r="H68" i="63" s="1"/>
  <c r="G37" i="51" s="1" a="1"/>
  <c r="G37" i="51" s="1"/>
  <c r="H65" i="63" a="1"/>
  <c r="H65" i="63" s="1"/>
  <c r="H85" i="63" a="1"/>
  <c r="H85" i="63" s="1"/>
  <c r="H127" i="63" s="1"/>
  <c r="H66" i="63" a="1"/>
  <c r="H66" i="63" s="1"/>
  <c r="G35" i="51" s="1" a="1"/>
  <c r="G35" i="51" s="1"/>
  <c r="D100" i="83" s="1" a="1"/>
  <c r="D100" i="83" s="1"/>
  <c r="H67" i="63" a="1"/>
  <c r="H67" i="63" s="1"/>
  <c r="G39" i="51" s="1" a="1"/>
  <c r="G39" i="51" s="1"/>
  <c r="H84" i="63" a="1"/>
  <c r="H84" i="63" s="1"/>
  <c r="H111" i="63" s="1"/>
  <c r="H86" i="63" a="1"/>
  <c r="H86" i="63" s="1"/>
  <c r="H112" i="63" s="1"/>
  <c r="G34" i="51" l="1" a="1"/>
  <c r="G34" i="51" s="1"/>
  <c r="D99" i="83" s="1" a="1"/>
  <c r="D99" i="83" s="1"/>
  <c r="D63" i="83" s="1"/>
  <c r="I63" i="83" s="1"/>
  <c r="H118" i="63"/>
  <c r="H102" i="63"/>
  <c r="G70" i="51" a="1"/>
  <c r="G70" i="51" s="1"/>
  <c r="H121" i="63"/>
  <c r="Q37" i="51" a="1"/>
  <c r="Q37" i="51" s="1"/>
  <c r="H101" i="63"/>
  <c r="H104" i="63"/>
  <c r="G72" i="51" a="1"/>
  <c r="G72" i="51" s="1"/>
  <c r="H119" i="63"/>
  <c r="Q34" i="51" a="1"/>
  <c r="Q34" i="51" s="1"/>
  <c r="Q38" i="51" a="1"/>
  <c r="Q38" i="51" s="1"/>
  <c r="H122" i="63"/>
  <c r="H105" i="63"/>
  <c r="G73" i="51" a="1"/>
  <c r="G73" i="51" s="1"/>
  <c r="H120" i="63"/>
  <c r="Q35" i="51" a="1"/>
  <c r="Q35" i="51" s="1"/>
  <c r="H103" i="63"/>
  <c r="G74" i="51" a="1"/>
  <c r="G74" i="51" s="1"/>
  <c r="D100" i="85" l="1" a="1"/>
  <c r="D100" i="85" s="1"/>
  <c r="D100" i="84" a="1"/>
  <c r="D100" i="84" s="1"/>
  <c r="D99" i="84" a="1"/>
  <c r="D99" i="84" s="1"/>
  <c r="D99" i="85" a="1"/>
  <c r="D99" i="85" s="1"/>
  <c r="G69" i="51" a="1"/>
  <c r="G69" i="51" s="1"/>
  <c r="Q73" i="51" a="1"/>
  <c r="Q73" i="51" s="1"/>
  <c r="Q72" i="51" a="1"/>
  <c r="Q72" i="51" s="1"/>
  <c r="Q70" i="51" a="1"/>
  <c r="Q70" i="51" s="1"/>
  <c r="Q69" i="51" a="1"/>
  <c r="Q69" i="51" s="1"/>
  <c r="D3" i="63"/>
  <c r="D63" i="84" l="1"/>
  <c r="I63" i="84" s="1"/>
  <c r="D63" i="85"/>
  <c r="I63" i="85" s="1"/>
  <c r="H52" i="44"/>
  <c r="G52" i="44"/>
  <c r="J52" i="44"/>
  <c r="I52" i="44"/>
  <c r="K52" i="44"/>
  <c r="K251" i="44" l="1"/>
  <c r="H251" i="44"/>
  <c r="I251" i="44"/>
  <c r="G251" i="44"/>
  <c r="J251" i="44"/>
  <c r="G245" i="44"/>
  <c r="K245" i="44"/>
  <c r="H245" i="44"/>
  <c r="J245" i="44"/>
  <c r="I245" i="44"/>
  <c r="G257" i="44"/>
  <c r="D84" i="84" l="1"/>
  <c r="D58" i="84" s="1"/>
  <c r="D84" i="83"/>
  <c r="D58" i="83" s="1"/>
  <c r="D84" i="85"/>
  <c r="D58" i="85" s="1"/>
  <c r="G51" i="44"/>
  <c r="H257" i="44"/>
  <c r="E84" i="84" s="1"/>
  <c r="E58" i="84" s="1"/>
  <c r="I257" i="44"/>
  <c r="F84" i="85" s="1"/>
  <c r="F58" i="85" s="1"/>
  <c r="H11" i="44"/>
  <c r="K257" i="44"/>
  <c r="H84" i="83" s="1"/>
  <c r="H58" i="83" s="1"/>
  <c r="G11" i="44"/>
  <c r="I11" i="44"/>
  <c r="K11" i="44"/>
  <c r="J11" i="44"/>
  <c r="J257" i="44"/>
  <c r="G84" i="83" s="1"/>
  <c r="G58" i="83" s="1"/>
  <c r="H84" i="84" l="1"/>
  <c r="H58" i="84" s="1"/>
  <c r="H61" i="84" s="1"/>
  <c r="H62" i="84" s="1"/>
  <c r="G84" i="84"/>
  <c r="G58" i="84" s="1"/>
  <c r="G61" i="84" s="1"/>
  <c r="G62" i="84" s="1"/>
  <c r="G84" i="85"/>
  <c r="G58" i="85" s="1"/>
  <c r="G61" i="85" s="1"/>
  <c r="G62" i="85" s="1"/>
  <c r="G61" i="83"/>
  <c r="G62" i="83" s="1"/>
  <c r="G64" i="83" s="1"/>
  <c r="E61" i="84"/>
  <c r="E62" i="84" s="1"/>
  <c r="E64" i="84" s="1"/>
  <c r="H61" i="83"/>
  <c r="H62" i="83" s="1"/>
  <c r="H64" i="83" s="1"/>
  <c r="F61" i="85"/>
  <c r="F62" i="85" s="1"/>
  <c r="F64" i="85" s="1"/>
  <c r="H84" i="85"/>
  <c r="H58" i="85" s="1"/>
  <c r="F84" i="83"/>
  <c r="F58" i="83" s="1"/>
  <c r="F84" i="84"/>
  <c r="F58" i="84" s="1"/>
  <c r="E84" i="83"/>
  <c r="E58" i="83" s="1"/>
  <c r="E84" i="85"/>
  <c r="E58" i="85" s="1"/>
  <c r="D61" i="85"/>
  <c r="D61" i="83"/>
  <c r="D61" i="84"/>
  <c r="H51" i="44"/>
  <c r="H55" i="44" s="1"/>
  <c r="H91" i="44" s="1"/>
  <c r="K51" i="44"/>
  <c r="K55" i="44" s="1"/>
  <c r="K91" i="44" s="1"/>
  <c r="I51" i="44"/>
  <c r="I55" i="44" s="1"/>
  <c r="I84" i="44" s="1"/>
  <c r="G55" i="44"/>
  <c r="G62" i="44" s="1"/>
  <c r="G56" i="44"/>
  <c r="G114" i="44" s="1"/>
  <c r="G115" i="44" s="1" a="1"/>
  <c r="G115" i="44" s="1"/>
  <c r="G116" i="44" s="1"/>
  <c r="G117" i="44" s="1"/>
  <c r="G118" i="44" s="1" a="1"/>
  <c r="G118" i="44" s="1"/>
  <c r="K10" i="44"/>
  <c r="H11" i="78"/>
  <c r="H10" i="44"/>
  <c r="J10" i="44"/>
  <c r="G10" i="44"/>
  <c r="G18" i="44" s="1"/>
  <c r="J51" i="44"/>
  <c r="I10" i="44"/>
  <c r="I58" i="83" l="1"/>
  <c r="G36" i="83" s="1"/>
  <c r="G40" i="83" s="1"/>
  <c r="G41" i="83" s="1"/>
  <c r="G64" i="84"/>
  <c r="I58" i="85"/>
  <c r="G36" i="85" s="1"/>
  <c r="G40" i="85" s="1"/>
  <c r="G41" i="85" s="1"/>
  <c r="G64" i="85"/>
  <c r="H64" i="84"/>
  <c r="F61" i="83"/>
  <c r="F62" i="83" s="1"/>
  <c r="D62" i="85"/>
  <c r="E61" i="85"/>
  <c r="E62" i="85" s="1"/>
  <c r="H61" i="85"/>
  <c r="H62" i="85" s="1"/>
  <c r="F61" i="84"/>
  <c r="F62" i="84" s="1"/>
  <c r="D62" i="84"/>
  <c r="D64" i="84" s="1"/>
  <c r="I58" i="84"/>
  <c r="G36" i="84" s="1"/>
  <c r="D62" i="83"/>
  <c r="D64" i="83" s="1"/>
  <c r="E61" i="83"/>
  <c r="I61" i="83" s="1"/>
  <c r="I36" i="83" s="1"/>
  <c r="G11" i="78"/>
  <c r="H56" i="44"/>
  <c r="H136" i="44" s="1"/>
  <c r="H137" i="44" s="1" a="1"/>
  <c r="H137" i="44" s="1"/>
  <c r="H138" i="44" s="1"/>
  <c r="K56" i="44"/>
  <c r="K136" i="44" s="1"/>
  <c r="K137" i="44" s="1" a="1"/>
  <c r="K137" i="44" s="1"/>
  <c r="K138" i="44" s="1"/>
  <c r="K139" i="44" s="1"/>
  <c r="K140" i="44" s="1" a="1"/>
  <c r="K140" i="44" s="1"/>
  <c r="I56" i="44"/>
  <c r="I107" i="44" s="1"/>
  <c r="H98" i="44"/>
  <c r="H99" i="44" s="1" a="1"/>
  <c r="H99" i="44" s="1"/>
  <c r="H100" i="44" s="1"/>
  <c r="H101" i="44" s="1"/>
  <c r="I91" i="44"/>
  <c r="I92" i="44" s="1" a="1"/>
  <c r="I92" i="44" s="1"/>
  <c r="I93" i="44" s="1"/>
  <c r="I62" i="44"/>
  <c r="I69" i="44"/>
  <c r="I76" i="44"/>
  <c r="I77" i="44" s="1" a="1"/>
  <c r="I77" i="44" s="1"/>
  <c r="I78" i="44" s="1"/>
  <c r="I79" i="44" s="1"/>
  <c r="I80" i="44" s="1" a="1"/>
  <c r="I80" i="44" s="1"/>
  <c r="G136" i="44"/>
  <c r="G137" i="44" s="1" a="1"/>
  <c r="G137" i="44" s="1"/>
  <c r="G138" i="44" s="1"/>
  <c r="G139" i="44" s="1"/>
  <c r="G140" i="44" s="1" a="1"/>
  <c r="G140" i="44" s="1"/>
  <c r="G107" i="44"/>
  <c r="G108" i="44" s="1" a="1"/>
  <c r="G108" i="44" s="1"/>
  <c r="G109" i="44" s="1"/>
  <c r="G110" i="44" s="1"/>
  <c r="G111" i="44" s="1" a="1"/>
  <c r="G111" i="44" s="1"/>
  <c r="H84" i="44"/>
  <c r="H85" i="44" s="1" a="1"/>
  <c r="H85" i="44" s="1"/>
  <c r="H86" i="44" s="1"/>
  <c r="H87" i="44" s="1"/>
  <c r="H88" i="44" s="1" a="1"/>
  <c r="H88" i="44" s="1"/>
  <c r="G76" i="44"/>
  <c r="G84" i="44"/>
  <c r="G85" i="44" s="1" a="1"/>
  <c r="G85" i="44" s="1"/>
  <c r="G86" i="44" s="1"/>
  <c r="G129" i="44"/>
  <c r="G130" i="44" s="1" a="1"/>
  <c r="G130" i="44" s="1"/>
  <c r="G131" i="44" s="1"/>
  <c r="G121" i="44"/>
  <c r="H69" i="44"/>
  <c r="H76" i="44"/>
  <c r="H77" i="44" s="1" a="1"/>
  <c r="H77" i="44" s="1"/>
  <c r="H78" i="44" s="1"/>
  <c r="H79" i="44" s="1"/>
  <c r="H80" i="44" s="1" a="1"/>
  <c r="H80" i="44" s="1"/>
  <c r="G98" i="44"/>
  <c r="G99" i="44" s="1" a="1"/>
  <c r="G99" i="44" s="1"/>
  <c r="G100" i="44" s="1"/>
  <c r="G101" i="44" s="1"/>
  <c r="G91" i="44"/>
  <c r="G92" i="44" s="1" a="1"/>
  <c r="G92" i="44" s="1"/>
  <c r="G93" i="44" s="1"/>
  <c r="G94" i="44" s="1"/>
  <c r="G95" i="44" s="1" a="1"/>
  <c r="G95" i="44" s="1"/>
  <c r="G69" i="44"/>
  <c r="G70" i="44" s="1" a="1"/>
  <c r="G70" i="44" s="1"/>
  <c r="G71" i="44" s="1"/>
  <c r="H62" i="44"/>
  <c r="I26" i="44"/>
  <c r="I27" i="44" s="1" a="1"/>
  <c r="I27" i="44" s="1"/>
  <c r="I28" i="44" s="1"/>
  <c r="I29" i="44" s="1"/>
  <c r="I30" i="44" s="1"/>
  <c r="I31" i="44" s="1" a="1"/>
  <c r="I31" i="44" s="1"/>
  <c r="I43" i="44"/>
  <c r="I18" i="44"/>
  <c r="I19" i="44" s="1" a="1"/>
  <c r="I19" i="44" s="1"/>
  <c r="I20" i="44" s="1"/>
  <c r="I21" i="44" s="1"/>
  <c r="I22" i="44" s="1"/>
  <c r="I23" i="44" s="1" a="1"/>
  <c r="I23" i="44" s="1"/>
  <c r="I35" i="44"/>
  <c r="I36" i="44" s="1" a="1"/>
  <c r="I36" i="44" s="1"/>
  <c r="I37" i="44" s="1"/>
  <c r="I38" i="44" s="1"/>
  <c r="I39" i="44" s="1"/>
  <c r="I40" i="44" s="1" a="1"/>
  <c r="I40" i="44" s="1"/>
  <c r="J56" i="44"/>
  <c r="J121" i="44" s="1"/>
  <c r="J122" i="44" s="1" a="1"/>
  <c r="J122" i="44" s="1"/>
  <c r="J123" i="44" s="1"/>
  <c r="J124" i="44" s="1"/>
  <c r="J125" i="44" s="1" a="1"/>
  <c r="J125" i="44" s="1"/>
  <c r="J55" i="44"/>
  <c r="J76" i="44" s="1"/>
  <c r="J77" i="44" s="1" a="1"/>
  <c r="J77" i="44" s="1"/>
  <c r="J78" i="44" s="1"/>
  <c r="J79" i="44" s="1"/>
  <c r="J80" i="44" s="1" a="1"/>
  <c r="J80" i="44" s="1"/>
  <c r="H92" i="44" a="1"/>
  <c r="H92" i="44" s="1"/>
  <c r="H93" i="44" s="1"/>
  <c r="J35" i="44"/>
  <c r="J43" i="44"/>
  <c r="J44" i="44" s="1" a="1"/>
  <c r="J44" i="44" s="1"/>
  <c r="J45" i="44" s="1"/>
  <c r="J46" i="44" s="1"/>
  <c r="J47" i="44" s="1"/>
  <c r="J48" i="44" s="1" a="1"/>
  <c r="J48" i="44" s="1"/>
  <c r="J26" i="44"/>
  <c r="J18" i="44"/>
  <c r="J19" i="44" s="1" a="1"/>
  <c r="J19" i="44" s="1"/>
  <c r="J20" i="44" s="1"/>
  <c r="J21" i="44" s="1"/>
  <c r="J22" i="44" s="1"/>
  <c r="J23" i="44" s="1" a="1"/>
  <c r="J23" i="44" s="1"/>
  <c r="F11" i="78"/>
  <c r="I98" i="44"/>
  <c r="I99" i="44" s="1" a="1"/>
  <c r="I99" i="44" s="1"/>
  <c r="I100" i="44" s="1"/>
  <c r="I101" i="44" s="1"/>
  <c r="I102" i="44" s="1" a="1"/>
  <c r="I102" i="44" s="1"/>
  <c r="K69" i="44"/>
  <c r="K76" i="44"/>
  <c r="K77" i="44" s="1" a="1"/>
  <c r="K77" i="44" s="1"/>
  <c r="K78" i="44" s="1"/>
  <c r="K79" i="44" s="1"/>
  <c r="K80" i="44" s="1" a="1"/>
  <c r="K80" i="44" s="1"/>
  <c r="H18" i="44"/>
  <c r="H26" i="44"/>
  <c r="H27" i="44" s="1" a="1"/>
  <c r="H27" i="44" s="1"/>
  <c r="H28" i="44" s="1"/>
  <c r="H29" i="44" s="1"/>
  <c r="H30" i="44" s="1"/>
  <c r="H31" i="44" s="1" a="1"/>
  <c r="H31" i="44" s="1"/>
  <c r="H43" i="44"/>
  <c r="H44" i="44" s="1" a="1"/>
  <c r="H44" i="44" s="1"/>
  <c r="H45" i="44" s="1"/>
  <c r="H46" i="44" s="1"/>
  <c r="H47" i="44" s="1"/>
  <c r="H48" i="44" s="1" a="1"/>
  <c r="H48" i="44" s="1"/>
  <c r="H35" i="44"/>
  <c r="H36" i="44" s="1" a="1"/>
  <c r="H36" i="44" s="1"/>
  <c r="H37" i="44" s="1"/>
  <c r="H38" i="44" s="1"/>
  <c r="H39" i="44" s="1"/>
  <c r="H40" i="44" s="1" a="1"/>
  <c r="H40" i="44" s="1"/>
  <c r="K43" i="44"/>
  <c r="K44" i="44" s="1" a="1"/>
  <c r="K44" i="44" s="1"/>
  <c r="K45" i="44" s="1"/>
  <c r="K46" i="44" s="1"/>
  <c r="K47" i="44" s="1"/>
  <c r="K48" i="44" s="1" a="1"/>
  <c r="K48" i="44" s="1"/>
  <c r="K18" i="44"/>
  <c r="K19" i="44" s="1" a="1"/>
  <c r="K19" i="44" s="1"/>
  <c r="K20" i="44" s="1"/>
  <c r="K21" i="44" s="1"/>
  <c r="K22" i="44" s="1"/>
  <c r="K23" i="44" s="1" a="1"/>
  <c r="K23" i="44" s="1"/>
  <c r="K35" i="44"/>
  <c r="K26" i="44"/>
  <c r="K27" i="44" s="1" a="1"/>
  <c r="K27" i="44" s="1"/>
  <c r="K28" i="44" s="1"/>
  <c r="K29" i="44" s="1"/>
  <c r="K30" i="44" s="1"/>
  <c r="K31" i="44" s="1" a="1"/>
  <c r="K31" i="44" s="1"/>
  <c r="K92" i="44" a="1"/>
  <c r="K92" i="44" s="1"/>
  <c r="K93" i="44" s="1"/>
  <c r="K84" i="44"/>
  <c r="Q22" i="51"/>
  <c r="G43" i="44"/>
  <c r="G44" i="44" s="1" a="1"/>
  <c r="G44" i="44" s="1"/>
  <c r="G45" i="44" s="1"/>
  <c r="G46" i="44" s="1"/>
  <c r="G47" i="44" s="1"/>
  <c r="G48" i="44" s="1" a="1"/>
  <c r="G48" i="44" s="1"/>
  <c r="G35" i="44"/>
  <c r="G36" i="44" s="1" a="1"/>
  <c r="G36" i="44" s="1"/>
  <c r="G37" i="44" s="1"/>
  <c r="G38" i="44" s="1"/>
  <c r="G39" i="44" s="1"/>
  <c r="G40" i="44" s="1" a="1"/>
  <c r="G40" i="44" s="1"/>
  <c r="G19" i="44" a="1"/>
  <c r="G19" i="44" s="1"/>
  <c r="G20" i="44" s="1"/>
  <c r="G21" i="44" s="1"/>
  <c r="G22" i="44" s="1"/>
  <c r="G23" i="44" s="1" a="1"/>
  <c r="G23" i="44" s="1"/>
  <c r="G26" i="44"/>
  <c r="G27" i="44" s="1" a="1"/>
  <c r="G27" i="44" s="1"/>
  <c r="G28" i="44" s="1"/>
  <c r="G29" i="44" s="1"/>
  <c r="G30" i="44" s="1"/>
  <c r="G31" i="44" s="1" a="1"/>
  <c r="G31" i="44" s="1"/>
  <c r="I85" i="44" a="1"/>
  <c r="I85" i="44" s="1"/>
  <c r="I86" i="44" s="1"/>
  <c r="I87" i="44" s="1"/>
  <c r="I88" i="44" s="1" a="1"/>
  <c r="I88" i="44" s="1"/>
  <c r="K62" i="44"/>
  <c r="K98" i="44"/>
  <c r="K99" i="44" s="1" a="1"/>
  <c r="K99" i="44" s="1"/>
  <c r="K100" i="44" s="1"/>
  <c r="K101" i="44" s="1"/>
  <c r="K102" i="44" s="1" a="1"/>
  <c r="K102" i="44" s="1"/>
  <c r="G63" i="44" a="1"/>
  <c r="G63" i="44" s="1"/>
  <c r="G64" i="44" s="1"/>
  <c r="E62" i="83" l="1"/>
  <c r="I62" i="83" s="1"/>
  <c r="J36" i="83" s="1"/>
  <c r="I62" i="84"/>
  <c r="J36" i="84" s="1"/>
  <c r="J40" i="84" s="1"/>
  <c r="J41" i="84" s="1"/>
  <c r="F64" i="83"/>
  <c r="I40" i="83"/>
  <c r="I41" i="83" s="1"/>
  <c r="H64" i="85"/>
  <c r="G40" i="84"/>
  <c r="G41" i="84" s="1"/>
  <c r="E64" i="83"/>
  <c r="I61" i="84"/>
  <c r="I36" i="84" s="1"/>
  <c r="E64" i="85"/>
  <c r="F64" i="84"/>
  <c r="I64" i="84" s="1"/>
  <c r="I61" i="85"/>
  <c r="I36" i="85" s="1"/>
  <c r="I62" i="85"/>
  <c r="J36" i="85" s="1"/>
  <c r="D64" i="85"/>
  <c r="H27" i="51"/>
  <c r="H16" i="51" s="1" a="1"/>
  <c r="H16" i="51" s="1"/>
  <c r="H102" i="44" a="1"/>
  <c r="H102" i="44" s="1"/>
  <c r="G27" i="51"/>
  <c r="G62" i="51" s="1" a="1"/>
  <c r="G62" i="51" s="1"/>
  <c r="G102" i="44" a="1"/>
  <c r="G102" i="44" s="1"/>
  <c r="K107" i="44"/>
  <c r="H114" i="44"/>
  <c r="I11" i="78"/>
  <c r="H121" i="44"/>
  <c r="H122" i="44" s="1" a="1"/>
  <c r="H122" i="44" s="1"/>
  <c r="H123" i="44" s="1"/>
  <c r="H124" i="44" s="1"/>
  <c r="H125" i="44" s="1" a="1"/>
  <c r="H125" i="44" s="1"/>
  <c r="H107" i="44"/>
  <c r="H129" i="44"/>
  <c r="H130" i="44" s="1" a="1"/>
  <c r="H130" i="44" s="1"/>
  <c r="H131" i="44" s="1"/>
  <c r="H132" i="44" s="1"/>
  <c r="H133" i="44" s="1" a="1"/>
  <c r="H133" i="44" s="1"/>
  <c r="I129" i="44"/>
  <c r="I130" i="44" s="1" a="1"/>
  <c r="I130" i="44" s="1"/>
  <c r="I131" i="44" s="1"/>
  <c r="I132" i="44" s="1"/>
  <c r="I136" i="44"/>
  <c r="I137" i="44" s="1" a="1"/>
  <c r="I137" i="44" s="1"/>
  <c r="I138" i="44" s="1"/>
  <c r="I139" i="44" s="1"/>
  <c r="I140" i="44" s="1" a="1"/>
  <c r="I140" i="44" s="1"/>
  <c r="I121" i="44"/>
  <c r="I122" i="44" s="1" a="1"/>
  <c r="I122" i="44" s="1"/>
  <c r="I123" i="44" s="1"/>
  <c r="I124" i="44" s="1"/>
  <c r="I125" i="44" s="1" a="1"/>
  <c r="I125" i="44" s="1"/>
  <c r="I114" i="44"/>
  <c r="K129" i="44"/>
  <c r="K130" i="44" s="1" a="1"/>
  <c r="K130" i="44" s="1"/>
  <c r="K131" i="44" s="1"/>
  <c r="K121" i="44"/>
  <c r="K122" i="44" s="1" a="1"/>
  <c r="K122" i="44" s="1"/>
  <c r="K123" i="44" s="1"/>
  <c r="K124" i="44" s="1"/>
  <c r="K125" i="44" s="1" a="1"/>
  <c r="K125" i="44" s="1"/>
  <c r="K114" i="44"/>
  <c r="H11" i="77"/>
  <c r="G11" i="77"/>
  <c r="Q26" i="51"/>
  <c r="Q15" i="51" s="1" a="1"/>
  <c r="Q15" i="51" s="1"/>
  <c r="G26" i="51"/>
  <c r="G15" i="51" s="1" a="1"/>
  <c r="G15" i="51" s="1"/>
  <c r="I23" i="51"/>
  <c r="I58" i="51" s="1" a="1"/>
  <c r="I58" i="51" s="1"/>
  <c r="Q21" i="51"/>
  <c r="Q56" i="51" s="1" a="1"/>
  <c r="Q56" i="51" s="1"/>
  <c r="J69" i="44"/>
  <c r="J98" i="44"/>
  <c r="J99" i="44" s="1" a="1"/>
  <c r="J99" i="44" s="1"/>
  <c r="J100" i="44" s="1"/>
  <c r="J101" i="44" s="1"/>
  <c r="H23" i="51"/>
  <c r="H12" i="51" s="1" a="1"/>
  <c r="H12" i="51" s="1"/>
  <c r="H25" i="51"/>
  <c r="H14" i="51" s="1" a="1"/>
  <c r="H14" i="51" s="1"/>
  <c r="J11" i="78"/>
  <c r="G87" i="44"/>
  <c r="H94" i="44"/>
  <c r="K94" i="44"/>
  <c r="K95" i="44" s="1" a="1"/>
  <c r="K95" i="44" s="1"/>
  <c r="J136" i="44"/>
  <c r="J137" i="44" s="1" a="1"/>
  <c r="J137" i="44" s="1"/>
  <c r="J138" i="44" s="1"/>
  <c r="J139" i="44" s="1"/>
  <c r="J140" i="44" s="1" a="1"/>
  <c r="J140" i="44" s="1"/>
  <c r="J107" i="44"/>
  <c r="J129" i="44"/>
  <c r="J130" i="44" s="1" a="1"/>
  <c r="J130" i="44" s="1"/>
  <c r="J131" i="44" s="1"/>
  <c r="J132" i="44" s="1"/>
  <c r="J133" i="44" s="1" a="1"/>
  <c r="J133" i="44" s="1"/>
  <c r="I25" i="51"/>
  <c r="U26" i="51"/>
  <c r="K27" i="51"/>
  <c r="G24" i="51"/>
  <c r="G59" i="51" s="1" a="1"/>
  <c r="G59" i="51" s="1"/>
  <c r="Q24" i="51"/>
  <c r="Q59" i="51" s="1" a="1"/>
  <c r="Q59" i="51" s="1"/>
  <c r="H139" i="44"/>
  <c r="H140" i="44" s="1" a="1"/>
  <c r="H140" i="44" s="1"/>
  <c r="Q57" i="51" a="1"/>
  <c r="Q57" i="51" s="1"/>
  <c r="Q11" i="51" a="1"/>
  <c r="Q11" i="51" s="1"/>
  <c r="G132" i="44"/>
  <c r="G133" i="44" s="1" a="1"/>
  <c r="G133" i="44" s="1"/>
  <c r="K85" i="44" a="1"/>
  <c r="K85" i="44" s="1"/>
  <c r="K86" i="44" s="1"/>
  <c r="K36" i="44" a="1"/>
  <c r="K36" i="44" s="1"/>
  <c r="K37" i="44" s="1"/>
  <c r="R20" i="51"/>
  <c r="I27" i="51"/>
  <c r="J20" i="51"/>
  <c r="J84" i="44"/>
  <c r="J62" i="44"/>
  <c r="J91" i="44"/>
  <c r="S20" i="51"/>
  <c r="K20" i="51"/>
  <c r="R24" i="51"/>
  <c r="R59" i="51" s="1" a="1"/>
  <c r="R59" i="51" s="1"/>
  <c r="K23" i="51"/>
  <c r="J27" i="44" a="1"/>
  <c r="J27" i="44" s="1"/>
  <c r="J28" i="44" s="1"/>
  <c r="J23" i="51"/>
  <c r="I20" i="51"/>
  <c r="F66" i="83" s="1"/>
  <c r="F68" i="83" s="1"/>
  <c r="G20" i="51"/>
  <c r="U24" i="51"/>
  <c r="U59" i="51" s="1" a="1"/>
  <c r="U59" i="51" s="1"/>
  <c r="H24" i="51"/>
  <c r="H59" i="51" s="1" a="1"/>
  <c r="H59" i="51" s="1"/>
  <c r="T24" i="51"/>
  <c r="T59" i="51" s="1" a="1"/>
  <c r="T59" i="51" s="1"/>
  <c r="T23" i="51"/>
  <c r="I44" i="44" a="1"/>
  <c r="I44" i="44" s="1"/>
  <c r="I45" i="44" s="1"/>
  <c r="G65" i="44"/>
  <c r="G66" i="44" s="1" a="1"/>
  <c r="G66" i="44" s="1"/>
  <c r="Q20" i="51"/>
  <c r="I94" i="44"/>
  <c r="I95" i="44" s="1" a="1"/>
  <c r="I95" i="44" s="1"/>
  <c r="G72" i="44"/>
  <c r="G73" i="44" s="1" a="1"/>
  <c r="G73" i="44" s="1"/>
  <c r="K24" i="51"/>
  <c r="K59" i="51" s="1" a="1"/>
  <c r="K59" i="51" s="1"/>
  <c r="H19" i="44" a="1"/>
  <c r="H19" i="44" s="1"/>
  <c r="H20" i="44" s="1"/>
  <c r="J36" i="44" a="1"/>
  <c r="J36" i="44" s="1"/>
  <c r="J37" i="44" s="1"/>
  <c r="J114" i="44"/>
  <c r="I24" i="51"/>
  <c r="I59" i="51" s="1" a="1"/>
  <c r="I59" i="51" s="1"/>
  <c r="G16" i="51" l="1" a="1"/>
  <c r="G16" i="51" s="1"/>
  <c r="I64" i="85"/>
  <c r="J40" i="85"/>
  <c r="J41" i="85" s="1"/>
  <c r="I40" i="85"/>
  <c r="I41" i="85" s="1"/>
  <c r="J40" i="83"/>
  <c r="J41" i="83" s="1"/>
  <c r="K41" i="83" s="1"/>
  <c r="D66" i="85"/>
  <c r="D66" i="84"/>
  <c r="H66" i="83"/>
  <c r="H68" i="83" s="1"/>
  <c r="G66" i="83"/>
  <c r="G68" i="83" s="1"/>
  <c r="H62" i="51" a="1"/>
  <c r="H62" i="51" s="1"/>
  <c r="I64" i="83"/>
  <c r="I40" i="84"/>
  <c r="I41" i="84" s="1"/>
  <c r="K41" i="84" s="1"/>
  <c r="H26" i="51"/>
  <c r="H95" i="44" a="1"/>
  <c r="H95" i="44" s="1"/>
  <c r="G25" i="51"/>
  <c r="G14" i="51" s="1" a="1"/>
  <c r="G14" i="51" s="1"/>
  <c r="G88" i="44" a="1"/>
  <c r="G88" i="44" s="1"/>
  <c r="S25" i="51"/>
  <c r="S60" i="51" s="1" a="1"/>
  <c r="S60" i="51" s="1"/>
  <c r="I133" i="44" a="1"/>
  <c r="I133" i="44" s="1"/>
  <c r="J27" i="51"/>
  <c r="J16" i="51" s="1" a="1"/>
  <c r="J16" i="51" s="1"/>
  <c r="J102" i="44" a="1"/>
  <c r="J102" i="44" s="1"/>
  <c r="I55" i="51" a="1"/>
  <c r="I55" i="51" s="1"/>
  <c r="K55" i="51" a="1"/>
  <c r="K55" i="51" s="1"/>
  <c r="J55" i="51" a="1"/>
  <c r="J55" i="51" s="1"/>
  <c r="G55" i="51" a="1"/>
  <c r="G55" i="51" s="1"/>
  <c r="R55" i="51" a="1"/>
  <c r="R55" i="51" s="1"/>
  <c r="Q55" i="51" a="1"/>
  <c r="Q55" i="51" s="1"/>
  <c r="S55" i="51" a="1"/>
  <c r="S55" i="51" s="1"/>
  <c r="R23" i="51"/>
  <c r="E66" i="84" s="1"/>
  <c r="E68" i="84" s="1"/>
  <c r="R25" i="51"/>
  <c r="R14" i="51" s="1" a="1"/>
  <c r="R14" i="51" s="1"/>
  <c r="S23" i="51"/>
  <c r="S12" i="51" s="1" a="1"/>
  <c r="S12" i="51" s="1"/>
  <c r="S26" i="51"/>
  <c r="S15" i="51" s="1" a="1"/>
  <c r="S15" i="51" s="1"/>
  <c r="U23" i="51"/>
  <c r="U58" i="51" s="1" a="1"/>
  <c r="U58" i="51" s="1"/>
  <c r="G61" i="51" a="1"/>
  <c r="G61" i="51" s="1"/>
  <c r="Q61" i="51" a="1"/>
  <c r="Q61" i="51" s="1"/>
  <c r="I12" i="51" a="1"/>
  <c r="I12" i="51" s="1"/>
  <c r="Q10" i="51" a="1"/>
  <c r="Q10" i="51" s="1"/>
  <c r="K26" i="51"/>
  <c r="K15" i="51" s="1" a="1"/>
  <c r="K15" i="51" s="1"/>
  <c r="F11" i="77"/>
  <c r="H58" i="51" a="1"/>
  <c r="H58" i="51" s="1"/>
  <c r="H60" i="51" a="1"/>
  <c r="H60" i="51" s="1"/>
  <c r="K38" i="44"/>
  <c r="K39" i="44" s="1"/>
  <c r="K40" i="44" s="1" a="1"/>
  <c r="K40" i="44" s="1"/>
  <c r="K87" i="44"/>
  <c r="T25" i="51"/>
  <c r="G22" i="51"/>
  <c r="H47" i="51"/>
  <c r="Q9" i="51" a="1"/>
  <c r="Q9" i="51" s="1"/>
  <c r="G21" i="51"/>
  <c r="D66" i="83" s="1"/>
  <c r="I46" i="44"/>
  <c r="I47" i="44" s="1"/>
  <c r="I48" i="44" s="1" a="1"/>
  <c r="I48" i="44" s="1"/>
  <c r="H15" i="51" a="1"/>
  <c r="H15" i="51" s="1"/>
  <c r="H61" i="51" a="1"/>
  <c r="H61" i="51" s="1"/>
  <c r="H13" i="51" a="1"/>
  <c r="H13" i="51" s="1"/>
  <c r="G9" i="51" a="1"/>
  <c r="G9" i="51" s="1"/>
  <c r="J29" i="44"/>
  <c r="J30" i="44" s="1"/>
  <c r="J31" i="44" s="1" a="1"/>
  <c r="J31" i="44" s="1"/>
  <c r="S9" i="51" a="1"/>
  <c r="S9" i="51" s="1"/>
  <c r="R9" i="51" a="1"/>
  <c r="R9" i="51" s="1"/>
  <c r="Q46" i="51"/>
  <c r="I26" i="51"/>
  <c r="I9" i="51" a="1"/>
  <c r="I9" i="51" s="1"/>
  <c r="T26" i="51"/>
  <c r="J92" i="44" a="1"/>
  <c r="J92" i="44" s="1"/>
  <c r="J93" i="44" s="1"/>
  <c r="J9" i="51" a="1"/>
  <c r="J9" i="51" s="1"/>
  <c r="I16" i="51" a="1"/>
  <c r="I16" i="51" s="1"/>
  <c r="I62" i="51" a="1"/>
  <c r="I62" i="51" s="1"/>
  <c r="G50" i="51"/>
  <c r="Q13" i="51" a="1"/>
  <c r="Q13" i="51" s="1"/>
  <c r="G13" i="51" a="1"/>
  <c r="G13" i="51" s="1"/>
  <c r="U15" i="51" a="1"/>
  <c r="U15" i="51" s="1"/>
  <c r="U61" i="51" a="1"/>
  <c r="U61" i="51" s="1"/>
  <c r="J38" i="44"/>
  <c r="J39" i="44" s="1"/>
  <c r="J40" i="44" s="1" a="1"/>
  <c r="J40" i="44" s="1"/>
  <c r="K132" i="44"/>
  <c r="K133" i="44" s="1" a="1"/>
  <c r="K133" i="44" s="1"/>
  <c r="H21" i="44"/>
  <c r="H22" i="44" s="1"/>
  <c r="H23" i="44" s="1" a="1"/>
  <c r="H23" i="44" s="1"/>
  <c r="K13" i="51" a="1"/>
  <c r="K13" i="51" s="1"/>
  <c r="T12" i="51" a="1"/>
  <c r="T12" i="51" s="1"/>
  <c r="T58" i="51" a="1"/>
  <c r="T58" i="51" s="1"/>
  <c r="T13" i="51" a="1"/>
  <c r="T13" i="51" s="1"/>
  <c r="G51" i="51"/>
  <c r="U13" i="51" a="1"/>
  <c r="U13" i="51" s="1"/>
  <c r="H49" i="51"/>
  <c r="R26" i="51"/>
  <c r="I13" i="51" a="1"/>
  <c r="I13" i="51" s="1"/>
  <c r="H51" i="51"/>
  <c r="J58" i="51" a="1"/>
  <c r="J58" i="51" s="1"/>
  <c r="J12" i="51" a="1"/>
  <c r="J12" i="51" s="1"/>
  <c r="K12" i="51" a="1"/>
  <c r="K12" i="51" s="1"/>
  <c r="K58" i="51" a="1"/>
  <c r="K58" i="51" s="1"/>
  <c r="R13" i="51" a="1"/>
  <c r="R13" i="51" s="1"/>
  <c r="K9" i="51" a="1"/>
  <c r="K9" i="51" s="1"/>
  <c r="Q50" i="51"/>
  <c r="J85" i="44" a="1"/>
  <c r="J85" i="44" s="1"/>
  <c r="J86" i="44" s="1"/>
  <c r="Q25" i="51"/>
  <c r="K16" i="51" a="1"/>
  <c r="K16" i="51" s="1"/>
  <c r="K62" i="51" a="1"/>
  <c r="K62" i="51" s="1"/>
  <c r="I14" i="51" a="1"/>
  <c r="I14" i="51" s="1"/>
  <c r="I60" i="51" a="1"/>
  <c r="I60" i="51" s="1"/>
  <c r="G60" i="51" l="1" a="1"/>
  <c r="G60" i="51" s="1"/>
  <c r="E66" i="85"/>
  <c r="E68" i="85" s="1"/>
  <c r="D68" i="84"/>
  <c r="F66" i="85"/>
  <c r="F68" i="85" s="1"/>
  <c r="D68" i="85"/>
  <c r="F66" i="84"/>
  <c r="F68" i="84" s="1"/>
  <c r="D68" i="83"/>
  <c r="K41" i="85"/>
  <c r="J62" i="51" a="1"/>
  <c r="J62" i="51" s="1"/>
  <c r="S14" i="51" a="1"/>
  <c r="S14" i="51" s="1"/>
  <c r="S49" i="51" s="1"/>
  <c r="K25" i="51"/>
  <c r="K88" i="44" a="1"/>
  <c r="K88" i="44" s="1"/>
  <c r="F11" i="50"/>
  <c r="F15" i="50" s="1" a="1"/>
  <c r="F15" i="50" s="1"/>
  <c r="F12" i="50"/>
  <c r="F13" i="50"/>
  <c r="F17" i="50" s="1" a="1"/>
  <c r="F17" i="50" s="1"/>
  <c r="E12" i="50"/>
  <c r="E11" i="50"/>
  <c r="E15" i="50" s="1" a="1"/>
  <c r="E15" i="50" s="1"/>
  <c r="E13" i="50"/>
  <c r="E17" i="50" s="1" a="1"/>
  <c r="E17" i="50" s="1"/>
  <c r="R58" i="51" a="1"/>
  <c r="R58" i="51" s="1"/>
  <c r="R12" i="51" a="1"/>
  <c r="R12" i="51" s="1"/>
  <c r="R60" i="51" a="1"/>
  <c r="R60" i="51" s="1"/>
  <c r="S47" i="51"/>
  <c r="S50" i="51"/>
  <c r="S58" i="51" a="1"/>
  <c r="S58" i="51" s="1"/>
  <c r="U12" i="51" a="1"/>
  <c r="U12" i="51" s="1"/>
  <c r="S61" i="51" a="1"/>
  <c r="S61" i="51" s="1"/>
  <c r="K61" i="51" a="1"/>
  <c r="K61" i="51" s="1"/>
  <c r="I47" i="51"/>
  <c r="Q45" i="51"/>
  <c r="U20" i="51"/>
  <c r="I11" i="77"/>
  <c r="J87" i="44"/>
  <c r="J88" i="44" s="1" a="1"/>
  <c r="J88" i="44" s="1"/>
  <c r="J94" i="44"/>
  <c r="J95" i="44" s="1" a="1"/>
  <c r="J95" i="44" s="1"/>
  <c r="K51" i="51"/>
  <c r="Q60" i="51" a="1"/>
  <c r="Q60" i="51" s="1"/>
  <c r="Q14" i="51" a="1"/>
  <c r="Q14" i="51" s="1"/>
  <c r="K44" i="51"/>
  <c r="U48" i="51"/>
  <c r="U25" i="51"/>
  <c r="G48" i="51"/>
  <c r="J44" i="51"/>
  <c r="H48" i="51"/>
  <c r="J51" i="51"/>
  <c r="G49" i="51"/>
  <c r="K47" i="51"/>
  <c r="T47" i="51"/>
  <c r="K48" i="51"/>
  <c r="T20" i="51"/>
  <c r="I51" i="51"/>
  <c r="S44" i="51"/>
  <c r="G44" i="51"/>
  <c r="S24" i="51"/>
  <c r="S59" i="51" s="1" a="1"/>
  <c r="S59" i="51" s="1"/>
  <c r="Q44" i="51"/>
  <c r="R48" i="51"/>
  <c r="R49" i="51"/>
  <c r="R15" i="51" a="1"/>
  <c r="R15" i="51" s="1"/>
  <c r="R61" i="51" a="1"/>
  <c r="R61" i="51" s="1"/>
  <c r="U50" i="51"/>
  <c r="Q48" i="51"/>
  <c r="K50" i="51"/>
  <c r="R44" i="51"/>
  <c r="H50" i="51"/>
  <c r="G56" i="51" a="1"/>
  <c r="G56" i="51" s="1"/>
  <c r="G10" i="51" a="1"/>
  <c r="G10" i="51" s="1"/>
  <c r="G57" i="51" a="1"/>
  <c r="G57" i="51" s="1"/>
  <c r="G11" i="51" a="1"/>
  <c r="G11" i="51" s="1"/>
  <c r="T14" i="51" a="1"/>
  <c r="T14" i="51" s="1"/>
  <c r="T60" i="51" a="1"/>
  <c r="T60" i="51" s="1"/>
  <c r="I49" i="51"/>
  <c r="J47" i="51"/>
  <c r="I48" i="51"/>
  <c r="T48" i="51"/>
  <c r="H20" i="51"/>
  <c r="E66" i="83" s="1"/>
  <c r="E68" i="83" s="1"/>
  <c r="K14" i="51" a="1"/>
  <c r="K14" i="51" s="1"/>
  <c r="K60" i="51" a="1"/>
  <c r="K60" i="51" s="1"/>
  <c r="T15" i="51" a="1"/>
  <c r="T15" i="51" s="1"/>
  <c r="T61" i="51" a="1"/>
  <c r="T61" i="51" s="1"/>
  <c r="I44" i="51"/>
  <c r="I15" i="51" a="1"/>
  <c r="I15" i="51" s="1"/>
  <c r="I61" i="51" a="1"/>
  <c r="I61" i="51" s="1"/>
  <c r="J24" i="51"/>
  <c r="J59" i="51" s="1" a="1"/>
  <c r="J59" i="51" s="1"/>
  <c r="G66" i="85" l="1"/>
  <c r="G66" i="84"/>
  <c r="G68" i="84" s="1"/>
  <c r="F3" i="83"/>
  <c r="H66" i="84"/>
  <c r="H68" i="84" s="1"/>
  <c r="H66" i="85"/>
  <c r="H68" i="85" s="1"/>
  <c r="I66" i="83"/>
  <c r="I13" i="50"/>
  <c r="I17" i="50" s="1" a="1"/>
  <c r="I17" i="50" s="1"/>
  <c r="E16" i="50" a="1"/>
  <c r="E16" i="50" s="1"/>
  <c r="N13" i="50"/>
  <c r="N17" i="50" s="1" a="1"/>
  <c r="N17" i="50" s="1"/>
  <c r="M13" i="50"/>
  <c r="M17" i="50" s="1" a="1"/>
  <c r="M17" i="50" s="1"/>
  <c r="F16" i="50" a="1"/>
  <c r="F16" i="50" s="1"/>
  <c r="G12" i="50"/>
  <c r="H55" i="51" a="1"/>
  <c r="H55" i="51" s="1"/>
  <c r="T55" i="51" a="1"/>
  <c r="T55" i="51" s="1"/>
  <c r="U55" i="51" a="1"/>
  <c r="U55" i="51" s="1"/>
  <c r="P13" i="50"/>
  <c r="P17" i="50" s="1" a="1"/>
  <c r="P17" i="50" s="1"/>
  <c r="I11" i="50"/>
  <c r="I15" i="50" s="1" a="1"/>
  <c r="I15" i="50" s="1"/>
  <c r="N12" i="50"/>
  <c r="P11" i="50"/>
  <c r="P15" i="50" s="1" a="1"/>
  <c r="P15" i="50" s="1"/>
  <c r="G13" i="50"/>
  <c r="G17" i="50" s="1" a="1"/>
  <c r="G17" i="50" s="1"/>
  <c r="N11" i="50"/>
  <c r="N15" i="50" s="1" a="1"/>
  <c r="N15" i="50" s="1"/>
  <c r="I12" i="50"/>
  <c r="P12" i="50"/>
  <c r="G11" i="50"/>
  <c r="G15" i="50" s="1" a="1"/>
  <c r="G15" i="50" s="1"/>
  <c r="M11" i="50"/>
  <c r="M15" i="50" s="1" a="1"/>
  <c r="M15" i="50" s="1"/>
  <c r="M12" i="50"/>
  <c r="R47" i="51"/>
  <c r="U47" i="51"/>
  <c r="U9" i="51" a="1"/>
  <c r="U9" i="51" s="1"/>
  <c r="J25" i="51"/>
  <c r="J14" i="51" s="1" a="1"/>
  <c r="J14" i="51" s="1"/>
  <c r="J11" i="77"/>
  <c r="L11" i="77" s="1"/>
  <c r="L11" i="78"/>
  <c r="J26" i="51"/>
  <c r="J15" i="51" s="1" a="1"/>
  <c r="J15" i="51" s="1"/>
  <c r="D3" i="44"/>
  <c r="I50" i="51"/>
  <c r="T50" i="51"/>
  <c r="H9" i="51" a="1"/>
  <c r="H9" i="51" s="1"/>
  <c r="G46" i="51"/>
  <c r="R50" i="51"/>
  <c r="F37" i="50"/>
  <c r="J13" i="51" a="1"/>
  <c r="J13" i="51" s="1"/>
  <c r="K49" i="51"/>
  <c r="T49" i="51"/>
  <c r="F38" i="50"/>
  <c r="F36" i="50"/>
  <c r="E37" i="50"/>
  <c r="Q49" i="51"/>
  <c r="E38" i="50"/>
  <c r="G45" i="51"/>
  <c r="S13" i="51" a="1"/>
  <c r="S13" i="51" s="1"/>
  <c r="T9" i="51" a="1"/>
  <c r="T9" i="51" s="1"/>
  <c r="E36" i="50"/>
  <c r="U14" i="51" a="1"/>
  <c r="U14" i="51" s="1"/>
  <c r="U60" i="51" a="1"/>
  <c r="U60" i="51" s="1"/>
  <c r="F3" i="84" l="1"/>
  <c r="I66" i="84"/>
  <c r="K36" i="83"/>
  <c r="I68" i="83"/>
  <c r="G68" i="85"/>
  <c r="F3" i="85" s="1"/>
  <c r="I66" i="85"/>
  <c r="G16" i="50" a="1"/>
  <c r="G16" i="50" s="1"/>
  <c r="P16" i="50" a="1"/>
  <c r="P16" i="50" s="1"/>
  <c r="I16" i="50" a="1"/>
  <c r="I16" i="50" s="1"/>
  <c r="M16" i="50" a="1"/>
  <c r="M16" i="50" s="1"/>
  <c r="N16" i="50" a="1"/>
  <c r="N16" i="50" s="1"/>
  <c r="H11" i="50"/>
  <c r="H15" i="50" s="1" a="1"/>
  <c r="H15" i="50" s="1"/>
  <c r="H13" i="50"/>
  <c r="H17" i="50" s="1" a="1"/>
  <c r="H17" i="50" s="1"/>
  <c r="H12" i="50"/>
  <c r="Q11" i="50"/>
  <c r="Q15" i="50" s="1" a="1"/>
  <c r="Q15" i="50" s="1"/>
  <c r="Q12" i="50"/>
  <c r="Q13" i="50"/>
  <c r="Q17" i="50" s="1" a="1"/>
  <c r="Q17" i="50" s="1"/>
  <c r="O12" i="50"/>
  <c r="O11" i="50"/>
  <c r="O15" i="50" s="1" a="1"/>
  <c r="O15" i="50" s="1"/>
  <c r="O13" i="50"/>
  <c r="O17" i="50" s="1" a="1"/>
  <c r="O17" i="50" s="1"/>
  <c r="P36" i="50"/>
  <c r="M36" i="50"/>
  <c r="M37" i="50"/>
  <c r="U44" i="51"/>
  <c r="J60" i="51" a="1"/>
  <c r="J60" i="51" s="1"/>
  <c r="G36" i="50"/>
  <c r="M38" i="50"/>
  <c r="J61" i="51" a="1"/>
  <c r="J61" i="51" s="1"/>
  <c r="P37" i="50"/>
  <c r="J48" i="51"/>
  <c r="H44" i="51"/>
  <c r="I36" i="50"/>
  <c r="S48" i="51"/>
  <c r="I38" i="50"/>
  <c r="N36" i="50"/>
  <c r="N38" i="50"/>
  <c r="J50" i="51"/>
  <c r="P38" i="50"/>
  <c r="G37" i="50"/>
  <c r="T44" i="51"/>
  <c r="J49" i="51"/>
  <c r="U49" i="51"/>
  <c r="I37" i="50"/>
  <c r="N37" i="50"/>
  <c r="G38" i="50"/>
  <c r="K36" i="85" l="1"/>
  <c r="I68" i="85"/>
  <c r="K39" i="83"/>
  <c r="E39" i="83"/>
  <c r="K40" i="83"/>
  <c r="M41" i="83" s="1"/>
  <c r="D39" i="83"/>
  <c r="F39" i="83"/>
  <c r="H39" i="83"/>
  <c r="G39" i="83"/>
  <c r="I39" i="83"/>
  <c r="M36" i="83"/>
  <c r="G3" i="83" s="1"/>
  <c r="J39" i="83"/>
  <c r="K36" i="84"/>
  <c r="I68" i="84"/>
  <c r="O16" i="50" a="1"/>
  <c r="O16" i="50" s="1"/>
  <c r="Q16" i="50" a="1"/>
  <c r="Q16" i="50" s="1"/>
  <c r="H16" i="50" a="1"/>
  <c r="H16" i="50" s="1"/>
  <c r="F3" i="51"/>
  <c r="O37" i="50"/>
  <c r="H36" i="50"/>
  <c r="Q37" i="50"/>
  <c r="O36" i="50"/>
  <c r="H38" i="50"/>
  <c r="Q38" i="50"/>
  <c r="Q36" i="50"/>
  <c r="O38" i="50"/>
  <c r="H37" i="50"/>
  <c r="F39" i="84" l="1"/>
  <c r="K39" i="84"/>
  <c r="E39" i="84"/>
  <c r="K40" i="84"/>
  <c r="M41" i="84" s="1"/>
  <c r="D39" i="84"/>
  <c r="H39" i="84"/>
  <c r="M36" i="84"/>
  <c r="G3" i="84" s="1"/>
  <c r="J39" i="84"/>
  <c r="G39" i="84"/>
  <c r="I39" i="84"/>
  <c r="M36" i="85"/>
  <c r="G3" i="85" s="1"/>
  <c r="K39" i="85"/>
  <c r="E39" i="85"/>
  <c r="K40" i="85"/>
  <c r="M41" i="85" s="1"/>
  <c r="D39" i="85"/>
  <c r="F39" i="85"/>
  <c r="H39" i="85"/>
  <c r="G39" i="85"/>
  <c r="I39" i="85"/>
  <c r="J39" i="85"/>
  <c r="G3" i="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9785F8-8E6C-42C1-8B54-7D2A2D9AD5A4}" keepAlive="1" name="Query - VDOdecisions" description="Connection to the 'VDOdecisions' query in the workbook." type="5" refreshedVersion="6" background="1" saveData="1">
    <dbPr connection="Provider=Microsoft.Mashup.OleDb.1;Data Source=$Workbook$;Location=VDOdecisions;Extended Properties=&quot;&quot;" command="SELECT * FROM [VDOdecision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<sst xmlns="http://schemas.openxmlformats.org/spreadsheetml/2006/main" count="7535" uniqueCount="571">
  <si>
    <t>VDO calculation model</t>
  </si>
  <si>
    <t>Essential Services Commission</t>
  </si>
  <si>
    <t>Disclaimer, copyright &amp; terms and conditions of use
The VDO Price Determination model (model) does not constitute a decision or determination by the Essential Services Commission (commission). The model has been designed by the commission to enable it to calculate the tariffs a retailer may charge prescribed customers under a standing offer.
Limited access to this model is made available to third parties (users) for information purposes only and for the sole purpose of illustrating the modelling framework used by the commission to calculate the VDO tariffs.  The commission gives no warranty and makes no representation as to the accuracy, reliability, timeliness or other features of the data contained in the model for use other than calculation by the commission of the VDO tariffs.
Copyright and all other intellectual property rights in the model vests with the commission.  The commission hereby permits a user to view the model, download and use the model, and display and print the model from the commission’s website only in unaltered form, for the purposes of internal study, research, criticism or review by the user only, provided the user acknowledges the source of the model or any parts of the model.
A user must not disrupt, modify or interfere with the model, or alter or tamper with any information or material in or associated with the model, or gain or attempt to gain unauthorized access to secure parts of the model.  A user must not make the model available to a third party and must direct a third party to access the model directly from the commission’s website.
By viewing, downloading, using, displaying or printing the model or parts of the model, you agree to be bound by the disclaimer, copyright provisions and these terms and conditions of use. 
Note:  If you have obtained the model otherwise than by downloading it from the commission’s website, the model may have been modified by a previous user. The commission accepts no liability in relation to modifications made by any user.</t>
  </si>
  <si>
    <t>Contents</t>
  </si>
  <si>
    <t>Name</t>
  </si>
  <si>
    <t>Link</t>
  </si>
  <si>
    <t>Description</t>
  </si>
  <si>
    <t>-</t>
  </si>
  <si>
    <t>User guide</t>
  </si>
  <si>
    <t>Instructions for model operation.</t>
  </si>
  <si>
    <t>Information</t>
  </si>
  <si>
    <t>Sources</t>
  </si>
  <si>
    <t>General assumptions</t>
  </si>
  <si>
    <t>Assumptions and constants used in the model.</t>
  </si>
  <si>
    <t>Checks</t>
  </si>
  <si>
    <t>Worksheet description:</t>
  </si>
  <si>
    <t>[Please provide a description of what this sheet does and any specific details or other notes the user needs to know]</t>
  </si>
  <si>
    <t>User Guide</t>
  </si>
  <si>
    <t>Section/Item notes (where necessary)</t>
  </si>
  <si>
    <t>Model Structure</t>
  </si>
  <si>
    <t>Calculation methodology</t>
  </si>
  <si>
    <t>Calculated rates and prices</t>
  </si>
  <si>
    <t>True up costs and rates</t>
  </si>
  <si>
    <t>Annual bills</t>
  </si>
  <si>
    <t>Worksheets</t>
  </si>
  <si>
    <t>Inupts and assumptions</t>
  </si>
  <si>
    <t>Cost calculations</t>
  </si>
  <si>
    <t>Output and summary</t>
  </si>
  <si>
    <t>Supporting information</t>
  </si>
  <si>
    <t>Source documentation - calculation inputs</t>
  </si>
  <si>
    <t>Year</t>
  </si>
  <si>
    <t>VDO decision</t>
  </si>
  <si>
    <t>Cost element</t>
  </si>
  <si>
    <t>Cost item</t>
  </si>
  <si>
    <t>F-CurrentVDO_Input</t>
  </si>
  <si>
    <t>VD-CurrentVDO_Input</t>
  </si>
  <si>
    <t>VF-CurrentVDO_Input</t>
  </si>
  <si>
    <t>D-NextVDO_Input</t>
  </si>
  <si>
    <t>F-NextVDO_Input</t>
  </si>
  <si>
    <t>NA</t>
  </si>
  <si>
    <t>NEW</t>
  </si>
  <si>
    <t>Profile name</t>
  </si>
  <si>
    <t>Usage type</t>
  </si>
  <si>
    <t>Calc_Rates</t>
  </si>
  <si>
    <t>Calc_TU_rates</t>
  </si>
  <si>
    <t>OP_Rates</t>
  </si>
  <si>
    <t>Inputs</t>
  </si>
  <si>
    <t>General Assumptions</t>
  </si>
  <si>
    <t>CPI</t>
  </si>
  <si>
    <t>Calc_TU_values</t>
  </si>
  <si>
    <t>OP_CMAB</t>
  </si>
  <si>
    <t>Date</t>
  </si>
  <si>
    <t>Checks:</t>
  </si>
  <si>
    <t>VDO residential rates</t>
  </si>
  <si>
    <t>VDO small business rates</t>
  </si>
  <si>
    <t>Rate name</t>
  </si>
  <si>
    <t>Unit</t>
  </si>
  <si>
    <t>Customer type</t>
  </si>
  <si>
    <t>Ausnet</t>
  </si>
  <si>
    <t>Citipower</t>
  </si>
  <si>
    <t>Jemena</t>
  </si>
  <si>
    <t>Powercor</t>
  </si>
  <si>
    <t>United Energy</t>
  </si>
  <si>
    <t>Anytime - supply</t>
  </si>
  <si>
    <t>$</t>
  </si>
  <si>
    <t>Residential</t>
  </si>
  <si>
    <t>Small business</t>
  </si>
  <si>
    <t>Block 1</t>
  </si>
  <si>
    <t>$/kWh</t>
  </si>
  <si>
    <t>Balance</t>
  </si>
  <si>
    <t>Single rate</t>
  </si>
  <si>
    <t>TOU - supply</t>
  </si>
  <si>
    <t>Peak</t>
  </si>
  <si>
    <t>Off peak</t>
  </si>
  <si>
    <t>Controlled load</t>
  </si>
  <si>
    <t>Residential calculated rate</t>
  </si>
  <si>
    <t>Small business calculated rate</t>
  </si>
  <si>
    <t>Residential True Up</t>
  </si>
  <si>
    <t>Small business True Up</t>
  </si>
  <si>
    <t>Anytime</t>
  </si>
  <si>
    <t>Network</t>
  </si>
  <si>
    <t>TOU</t>
  </si>
  <si>
    <t>Environmental</t>
  </si>
  <si>
    <t>Rate checks:</t>
  </si>
  <si>
    <t>Calculation</t>
  </si>
  <si>
    <t>VDO 2022-23 - Final</t>
  </si>
  <si>
    <t>Rates</t>
  </si>
  <si>
    <t>Fixed costs</t>
  </si>
  <si>
    <t>Fixed/Variable</t>
  </si>
  <si>
    <t>Retail</t>
  </si>
  <si>
    <t>Fixed</t>
  </si>
  <si>
    <t>All</t>
  </si>
  <si>
    <t>Other</t>
  </si>
  <si>
    <t>Solar (FiT)</t>
  </si>
  <si>
    <t>Metering</t>
  </si>
  <si>
    <t>Residential charges - daily supply</t>
  </si>
  <si>
    <t>Network charge</t>
  </si>
  <si>
    <t>Retail operating margin</t>
  </si>
  <si>
    <t>GST</t>
  </si>
  <si>
    <t>Total fixed costs</t>
  </si>
  <si>
    <t>Small business charges - daily supply</t>
  </si>
  <si>
    <t>Variable costs</t>
  </si>
  <si>
    <t>Environmental programs</t>
  </si>
  <si>
    <t>Variable</t>
  </si>
  <si>
    <t>Wholesale cost</t>
  </si>
  <si>
    <t>Network losses</t>
  </si>
  <si>
    <t>Residential charges - usage</t>
  </si>
  <si>
    <t>Anytime usage</t>
  </si>
  <si>
    <t>TOU usage</t>
  </si>
  <si>
    <t>Small business charges - usage</t>
  </si>
  <si>
    <t>Non cost items</t>
  </si>
  <si>
    <t>Indice at VDO decision</t>
  </si>
  <si>
    <t>Adjust?</t>
  </si>
  <si>
    <t>CPI increase</t>
  </si>
  <si>
    <t>CPI uplift factor</t>
  </si>
  <si>
    <t>Retail operating cost - base</t>
  </si>
  <si>
    <t>Retail operating cost - consumer data right allowance</t>
  </si>
  <si>
    <t xml:space="preserve"> </t>
  </si>
  <si>
    <t>Customer acquisition and retention cost</t>
  </si>
  <si>
    <t>Feed-in tariff (FiT)</t>
  </si>
  <si>
    <t>ESC licence fees</t>
  </si>
  <si>
    <t>Yes</t>
  </si>
  <si>
    <t>Energy Consumers Australia</t>
  </si>
  <si>
    <t>Full retail competition (FRC) operations</t>
  </si>
  <si>
    <t>General NEM fees</t>
  </si>
  <si>
    <t>IT upgrade and 5MS/GS compliance</t>
  </si>
  <si>
    <t>Distributed Energy Resources Integration Program (DER)</t>
  </si>
  <si>
    <t>Marginal loss factor</t>
  </si>
  <si>
    <t>%</t>
  </si>
  <si>
    <t>Distribution loss factor</t>
  </si>
  <si>
    <t>Total loss factor</t>
  </si>
  <si>
    <t>Retail costs</t>
  </si>
  <si>
    <t>Retail operating cost</t>
  </si>
  <si>
    <t>Reliability and emergency reserve trader (RERT)</t>
  </si>
  <si>
    <t>$/week</t>
  </si>
  <si>
    <t>National transmission planner</t>
  </si>
  <si>
    <t>Ancillary services</t>
  </si>
  <si>
    <t>Fixed network charges</t>
  </si>
  <si>
    <t>$/year</t>
  </si>
  <si>
    <t>Variable network charges</t>
  </si>
  <si>
    <t>Wholesale</t>
  </si>
  <si>
    <t>Residential wholesale</t>
  </si>
  <si>
    <t>Price - RES</t>
  </si>
  <si>
    <t>Volatility - RES</t>
  </si>
  <si>
    <t>Small business wholesale</t>
  </si>
  <si>
    <t>Price - SME</t>
  </si>
  <si>
    <t>Volatility - SME</t>
  </si>
  <si>
    <t>Environmental &amp; Solar</t>
  </si>
  <si>
    <t>Victorian Energy Upgrades (VEU)</t>
  </si>
  <si>
    <t>Victorian energy upgrades (VEU) - Price</t>
  </si>
  <si>
    <t>$/certificate</t>
  </si>
  <si>
    <t>Victorian energy upgrades (VEU) - Liability</t>
  </si>
  <si>
    <t>%/year</t>
  </si>
  <si>
    <t>VEU cost</t>
  </si>
  <si>
    <t>Large-scale Renewable Energy Target (LRET)</t>
  </si>
  <si>
    <t>Large-scale renewable energy target (LRET) - Price</t>
  </si>
  <si>
    <t>Large-scale renewable energy target (LRET) - Liability</t>
  </si>
  <si>
    <t>LRET cost</t>
  </si>
  <si>
    <t>Small-scale Renewable Energy Scheme (SRES)</t>
  </si>
  <si>
    <t>Small-scale renewable energy scheme (SRES) - Price</t>
  </si>
  <si>
    <t>Small-scale renewable energy scheme (SRES) - Liability</t>
  </si>
  <si>
    <t>SRES cost</t>
  </si>
  <si>
    <t>Feed-in Tariff (FiT)</t>
  </si>
  <si>
    <t>VDO 2022 - Final</t>
  </si>
  <si>
    <t>Compliant Maximum Annual Bill (CMAB)</t>
  </si>
  <si>
    <t>Usage profile</t>
  </si>
  <si>
    <t>Residential - small</t>
  </si>
  <si>
    <t>Small business - small</t>
  </si>
  <si>
    <t>Residential - medium</t>
  </si>
  <si>
    <t>Small business - medium</t>
  </si>
  <si>
    <t>Residential - large</t>
  </si>
  <si>
    <t>Small business - large</t>
  </si>
  <si>
    <t>Percentage change</t>
  </si>
  <si>
    <t>True up</t>
  </si>
  <si>
    <t>Environmental costs</t>
  </si>
  <si>
    <t>Actual time period, months</t>
  </si>
  <si>
    <t>VIC avg</t>
  </si>
  <si>
    <t>Proportion of annual</t>
  </si>
  <si>
    <t>LRET True up</t>
  </si>
  <si>
    <t>$/MWh</t>
  </si>
  <si>
    <t>WACC adjustment</t>
  </si>
  <si>
    <t>No</t>
  </si>
  <si>
    <t>SRES True up</t>
  </si>
  <si>
    <t>Adjusted WACC</t>
  </si>
  <si>
    <t>VEU True up</t>
  </si>
  <si>
    <t>Calc_TUV_Env_1</t>
  </si>
  <si>
    <t>Decision/Actual</t>
  </si>
  <si>
    <t>Decision ref</t>
  </si>
  <si>
    <t>Pass through (Yes/No)</t>
  </si>
  <si>
    <t>Large-scale renewable energy target (LRET)</t>
  </si>
  <si>
    <t>Actual</t>
  </si>
  <si>
    <t>Cost</t>
  </si>
  <si>
    <t>Decision</t>
  </si>
  <si>
    <t>Difference</t>
  </si>
  <si>
    <t>Network loss adjustment</t>
  </si>
  <si>
    <t>Profit margin adjustment</t>
  </si>
  <si>
    <t>GST adjustment</t>
  </si>
  <si>
    <t>Small-scale renewable energy scheme (SRES)</t>
  </si>
  <si>
    <t>Victorian energy upgrades (VEU)</t>
  </si>
  <si>
    <t>Network costs</t>
  </si>
  <si>
    <t>Time period, decision/actual</t>
  </si>
  <si>
    <t>AVG per month</t>
  </si>
  <si>
    <t>Anytime - Residential</t>
  </si>
  <si>
    <t>Anytime - Small business</t>
  </si>
  <si>
    <t>TOU - Residential</t>
  </si>
  <si>
    <t>TOU - Small business</t>
  </si>
  <si>
    <t>1 month impact (TOU)</t>
  </si>
  <si>
    <t>Network true up cost start date</t>
  </si>
  <si>
    <t>Network true up cost end date</t>
  </si>
  <si>
    <t>Cost recovery days</t>
  </si>
  <si>
    <t>TUNet_Usage_Actual_1</t>
  </si>
  <si>
    <t>Value</t>
  </si>
  <si>
    <t>Total usage</t>
  </si>
  <si>
    <t>Total customers</t>
  </si>
  <si>
    <t>Usage per customer</t>
  </si>
  <si>
    <t>CL usage - True up proportion</t>
  </si>
  <si>
    <t>TUNet_Usage_PerRate_1</t>
  </si>
  <si>
    <t>Usage per customer - Block 1</t>
  </si>
  <si>
    <t>Usage per customer - Balance</t>
  </si>
  <si>
    <t>Usage per customer - Single rate</t>
  </si>
  <si>
    <t>Calc_TUV_Net_1</t>
  </si>
  <si>
    <t>Anytime - supply cost - residential</t>
  </si>
  <si>
    <t>Anytime - supply charge - RES</t>
  </si>
  <si>
    <t>Anytime - supply cost true up</t>
  </si>
  <si>
    <t>Anytime - usage cost - residential</t>
  </si>
  <si>
    <t>Anytime - Block 1 - RES</t>
  </si>
  <si>
    <t>c/kWh</t>
  </si>
  <si>
    <t>Anytime - Balance - RES</t>
  </si>
  <si>
    <t>Anytime - Single rate - RES</t>
  </si>
  <si>
    <t>Anytime - usage cost true up</t>
  </si>
  <si>
    <t>Controlled load cost - residential</t>
  </si>
  <si>
    <t>Controlled load - RES</t>
  </si>
  <si>
    <t>Controlled load - usage cost true up</t>
  </si>
  <si>
    <t>Anytime - supply cost - small business</t>
  </si>
  <si>
    <t>Anytime - supply charge - SME</t>
  </si>
  <si>
    <t>Anytime - usage cost - small business</t>
  </si>
  <si>
    <t>Anytime - Block 1 - SME</t>
  </si>
  <si>
    <t>Anytime - Balance - SME</t>
  </si>
  <si>
    <t>Anytime - Single rate - SME</t>
  </si>
  <si>
    <t>TOU - supply cost - residential</t>
  </si>
  <si>
    <t>TOU - supply charge - RES</t>
  </si>
  <si>
    <t>TOU - supply cost true up</t>
  </si>
  <si>
    <t>TOU - usage cost - residential</t>
  </si>
  <si>
    <t>TOU - Peak - RES</t>
  </si>
  <si>
    <t>TOU - Off peak - RES</t>
  </si>
  <si>
    <t>TOU - usage cost true up</t>
  </si>
  <si>
    <t>TOU - supply cost - small business</t>
  </si>
  <si>
    <t>TOU - supply charge - SME</t>
  </si>
  <si>
    <t>TOU - usage cost - small business</t>
  </si>
  <si>
    <t>TOU - Peak - SME</t>
  </si>
  <si>
    <t>TOU - Off peak - SME</t>
  </si>
  <si>
    <t>Calc_TUV_Env_2</t>
  </si>
  <si>
    <t>TUNet_Usage_Actual_2</t>
  </si>
  <si>
    <t>TUNet_Usage_PerRate_2</t>
  </si>
  <si>
    <t>Calc_TUV_Net_2</t>
  </si>
  <si>
    <t>True up rate calculation</t>
  </si>
  <si>
    <t>Network true up rates</t>
  </si>
  <si>
    <t>Network true up values per customers - Calc_TUV_NetGroup_1</t>
  </si>
  <si>
    <t>Network true up rate start date</t>
  </si>
  <si>
    <t>Network true up rate end date</t>
  </si>
  <si>
    <t>Network true up rates per customer per day - Calc_TUR_Net_1</t>
  </si>
  <si>
    <t>Rate type</t>
  </si>
  <si>
    <t>Porportion of annual usage</t>
  </si>
  <si>
    <t>Cost recovery kWh</t>
  </si>
  <si>
    <t>Proportion of CL usage</t>
  </si>
  <si>
    <t>Cost recovery CL kWh</t>
  </si>
  <si>
    <t>Network true up rates per customer per kWh - Calc_TUR_NetCL_2</t>
  </si>
  <si>
    <t>Environmental true up rates</t>
  </si>
  <si>
    <t>Calc_TUV_EnvGroup_1</t>
  </si>
  <si>
    <t>Period (days)</t>
  </si>
  <si>
    <t>Decision period multiplier</t>
  </si>
  <si>
    <t>Calc_TUR_Env_1</t>
  </si>
  <si>
    <t>LRET true up</t>
  </si>
  <si>
    <t>SRES true up</t>
  </si>
  <si>
    <t>VEU true up</t>
  </si>
  <si>
    <t>Network true up values per customers - Calc_TUV_NetGroup_2</t>
  </si>
  <si>
    <t>Network true up rates per customer per day - Calc_TUR_Net_2</t>
  </si>
  <si>
    <t>Network true ups - checks</t>
  </si>
  <si>
    <t>Environmental true up values</t>
  </si>
  <si>
    <t>Environmental variable rate true ups</t>
  </si>
  <si>
    <t>Environmental true ups - checks</t>
  </si>
  <si>
    <t>This worksheet contains all inputs used for calculating the VDO cost stacks.</t>
  </si>
  <si>
    <t>Cost stack inputs</t>
  </si>
  <si>
    <t>2022-23</t>
  </si>
  <si>
    <t>Input_ForRateCalc</t>
  </si>
  <si>
    <t>F-PreviousVDO_InputDate</t>
  </si>
  <si>
    <t>F-PreviousVDO_Input</t>
  </si>
  <si>
    <t>VD-PreviousVDO_InputDate</t>
  </si>
  <si>
    <t>VD-PreviousVDO_Input</t>
  </si>
  <si>
    <t>VF-PreviousVDO_InputDate</t>
  </si>
  <si>
    <t>VF-PreviousVDO_Input</t>
  </si>
  <si>
    <t>D-CurrentVDO_Input</t>
  </si>
  <si>
    <t>D-NextVDO_InputDate</t>
  </si>
  <si>
    <t>F-NextVDO_InputDate</t>
  </si>
  <si>
    <t>Retail operating cost - regulatory cost allowance</t>
  </si>
  <si>
    <t>Retail operating cost - 5 min settlement allowance</t>
  </si>
  <si>
    <t>Retail operating cost - bad debt allowance</t>
  </si>
  <si>
    <t>Solar</t>
  </si>
  <si>
    <t>Metering - Ausnet</t>
  </si>
  <si>
    <t>Metering - Citipower</t>
  </si>
  <si>
    <t>Metering - Jemena</t>
  </si>
  <si>
    <t>Metering - Powercor</t>
  </si>
  <si>
    <t>Metering - United Energy</t>
  </si>
  <si>
    <t>Anytime - supply charge - RES - Ausnet</t>
  </si>
  <si>
    <t>Anytime - supply charge - RES - Citipower</t>
  </si>
  <si>
    <t>Anytime - supply charge - RES - Jemena</t>
  </si>
  <si>
    <t>Anytime - supply charge - RES - Powercor</t>
  </si>
  <si>
    <t>Anytime - supply charge - RES - United Energy</t>
  </si>
  <si>
    <t>Anytime - supply charge - SME - Ausnet</t>
  </si>
  <si>
    <t>Anytime - supply charge - SME - Citipower</t>
  </si>
  <si>
    <t>Anytime - supply charge - SME - Jemena</t>
  </si>
  <si>
    <t>Anytime - supply charge - SME - Powercor</t>
  </si>
  <si>
    <t>Anytime - supply charge - SME - United Energy</t>
  </si>
  <si>
    <t>TOU - supply charge - RES - Ausnet</t>
  </si>
  <si>
    <t>TOU - supply charge - RES - Citipower</t>
  </si>
  <si>
    <t>TOU - supply charge - RES - Jemena</t>
  </si>
  <si>
    <t>TOU - supply charge - RES - Powercor</t>
  </si>
  <si>
    <t>TOU - supply charge - RES - United Energy</t>
  </si>
  <si>
    <t>TOU - supply charge - SME - Ausnet</t>
  </si>
  <si>
    <t>TOU - supply charge - SME - Citipower</t>
  </si>
  <si>
    <t>TOU - supply charge - SME - Jemena</t>
  </si>
  <si>
    <t>TOU - supply charge - SME - Powercor</t>
  </si>
  <si>
    <t>TOU - supply charge - SME - United Energy</t>
  </si>
  <si>
    <t>Price - RES - Ausnet</t>
  </si>
  <si>
    <t>Price - RES - Citipower</t>
  </si>
  <si>
    <t>Price - RES - Jemena</t>
  </si>
  <si>
    <t>Price - RES - Powercor</t>
  </si>
  <si>
    <t>Price - RES - United Energy</t>
  </si>
  <si>
    <t>Volatility - RES - Ausnet</t>
  </si>
  <si>
    <t>Volatility - RES - Citipower</t>
  </si>
  <si>
    <t>Volatility - RES - Jemena</t>
  </si>
  <si>
    <t>Volatility - RES - Powercor</t>
  </si>
  <si>
    <t>Volatility - RES - United Energy</t>
  </si>
  <si>
    <t>Price - SME - Ausnet</t>
  </si>
  <si>
    <t>Price - SME - Citipower</t>
  </si>
  <si>
    <t>Price - SME - Jemena</t>
  </si>
  <si>
    <t>Price - SME - Powercor</t>
  </si>
  <si>
    <t>Price - SME - United Energy</t>
  </si>
  <si>
    <t>Volatility - SME - Ausnet</t>
  </si>
  <si>
    <t>Volatility - SME - Citipower</t>
  </si>
  <si>
    <t>Volatility - SME - Jemena</t>
  </si>
  <si>
    <t>Volatility - SME - Powercor</t>
  </si>
  <si>
    <t>Volatility - SME - United Energy</t>
  </si>
  <si>
    <t>Large-scale renewable energy target (LRET) - Liability true up (2021 only)</t>
  </si>
  <si>
    <t>Small-scale renewable energy scheme (SRES) - Liability true up (2021 only)</t>
  </si>
  <si>
    <t>Full retail competition (FRC) operations (OBSOLETE)</t>
  </si>
  <si>
    <t>Anytime - Block 1 - RES - Ausnet</t>
  </si>
  <si>
    <t>Anytime - Balance - RES - Ausnet</t>
  </si>
  <si>
    <t>Anytime - Single rate - RES - Citipower</t>
  </si>
  <si>
    <t>Anytime - Single rate - RES - Jemena</t>
  </si>
  <si>
    <t>Anytime - Single rate - RES - Powercor</t>
  </si>
  <si>
    <t>Anytime - Single rate - RES - United Energy</t>
  </si>
  <si>
    <t>Anytime - Block 1 - SME - Ausnet</t>
  </si>
  <si>
    <t>Anytime - Balance - SME - Ausnet</t>
  </si>
  <si>
    <t>Anytime - Single rate - SME - Citipower</t>
  </si>
  <si>
    <t>Anytime - Single rate - SME - Jemena</t>
  </si>
  <si>
    <t>Anytime - Single rate - SME - Powercor</t>
  </si>
  <si>
    <t>Anytime - Single rate - SME - United Energy</t>
  </si>
  <si>
    <t>TOU - Peak - RES - Ausnet</t>
  </si>
  <si>
    <t>TOU - Peak - RES - Citipower</t>
  </si>
  <si>
    <t>TOU - Peak - RES - Jemena</t>
  </si>
  <si>
    <t>TOU - Peak - RES - Powercor</t>
  </si>
  <si>
    <t>TOU - Peak - RES - United Energy</t>
  </si>
  <si>
    <t>TOU - Off peak - RES - Ausnet</t>
  </si>
  <si>
    <t>TOU - Off peak - RES - Citipower</t>
  </si>
  <si>
    <t>TOU - Off peak - RES - Jemena</t>
  </si>
  <si>
    <t>TOU - Off peak - RES - Powercor</t>
  </si>
  <si>
    <t>TOU - Off peak - RES - United Energy</t>
  </si>
  <si>
    <t>TOU - Peak - SME - Ausnet</t>
  </si>
  <si>
    <t>TOU - Peak - SME - Citipower</t>
  </si>
  <si>
    <t>TOU - Peak - SME - Jemena</t>
  </si>
  <si>
    <t>TOU - Peak - SME - Powercor</t>
  </si>
  <si>
    <t>TOU - Peak - SME - United Energy</t>
  </si>
  <si>
    <t>TOU - Off peak - SME - Ausnet</t>
  </si>
  <si>
    <t>TOU - Off peak - SME - Citipower</t>
  </si>
  <si>
    <t>TOU - Off peak - SME - Jemena</t>
  </si>
  <si>
    <t>TOU - Off peak - SME - Powercor</t>
  </si>
  <si>
    <t>TOU - Off peak - SME - United Energy</t>
  </si>
  <si>
    <t>Controlled load - RES - Ausnet</t>
  </si>
  <si>
    <t>Controlled load - RES - Citipower</t>
  </si>
  <si>
    <t>Controlled load - RES - Jemena</t>
  </si>
  <si>
    <t>Controlled load - RES - Powercor</t>
  </si>
  <si>
    <t>Controlled load - RES - United Energy</t>
  </si>
  <si>
    <t>Retail margin</t>
  </si>
  <si>
    <t>Marginal loss factors</t>
  </si>
  <si>
    <t>Marginal loss factor - Ausnet</t>
  </si>
  <si>
    <t>Marginal loss factor - Citipower</t>
  </si>
  <si>
    <t>Marginal loss factor - Jemena</t>
  </si>
  <si>
    <t>Marginal loss factor - Powercor</t>
  </si>
  <si>
    <t>Marginal loss factor - United Energy</t>
  </si>
  <si>
    <t>Distribution loss factors</t>
  </si>
  <si>
    <t>Distribution loss factor - Ausnet</t>
  </si>
  <si>
    <t>Distribution loss factor - Citipower</t>
  </si>
  <si>
    <t>Distribution loss factor - Jemena</t>
  </si>
  <si>
    <t>Distribution loss factor - Powercor</t>
  </si>
  <si>
    <t>Distribution loss factor - United Energy</t>
  </si>
  <si>
    <t>Usage profile inputs</t>
  </si>
  <si>
    <t>Input_Usage</t>
  </si>
  <si>
    <t>Ref</t>
  </si>
  <si>
    <t>Tariff type</t>
  </si>
  <si>
    <t>kWh/year</t>
  </si>
  <si>
    <t>Annual</t>
  </si>
  <si>
    <t>True up inputs</t>
  </si>
  <si>
    <t>Input_TUEnv_Actual</t>
  </si>
  <si>
    <t>[blank]</t>
  </si>
  <si>
    <t>Input_TUNet_Actual</t>
  </si>
  <si>
    <t>Item</t>
  </si>
  <si>
    <t>Month</t>
  </si>
  <si>
    <t>July</t>
  </si>
  <si>
    <t>No.</t>
  </si>
  <si>
    <t>August</t>
  </si>
  <si>
    <t>June</t>
  </si>
  <si>
    <t>Usage per customer - Block 1 - Ausnet</t>
  </si>
  <si>
    <t>Total usage - Controlled load</t>
  </si>
  <si>
    <t>July 2020 to August 2020</t>
  </si>
  <si>
    <t>January 2021 to June 2021</t>
  </si>
  <si>
    <t>July 2020 to June 2021</t>
  </si>
  <si>
    <t>Input_TUNet_Props</t>
  </si>
  <si>
    <t>TOU check</t>
  </si>
  <si>
    <t>Block check</t>
  </si>
  <si>
    <t>Single rate check</t>
  </si>
  <si>
    <t>Input_TUNet_Dates</t>
  </si>
  <si>
    <t>Decision period</t>
  </si>
  <si>
    <t>Days</t>
  </si>
  <si>
    <t>WACC (annual)</t>
  </si>
  <si>
    <t>Input_DecisionActual</t>
  </si>
  <si>
    <t>VDO period</t>
  </si>
  <si>
    <t>VDO 2021 - Final</t>
  </si>
  <si>
    <t>VDO 2021 - Variation draft</t>
  </si>
  <si>
    <t>VDO 2021 - Variation final</t>
  </si>
  <si>
    <t>VDO 2022 - Draft</t>
  </si>
  <si>
    <t>VDO 2022-23 - Draft</t>
  </si>
  <si>
    <t>Constants</t>
  </si>
  <si>
    <t>Number of days in a year</t>
  </si>
  <si>
    <t>[DiY]</t>
  </si>
  <si>
    <t>Number of months in a year</t>
  </si>
  <si>
    <t>[MiY]</t>
  </si>
  <si>
    <t>Number of months in a quarter year</t>
  </si>
  <si>
    <t>[MiQ]</t>
  </si>
  <si>
    <t>Weeks in a year</t>
  </si>
  <si>
    <t>[WiY]</t>
  </si>
  <si>
    <t>Financial units</t>
  </si>
  <si>
    <t>AUD</t>
  </si>
  <si>
    <t>[AUD]</t>
  </si>
  <si>
    <t>Financial year end month</t>
  </si>
  <si>
    <t>N/A</t>
  </si>
  <si>
    <t>Goods &amp; Services Tax (GST)</t>
  </si>
  <si>
    <t>[GST]</t>
  </si>
  <si>
    <t>VDO decisions</t>
  </si>
  <si>
    <t>Index</t>
  </si>
  <si>
    <t>This worksheet contains indices used to adjust cost stack elements by CPI (where necessary).</t>
  </si>
  <si>
    <t>Indices "as at" for previous VDO decisions</t>
  </si>
  <si>
    <t>Decision paper</t>
  </si>
  <si>
    <t>Indice</t>
  </si>
  <si>
    <t>VDO 2019</t>
  </si>
  <si>
    <t>VDO 2020</t>
  </si>
  <si>
    <t>VDO 2021 - Draft</t>
  </si>
  <si>
    <t>CPI indices</t>
  </si>
  <si>
    <t>ABS All groups CPI, Australia</t>
  </si>
  <si>
    <t>Series ID A2325846C</t>
  </si>
  <si>
    <t>Latest extract</t>
  </si>
  <si>
    <t>Period</t>
  </si>
  <si>
    <t>Column1</t>
  </si>
  <si>
    <t>Cost items for CPI adjustment</t>
  </si>
  <si>
    <t>Zone</t>
  </si>
  <si>
    <t>Average</t>
  </si>
  <si>
    <t>X axis labels</t>
  </si>
  <si>
    <t>Total</t>
  </si>
  <si>
    <t>% change</t>
  </si>
  <si>
    <t>Environmental schemes</t>
  </si>
  <si>
    <t>FiT</t>
  </si>
  <si>
    <t>Network true up</t>
  </si>
  <si>
    <t>Environmental true up</t>
  </si>
  <si>
    <t>Cost element change</t>
  </si>
  <si>
    <t>CHART</t>
  </si>
  <si>
    <t>Cost elements and total bills</t>
  </si>
  <si>
    <t>Check</t>
  </si>
  <si>
    <t>VDO 2019 - Final</t>
  </si>
  <si>
    <t>VDO 2020 - Final</t>
  </si>
  <si>
    <t>VDO 2021 Variation - Final</t>
  </si>
  <si>
    <t>Weighting</t>
  </si>
  <si>
    <t>VDO 2021 (blend)</t>
  </si>
  <si>
    <t>Chart comparison previous period</t>
  </si>
  <si>
    <t>% overall change</t>
  </si>
  <si>
    <t>Lookup references</t>
  </si>
  <si>
    <t>Units</t>
  </si>
  <si>
    <t>Usage profiles</t>
  </si>
  <si>
    <t>Change log review</t>
  </si>
  <si>
    <t>Cost Item CPI</t>
  </si>
  <si>
    <t>ERROR</t>
  </si>
  <si>
    <t>$/day</t>
  </si>
  <si>
    <t>Output rates (both from cost stack calculation and true up) for all tariffs.</t>
  </si>
  <si>
    <t>Output annual bills for Compliant Maximum Annual Bill (CMAB).</t>
  </si>
  <si>
    <t>Calculations for cost stack rates.</t>
  </si>
  <si>
    <t>Calculations for total true up amounts to be recovered.</t>
  </si>
  <si>
    <t>Calculations for true up rates to be applied over the determination period.</t>
  </si>
  <si>
    <t>All cost and non-cost inputs used in the model.</t>
  </si>
  <si>
    <t>Confidentiality</t>
  </si>
  <si>
    <t>Public</t>
  </si>
  <si>
    <t>Contains CPI indices used in the model.</t>
  </si>
  <si>
    <t>Modified regulatory period</t>
  </si>
  <si>
    <t>Standard regulatory period</t>
  </si>
  <si>
    <t>Median</t>
  </si>
  <si>
    <t>Median Standing Offer Jun 2019</t>
  </si>
  <si>
    <t>Pre-VDO MSO vs cost stack_RES</t>
  </si>
  <si>
    <t>Pre-VDO MSO vs cost stack_SME</t>
  </si>
  <si>
    <t>2023-24</t>
  </si>
  <si>
    <t>VDO 2023-24 - Draft</t>
  </si>
  <si>
    <t>VDO 2023-24 - Final</t>
  </si>
  <si>
    <t>D-PreviousVDO_InputDate</t>
  </si>
  <si>
    <t>D-PreviousVDO_Input</t>
  </si>
  <si>
    <t>F-PreviousVDO_InputDate2</t>
  </si>
  <si>
    <t>F-PreviousVDO_Input2</t>
  </si>
  <si>
    <t>F-CurrentVDO_InputDate</t>
  </si>
  <si>
    <t>Item2</t>
  </si>
  <si>
    <t>Market suspension - usage</t>
  </si>
  <si>
    <t>Directions - usage</t>
  </si>
  <si>
    <t>Administered price cap - usage</t>
  </si>
  <si>
    <t>Victorian Default Offer (VDO)</t>
  </si>
  <si>
    <t>Calculation model</t>
  </si>
  <si>
    <t>D-CurrentVDO_InputDate</t>
  </si>
  <si>
    <t>General NEM fees - fixed</t>
  </si>
  <si>
    <t>Distributed Energy Resources Integration Program (DER) - fixed</t>
  </si>
  <si>
    <t>Number of days in a leap year</t>
  </si>
  <si>
    <t>[DiLY]</t>
  </si>
  <si>
    <t>Weeks in a leap year</t>
  </si>
  <si>
    <t>[WiLY]</t>
  </si>
  <si>
    <t>IT upgrade and 5MS/GS compliance - fixed</t>
  </si>
  <si>
    <t>Essential Services Commission 2023, Victorian Default Offer 2023–24: Final Decision Paper, 25 May 2023</t>
  </si>
  <si>
    <t>Essential Services Commission data</t>
  </si>
  <si>
    <t xml:space="preserve">Australian Energy Market Operator, Reliability and Emergency Reserve (RERT) End of Financial Year 2021-22 Report, August 2022 </t>
  </si>
  <si>
    <t>Australian Energy Market Operator, Draft FY24 Budget and Fees, April 2023</t>
  </si>
  <si>
    <t>Australian Energy Regulator, AusNet Services - 2023-24 - Annual SCS pricing model, 31 March 2023</t>
  </si>
  <si>
    <t>Australian Energy Regulator, Jemena - 2023-24 - Annual SCS pricing model, 31 March 2023</t>
  </si>
  <si>
    <t>Australian Energy Regulator, Powercor - 2023-24 - Annual SCS pricing model, 27 April 2023</t>
  </si>
  <si>
    <t>Australian Energy Regulator, United Energy - 2023-24 - Annual SCS pricing model, 27 April 2023</t>
  </si>
  <si>
    <t>Frontier Economics, Wholesale electricity costs for 2023-24: A final report for the Essential Services Commission, May 2023</t>
  </si>
  <si>
    <t>Essential Services Commission, Victorian Energy Upgrades (VEU) data</t>
  </si>
  <si>
    <t>Essential Services Commission, Victorian Energy Upgrades (VEU) program</t>
  </si>
  <si>
    <t>Clean Energy Regulator, Renewable Power Percentage, 6 February 2023</t>
  </si>
  <si>
    <t>Clean Energy Regulator, Small-scale Technology Percentage, 3 February 2023</t>
  </si>
  <si>
    <t>Australian Energy Market Operator, 'Marginal Loss Factors for the 2023-24 Financial Year', April 2023</t>
  </si>
  <si>
    <t>Australian Energy Market Operator, 'Disctribution Loss Factors for the 2023-24 Financial Year', April 2023</t>
  </si>
  <si>
    <t>Sources for the input values in the Inputs table</t>
  </si>
  <si>
    <t>Cost stacks - estimated annual bill</t>
  </si>
  <si>
    <t>Customer</t>
  </si>
  <si>
    <t>change</t>
  </si>
  <si>
    <t>contribution</t>
  </si>
  <si>
    <t>kWh/yr</t>
  </si>
  <si>
    <t>Current regulatory period</t>
  </si>
  <si>
    <t>Labels</t>
  </si>
  <si>
    <t>Cost element total</t>
  </si>
  <si>
    <t>Annual costs</t>
  </si>
  <si>
    <t>Retail cost</t>
  </si>
  <si>
    <t>Network fixed cost</t>
  </si>
  <si>
    <t>Environmental (FiT)</t>
  </si>
  <si>
    <t>Per kWh costs</t>
  </si>
  <si>
    <t>Network usage charge</t>
  </si>
  <si>
    <t>Network true up rate</t>
  </si>
  <si>
    <t>Environmental  true up rate</t>
  </si>
  <si>
    <t>CH_CostStack_RES</t>
  </si>
  <si>
    <t>CH_CostStack_SME_10k</t>
  </si>
  <si>
    <t>CH_CostStack_SME</t>
  </si>
  <si>
    <t>Avoided social cost of carbon: Essential Services Commission, Minimum electricity feed-in tariffs to apply from 1 July 2023 final decision, February 2023
Solar exports: Distribution network business data
Customers: Essential Services Commission data</t>
  </si>
  <si>
    <t>Estimated cost stacks for residential flat rate tariffs</t>
  </si>
  <si>
    <t>Estimated cost stacks for small business flat rate tariffs with usage 20,000kWh</t>
  </si>
  <si>
    <t>Estimated cost stacks for small business flat rate tariffs with usage 10,000kWh</t>
  </si>
  <si>
    <t>Australian Energy Market Operator, Ancillary Services Recovery Summary File 2023, April 2023</t>
  </si>
  <si>
    <t>Australian Energy Market Operator June 2022 NEM Events: Compensation Update, 6 January 2023
Customers: Distribution Network business' annual SCS pricing 2023-24</t>
  </si>
  <si>
    <t>&lt;&lt; Back to contents</t>
  </si>
  <si>
    <t>Australian Energy Regulator, Citipower - 2023-24 - Annual SCS pricing model, 27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</si>
</sst>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8" formatCode="&quot;$&quot;#,##0.00;[Red]\-&quot;$&quot;#,##0.00"/>
    <numFmt numFmtId="164" formatCode="&quot;$&quot;#,##0_);[Red]\(&quot;$&quot;#,##0\)"/>
    <numFmt numFmtId="165" formatCode="&quot;$&quot;#,##0.00_);[Red]\(&quot;$&quot;#,##0.00\)"/>
    <numFmt numFmtId="166" formatCode="_(* #,##0.00_);_(* \(#,##0.00\);_(* &quot;-&quot;??_);_(@_)"/>
    <numFmt numFmtId="167" formatCode="[Green][=0]&quot;OK&quot;;[Red]&quot;Err&quot;"/>
    <numFmt numFmtId="168" formatCode="0.0000"/>
    <numFmt numFmtId="169" formatCode="&quot;$&quot;#,##0.0000;[Red]\-&quot;$&quot;#,##0.0000"/>
    <numFmt numFmtId="170" formatCode="&quot;$&quot;#,##0.00000;[Red]\-&quot;$&quot;#,##0.00000"/>
    <numFmt numFmtId="171" formatCode="#&quot;.&quot;##"/>
    <numFmt numFmtId="172" formatCode="[Green][=0]&quot;OK&quot;;[Red]&quot;Error&quot;"/>
    <numFmt numFmtId="173" formatCode="0.00000"/>
    <numFmt numFmtId="174" formatCode="0.0%"/>
    <numFmt numFmtId="175" formatCode="0.0"/>
    <numFmt numFmtId="176" formatCode="&quot;$&quot;#,##0.0;[Red]\-&quot;$&quot;#,##0.0"/>
    <numFmt numFmtId="177" formatCode="&quot;$&quot;#,##0.000000;[Red]\-&quot;$&quot;#,##0.000000"/>
    <numFmt numFmtId="178" formatCode="&quot;$&quot;#,##0.0000000;[Red]\-&quot;$&quot;#,##0.0000000"/>
    <numFmt numFmtId="179" formatCode="&quot;$&quot;#,##0.00000000;[Red]\-&quot;$&quot;#,##0.00000000"/>
    <numFmt numFmtId="180" formatCode="[Green][&lt;=0]0.0%;[Red][&gt;0]0.0%"/>
    <numFmt numFmtId="181" formatCode="&quot;$&quot;#,##0.00;[Red]&quot;$&quot;#,##0.00"/>
    <numFmt numFmtId="182" formatCode="&quot;$&quot;#,##0.0_);[Red]\(&quot;$&quot;#,##0.0\)"/>
    <numFmt numFmtId="183" formatCode="&quot;$&quot;#,##0.0000;[Red]&quot;$&quot;#,##0.0000"/>
    <numFmt numFmtId="184" formatCode="0.000000"/>
    <numFmt numFmtId="185" formatCode="&quot;$&quot;#,##0.0000_);[Red]\(&quot;$&quot;#,##0.0000\)"/>
    <numFmt numFmtId="186" formatCode="0.000%"/>
    <numFmt numFmtId="187" formatCode="mmm\ yyyy"/>
    <numFmt numFmtId="188" formatCode="0.00000000"/>
  </numFmts>
  <fonts count="43">
    <font>
      <sz val="11"/>
      <color theme="1"/>
      <name val="Calibri"/>
      <family val="2"/>
      <scheme val="minor"/>
    </font>
    <font>
      <b/>
      <sz val="14"/>
      <color theme="0"/>
      <name val="Calibri"/>
      <family val="2"/>
      <scheme val="minor"/>
    </font>
    <font>
      <b/>
      <sz val="12"/>
      <color theme="1"/>
      <name val="Calibri"/>
      <family val="2"/>
      <scheme val="minor"/>
    </font>
    <font>
      <b/>
      <sz val="12"/>
      <color rgb="FF4986A0"/>
      <name val="Calibri"/>
      <family val="2"/>
      <scheme val="minor"/>
    </font>
    <font>
      <b/>
      <sz val="12"/>
      <name val="Calibri"/>
      <family val="2"/>
      <scheme val="minor"/>
    </font>
    <font>
      <b/>
      <sz val="12"/>
      <color rgb="FFCE0058"/>
      <name val="Calibri"/>
      <family val="2"/>
      <scheme val="minor"/>
    </font>
    <font>
      <sz val="11"/>
      <color theme="0"/>
      <name val="Calibri"/>
      <family val="2"/>
      <scheme val="minor"/>
    </font>
    <font>
      <sz val="11"/>
      <name val="Calibri"/>
      <family val="2"/>
      <scheme val="minor"/>
    </font>
    <font>
      <sz val="11"/>
      <color rgb="FF236192"/>
      <name val="Calibri"/>
      <family val="2"/>
      <scheme val="minor"/>
    </font>
    <font>
      <b/>
      <sz val="12"/>
      <color theme="0"/>
      <name val="Calibri"/>
      <family val="2"/>
      <scheme val="minor"/>
    </font>
    <font>
      <b/>
      <sz val="18"/>
      <color theme="0"/>
      <name val="Calibri"/>
      <family val="2"/>
      <scheme val="minor"/>
    </font>
    <font>
      <b/>
      <sz val="12"/>
      <color rgb="FF236192"/>
      <name val="Calibri"/>
      <family val="2"/>
      <scheme val="minor"/>
    </font>
    <font>
      <sz val="10"/>
      <color indexed="9"/>
      <name val="Verdana"/>
      <family val="2"/>
    </font>
    <font>
      <sz val="11"/>
      <color rgb="FF7F7F7F"/>
      <name val="Calibri"/>
      <family val="2"/>
      <scheme val="minor"/>
    </font>
    <font>
      <b/>
      <sz val="22"/>
      <color theme="0"/>
      <name val="Calibri"/>
      <family val="2"/>
      <scheme val="minor"/>
    </font>
    <font>
      <sz val="11"/>
      <color rgb="FFED8B00"/>
      <name val="Calibri"/>
      <family val="2"/>
      <scheme val="minor"/>
    </font>
    <font>
      <sz val="11"/>
      <color theme="1" tint="0.24994659260841701"/>
      <name val="Calibri"/>
      <family val="2"/>
      <scheme val="minor"/>
    </font>
    <font>
      <b/>
      <sz val="11"/>
      <name val="Calibri"/>
      <family val="2"/>
      <scheme val="minor"/>
    </font>
    <font>
      <sz val="11"/>
      <color theme="1"/>
      <name val="Calibri"/>
      <family val="2"/>
      <scheme val="minor"/>
    </font>
    <font>
      <i/>
      <sz val="11"/>
      <color rgb="FF7F7F7F"/>
      <name val="Calibri"/>
      <family val="2"/>
      <scheme val="minor"/>
    </font>
    <font>
      <sz val="12"/>
      <color rgb="FFCE0058"/>
      <name val="Calibri"/>
      <family val="2"/>
      <scheme val="minor"/>
    </font>
    <font>
      <sz val="11"/>
      <color rgb="FF4986A0"/>
      <name val="Calibri"/>
      <family val="2"/>
      <scheme val="minor"/>
    </font>
    <font>
      <sz val="12"/>
      <color rgb="FF4986A0"/>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1"/>
      <color rgb="FFCE0058"/>
      <name val="Calibri"/>
      <family val="2"/>
      <scheme val="minor"/>
    </font>
    <font>
      <sz val="11"/>
      <color rgb="FFFA7D00"/>
      <name val="Calibri"/>
      <family val="2"/>
      <scheme val="minor"/>
    </font>
    <font>
      <sz val="22"/>
      <color theme="0"/>
      <name val="Calibri"/>
      <family val="2"/>
      <scheme val="minor"/>
    </font>
    <font>
      <b/>
      <sz val="11"/>
      <color theme="1"/>
      <name val="Calibri"/>
      <family val="2"/>
      <scheme val="minor"/>
    </font>
    <font>
      <sz val="8"/>
      <name val="Calibri"/>
      <family val="2"/>
      <scheme val="minor"/>
    </font>
    <font>
      <b/>
      <sz val="10"/>
      <color theme="1"/>
      <name val="Verdana"/>
      <family val="2"/>
    </font>
    <font>
      <b/>
      <sz val="10"/>
      <color theme="0"/>
      <name val="Verdana"/>
      <family val="2"/>
    </font>
    <font>
      <b/>
      <sz val="11"/>
      <color theme="0"/>
      <name val="Verdana"/>
      <family val="2"/>
    </font>
    <font>
      <i/>
      <sz val="11"/>
      <color theme="1" tint="0.499984740745262"/>
      <name val="Calibri"/>
      <family val="2"/>
      <scheme val="minor"/>
    </font>
    <font>
      <b/>
      <sz val="11"/>
      <color rgb="FFED8B00"/>
      <name val="Calibri"/>
      <family val="2"/>
      <scheme val="minor"/>
    </font>
    <font>
      <sz val="11"/>
      <color rgb="FF3F3F76"/>
      <name val="Calibri"/>
      <family val="2"/>
      <scheme val="minor"/>
    </font>
    <font>
      <b/>
      <sz val="11"/>
      <color theme="0"/>
      <name val="Calibri"/>
      <family val="2"/>
      <scheme val="minor"/>
    </font>
    <font>
      <u/>
      <sz val="11"/>
      <color theme="10"/>
      <name val="Calibri"/>
      <family val="2"/>
      <scheme val="minor"/>
    </font>
    <font>
      <sz val="18"/>
      <color theme="1" tint="0.499984740745262"/>
      <name val="Calibri"/>
      <family val="2"/>
      <scheme val="minor"/>
    </font>
    <font>
      <sz val="24"/>
      <color theme="4"/>
      <name val="Calibri"/>
      <family val="2"/>
      <scheme val="minor"/>
    </font>
    <font>
      <sz val="40"/>
      <color theme="1"/>
      <name val="Tahoma"/>
      <family val="2"/>
    </font>
    <font>
      <u/>
      <sz val="11"/>
      <color theme="0"/>
      <name val="Calibri"/>
      <family val="2"/>
      <scheme val="minor"/>
    </font>
  </fonts>
  <fills count="19">
    <fill>
      <patternFill patternType="none"/>
    </fill>
    <fill>
      <patternFill patternType="gray125"/>
    </fill>
    <fill>
      <patternFill patternType="solid">
        <fgColor rgb="FF236192"/>
        <bgColor indexed="64"/>
      </patternFill>
    </fill>
    <fill>
      <patternFill patternType="solid">
        <fgColor theme="0" tint="-0.14999847407452621"/>
        <bgColor indexed="64"/>
      </patternFill>
    </fill>
    <fill>
      <patternFill patternType="solid">
        <fgColor rgb="FF236192"/>
        <bgColor rgb="FF00A1D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4986A0"/>
        <bgColor indexed="64"/>
      </patternFill>
    </fill>
    <fill>
      <patternFill patternType="solid">
        <fgColor rgb="FFAFCDDB"/>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E0058"/>
        <bgColor indexed="64"/>
      </patternFill>
    </fill>
    <fill>
      <patternFill patternType="solid">
        <fgColor rgb="FFD3DFE9"/>
        <bgColor indexed="64"/>
      </patternFill>
    </fill>
    <fill>
      <patternFill patternType="solid">
        <fgColor rgb="FF67A0B9"/>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rgb="FF99FFCC"/>
        <bgColor indexed="64"/>
      </patternFill>
    </fill>
  </fills>
  <borders count="29">
    <border>
      <left/>
      <right/>
      <top/>
      <bottom/>
      <diagonal/>
    </border>
    <border>
      <left/>
      <right/>
      <top/>
      <bottom style="thin">
        <color theme="0"/>
      </bottom>
      <diagonal/>
    </border>
    <border>
      <left/>
      <right/>
      <top/>
      <bottom style="medium">
        <color rgb="FFCE0058"/>
      </bottom>
      <diagonal/>
    </border>
    <border>
      <left style="hair">
        <color rgb="FF7F7F7F"/>
      </left>
      <right style="hair">
        <color rgb="FF7F7F7F"/>
      </right>
      <top style="hair">
        <color rgb="FF7F7F7F"/>
      </top>
      <bottom style="hair">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CE0058"/>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rgb="FFFF8001"/>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top style="thin">
        <color rgb="FF4986A0"/>
      </top>
      <bottom style="double">
        <color rgb="FF4986A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rgb="FFFFFFFF"/>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left>
      <right/>
      <top style="thin">
        <color theme="0"/>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8">
    <xf numFmtId="0" fontId="0"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14" fillId="2" borderId="0" applyProtection="0">
      <alignment horizontal="left" vertical="center"/>
    </xf>
    <xf numFmtId="0" fontId="5" fillId="0" borderId="0" applyFill="0" applyProtection="0">
      <alignment horizontal="left" vertical="center"/>
    </xf>
    <xf numFmtId="0" fontId="7" fillId="9" borderId="7" applyNumberFormat="0">
      <alignment horizontal="center" vertical="center"/>
      <protection locked="0"/>
    </xf>
    <xf numFmtId="0" fontId="8" fillId="0" borderId="3" applyNumberFormat="0" applyProtection="0">
      <alignment horizontal="center" vertical="center"/>
    </xf>
    <xf numFmtId="0" fontId="9" fillId="2" borderId="0" applyProtection="0">
      <alignment horizontal="left" vertical="center"/>
    </xf>
    <xf numFmtId="0" fontId="6" fillId="2" borderId="0">
      <alignment horizontal="left" vertical="center"/>
    </xf>
    <xf numFmtId="0" fontId="10" fillId="2" borderId="1" applyProtection="0">
      <alignment horizontal="left" vertical="center"/>
    </xf>
    <xf numFmtId="0" fontId="11" fillId="0" borderId="0">
      <alignment horizontal="center" vertical="center"/>
    </xf>
    <xf numFmtId="0" fontId="12" fillId="4" borderId="4" applyBorder="0">
      <alignment horizontal="left" vertical="center"/>
    </xf>
    <xf numFmtId="0" fontId="13" fillId="0" borderId="0">
      <alignment horizontal="center" vertical="top"/>
    </xf>
    <xf numFmtId="0" fontId="16" fillId="6" borderId="7">
      <alignment horizontal="center" vertical="center"/>
    </xf>
    <xf numFmtId="0" fontId="15" fillId="5" borderId="7">
      <alignment vertical="top"/>
    </xf>
    <xf numFmtId="0" fontId="21" fillId="5" borderId="7">
      <alignment vertical="top"/>
    </xf>
    <xf numFmtId="0" fontId="2" fillId="0" borderId="2" applyFill="0" applyProtection="0">
      <alignment horizontal="left" vertical="center"/>
    </xf>
    <xf numFmtId="167" fontId="26" fillId="5" borderId="7" applyAlignment="0" applyProtection="0"/>
    <xf numFmtId="0" fontId="18" fillId="10" borderId="5" applyNumberFormat="0" applyFont="0" applyAlignment="0" applyProtection="0"/>
    <xf numFmtId="0" fontId="19" fillId="0" borderId="0" applyNumberFormat="0" applyFill="0" applyBorder="0" applyProtection="0">
      <alignment vertical="top"/>
    </xf>
    <xf numFmtId="172" fontId="20" fillId="5" borderId="7" applyProtection="0">
      <alignment horizontal="center" vertical="top"/>
    </xf>
    <xf numFmtId="0" fontId="2" fillId="0" borderId="6" applyFill="0" applyProtection="0">
      <alignment horizontal="left" vertical="center"/>
    </xf>
    <xf numFmtId="0" fontId="23" fillId="8" borderId="7">
      <alignment horizontal="center" vertical="top"/>
    </xf>
    <xf numFmtId="0" fontId="18" fillId="0" borderId="8">
      <alignment vertical="top"/>
    </xf>
    <xf numFmtId="0" fontId="22"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4" fillId="0" borderId="0" applyFill="0" applyProtection="0">
      <alignment horizontal="left" vertical="center"/>
    </xf>
    <xf numFmtId="0" fontId="5" fillId="0" borderId="0" applyFill="0" applyProtection="0">
      <alignment horizontal="left" vertical="center"/>
    </xf>
    <xf numFmtId="0" fontId="7" fillId="0" borderId="8" applyAlignment="0" applyProtection="0">
      <alignment horizontal="left" vertical="center"/>
    </xf>
    <xf numFmtId="0" fontId="1" fillId="2" borderId="0">
      <alignment horizontal="center" vertical="center"/>
    </xf>
    <xf numFmtId="0" fontId="6" fillId="7" borderId="7">
      <alignment horizontal="center" vertical="center"/>
    </xf>
    <xf numFmtId="0" fontId="27" fillId="0" borderId="9" applyNumberFormat="0" applyFill="0" applyAlignment="0" applyProtection="0"/>
    <xf numFmtId="171" fontId="33" fillId="2" borderId="0">
      <alignment horizontal="left" vertical="center"/>
    </xf>
    <xf numFmtId="9" fontId="18" fillId="0" borderId="0" applyFont="0" applyFill="0" applyBorder="0" applyAlignment="0" applyProtection="0"/>
    <xf numFmtId="0" fontId="8" fillId="0" borderId="0">
      <alignment horizontal="left" vertical="center"/>
    </xf>
    <xf numFmtId="0" fontId="29" fillId="0" borderId="17" applyNumberFormat="0" applyFill="0" applyAlignment="0" applyProtection="0"/>
    <xf numFmtId="0" fontId="34" fillId="0" borderId="18">
      <alignment horizontal="left" vertical="center"/>
    </xf>
    <xf numFmtId="0" fontId="7" fillId="0" borderId="24" applyAlignment="0" applyProtection="0">
      <alignment horizontal="left" vertical="center"/>
    </xf>
    <xf numFmtId="0" fontId="18" fillId="0" borderId="0"/>
    <xf numFmtId="0" fontId="36" fillId="16" borderId="27" applyNumberFormat="0" applyAlignment="0" applyProtection="0"/>
    <xf numFmtId="0" fontId="37" fillId="17" borderId="28" applyNumberFormat="0" applyAlignment="0" applyProtection="0"/>
    <xf numFmtId="0" fontId="38" fillId="0" borderId="0" applyNumberFormat="0" applyFill="0" applyBorder="0" applyAlignment="0" applyProtection="0"/>
    <xf numFmtId="166" fontId="18" fillId="0" borderId="0" applyFont="0" applyFill="0" applyBorder="0" applyAlignment="0" applyProtection="0"/>
  </cellStyleXfs>
  <cellXfs count="238">
    <xf numFmtId="0" fontId="0" fillId="0" borderId="0" xfId="0">
      <alignment vertical="top"/>
    </xf>
    <xf numFmtId="0" fontId="5" fillId="0" borderId="0" xfId="6">
      <alignment horizontal="left" vertical="center"/>
    </xf>
    <xf numFmtId="0" fontId="7" fillId="9" borderId="7" xfId="7">
      <alignment horizontal="center" vertical="center"/>
      <protection locked="0"/>
    </xf>
    <xf numFmtId="0" fontId="9" fillId="2" borderId="0" xfId="9">
      <alignment horizontal="left" vertical="center"/>
    </xf>
    <xf numFmtId="0" fontId="0" fillId="3" borderId="0" xfId="0" applyFill="1">
      <alignment vertical="top"/>
    </xf>
    <xf numFmtId="0" fontId="0" fillId="3" borderId="0" xfId="0" applyFill="1" applyAlignment="1">
      <alignment wrapText="1"/>
    </xf>
    <xf numFmtId="0" fontId="0" fillId="0" borderId="0" xfId="0" applyAlignment="1">
      <alignment horizontal="center"/>
    </xf>
    <xf numFmtId="0" fontId="11" fillId="0" borderId="0" xfId="12">
      <alignment horizontal="center" vertical="center"/>
    </xf>
    <xf numFmtId="0" fontId="0" fillId="0" borderId="0" xfId="0" applyAlignment="1">
      <alignment vertical="top" wrapText="1"/>
    </xf>
    <xf numFmtId="0" fontId="6" fillId="2" borderId="0" xfId="10" applyAlignment="1">
      <alignment horizontal="left" vertical="top" wrapText="1"/>
    </xf>
    <xf numFmtId="0" fontId="0" fillId="3" borderId="0" xfId="0" applyFill="1" applyAlignment="1">
      <alignment vertical="top" wrapText="1"/>
    </xf>
    <xf numFmtId="0" fontId="8" fillId="2" borderId="0" xfId="39" applyFill="1" applyAlignment="1">
      <alignment horizontal="left" vertical="top"/>
    </xf>
    <xf numFmtId="15" fontId="7" fillId="9" borderId="7" xfId="7" applyNumberFormat="1">
      <alignment horizontal="center" vertical="center"/>
      <protection locked="0"/>
    </xf>
    <xf numFmtId="0" fontId="7" fillId="9" borderId="7" xfId="7" applyNumberFormat="1">
      <alignment horizontal="center" vertical="center"/>
      <protection locked="0"/>
    </xf>
    <xf numFmtId="0" fontId="13" fillId="0" borderId="0" xfId="14">
      <alignment horizontal="center" vertical="top"/>
    </xf>
    <xf numFmtId="0" fontId="16" fillId="6" borderId="7" xfId="15">
      <alignment horizontal="center" vertical="center"/>
    </xf>
    <xf numFmtId="0" fontId="8" fillId="2" borderId="0" xfId="39" quotePrefix="1" applyFill="1" applyAlignment="1">
      <alignment horizontal="left" vertical="top"/>
    </xf>
    <xf numFmtId="0" fontId="0" fillId="3" borderId="0" xfId="0" applyFill="1" applyAlignment="1">
      <alignment horizontal="center" vertical="top"/>
    </xf>
    <xf numFmtId="0" fontId="0" fillId="2" borderId="0" xfId="0" applyFill="1" applyAlignment="1">
      <alignment horizontal="center"/>
    </xf>
    <xf numFmtId="0" fontId="0" fillId="2" borderId="0" xfId="0" applyFill="1">
      <alignment vertical="top"/>
    </xf>
    <xf numFmtId="0" fontId="18" fillId="0" borderId="8" xfId="25">
      <alignment vertical="top"/>
    </xf>
    <xf numFmtId="172" fontId="20" fillId="5" borderId="7" xfId="22">
      <alignment horizontal="center" vertical="top"/>
    </xf>
    <xf numFmtId="0" fontId="14" fillId="2" borderId="0" xfId="5">
      <alignment horizontal="left" vertical="center"/>
    </xf>
    <xf numFmtId="0" fontId="10" fillId="2" borderId="1" xfId="11">
      <alignment horizontal="left" vertical="center"/>
    </xf>
    <xf numFmtId="0" fontId="10" fillId="2" borderId="1" xfId="11" applyAlignment="1">
      <alignment horizontal="center" vertical="center"/>
    </xf>
    <xf numFmtId="0" fontId="2" fillId="0" borderId="2" xfId="18">
      <alignment horizontal="left" vertical="center"/>
    </xf>
    <xf numFmtId="0" fontId="22" fillId="0" borderId="0" xfId="26">
      <alignment vertical="top"/>
    </xf>
    <xf numFmtId="0" fontId="14" fillId="2" borderId="0" xfId="5" applyAlignment="1">
      <alignment horizontal="center" vertical="center"/>
    </xf>
    <xf numFmtId="0" fontId="9" fillId="2" borderId="0" xfId="9" applyAlignment="1">
      <alignment horizontal="center" vertical="center"/>
    </xf>
    <xf numFmtId="0" fontId="6" fillId="2" borderId="0" xfId="10" applyAlignment="1">
      <alignment horizontal="center" vertical="top"/>
    </xf>
    <xf numFmtId="0" fontId="2" fillId="0" borderId="2" xfId="18" applyFill="1">
      <alignment horizontal="left" vertical="center"/>
    </xf>
    <xf numFmtId="0" fontId="0" fillId="0" borderId="0" xfId="0" applyAlignment="1">
      <alignment horizontal="center" vertical="top" wrapText="1"/>
    </xf>
    <xf numFmtId="0" fontId="18" fillId="0" borderId="8" xfId="25" applyAlignment="1">
      <alignment vertical="top" wrapText="1"/>
    </xf>
    <xf numFmtId="0" fontId="28" fillId="2" borderId="0" xfId="5" applyFont="1" applyAlignment="1">
      <alignment horizontal="center" vertical="center"/>
    </xf>
    <xf numFmtId="0" fontId="7" fillId="9" borderId="7" xfId="7" applyAlignment="1">
      <alignment horizontal="right" vertical="center"/>
      <protection locked="0"/>
    </xf>
    <xf numFmtId="0" fontId="16" fillId="6" borderId="7" xfId="15" applyAlignment="1">
      <alignment horizontal="right" vertical="center"/>
    </xf>
    <xf numFmtId="0" fontId="22" fillId="0" borderId="0" xfId="26" applyAlignment="1">
      <alignment horizontal="right" vertical="center"/>
    </xf>
    <xf numFmtId="0" fontId="6" fillId="7" borderId="7" xfId="35">
      <alignment horizontal="center" vertical="center"/>
    </xf>
    <xf numFmtId="0" fontId="23" fillId="8" borderId="7" xfId="24">
      <alignment horizontal="center" vertical="top"/>
    </xf>
    <xf numFmtId="0" fontId="23" fillId="8" borderId="10" xfId="24" applyBorder="1">
      <alignment horizontal="center" vertical="top"/>
    </xf>
    <xf numFmtId="0" fontId="18" fillId="0" borderId="11" xfId="25" applyBorder="1">
      <alignment vertical="top"/>
    </xf>
    <xf numFmtId="15" fontId="18" fillId="0" borderId="8" xfId="25" applyNumberFormat="1" applyAlignment="1">
      <alignment horizontal="left" vertical="top"/>
    </xf>
    <xf numFmtId="2" fontId="7" fillId="9" borderId="13" xfId="7" applyNumberFormat="1" applyBorder="1">
      <alignment horizontal="center" vertical="center"/>
      <protection locked="0"/>
    </xf>
    <xf numFmtId="0" fontId="23" fillId="8" borderId="14" xfId="24" applyBorder="1">
      <alignment horizontal="center" vertical="top"/>
    </xf>
    <xf numFmtId="15" fontId="16" fillId="6" borderId="7" xfId="15" applyNumberFormat="1">
      <alignment horizontal="center" vertical="center"/>
    </xf>
    <xf numFmtId="0" fontId="23" fillId="8" borderId="7" xfId="24" applyAlignment="1">
      <alignment horizontal="right" vertical="top"/>
    </xf>
    <xf numFmtId="0" fontId="16" fillId="6" borderId="15" xfId="15" applyBorder="1" applyAlignment="1">
      <alignment horizontal="left" vertical="center"/>
    </xf>
    <xf numFmtId="0" fontId="23" fillId="8" borderId="1" xfId="24" applyBorder="1">
      <alignment horizontal="center" vertical="top"/>
    </xf>
    <xf numFmtId="0" fontId="16" fillId="6" borderId="12" xfId="15" applyBorder="1" applyAlignment="1">
      <alignment horizontal="left" vertical="center"/>
    </xf>
    <xf numFmtId="0" fontId="23" fillId="8" borderId="7" xfId="24" applyAlignment="1">
      <alignment horizontal="left" vertical="top"/>
    </xf>
    <xf numFmtId="168" fontId="7" fillId="9" borderId="7" xfId="7" applyNumberFormat="1" applyAlignment="1">
      <alignment horizontal="right" vertical="center"/>
      <protection locked="0"/>
    </xf>
    <xf numFmtId="0" fontId="29" fillId="0" borderId="8" xfId="25" applyFont="1">
      <alignment vertical="top"/>
    </xf>
    <xf numFmtId="0" fontId="0" fillId="0" borderId="8" xfId="0" applyBorder="1">
      <alignment vertical="top"/>
    </xf>
    <xf numFmtId="0" fontId="0" fillId="0" borderId="8" xfId="25" applyFont="1">
      <alignment vertical="top"/>
    </xf>
    <xf numFmtId="0" fontId="23" fillId="8" borderId="10" xfId="24" applyBorder="1" applyAlignment="1">
      <alignment horizontal="right" vertical="top"/>
    </xf>
    <xf numFmtId="169" fontId="7" fillId="0" borderId="8" xfId="33" applyNumberFormat="1" applyAlignment="1">
      <alignment vertical="top"/>
    </xf>
    <xf numFmtId="169" fontId="15" fillId="5" borderId="7" xfId="16" applyNumberFormat="1">
      <alignment vertical="top"/>
    </xf>
    <xf numFmtId="2" fontId="7" fillId="9" borderId="7" xfId="7" applyNumberFormat="1" applyAlignment="1">
      <alignment horizontal="right" vertical="center"/>
      <protection locked="0"/>
    </xf>
    <xf numFmtId="168" fontId="18" fillId="0" borderId="8" xfId="25" applyNumberFormat="1">
      <alignment vertical="top"/>
    </xf>
    <xf numFmtId="2" fontId="18" fillId="0" borderId="8" xfId="25" applyNumberFormat="1">
      <alignment vertical="top"/>
    </xf>
    <xf numFmtId="2" fontId="0" fillId="0" borderId="8" xfId="25" applyNumberFormat="1" applyFont="1">
      <alignment vertical="top"/>
    </xf>
    <xf numFmtId="168" fontId="0" fillId="0" borderId="8" xfId="25" applyNumberFormat="1" applyFont="1">
      <alignment vertical="top"/>
    </xf>
    <xf numFmtId="0" fontId="29" fillId="0" borderId="8" xfId="0" applyFont="1" applyBorder="1">
      <alignment vertical="top"/>
    </xf>
    <xf numFmtId="9" fontId="7" fillId="9" borderId="7" xfId="7" applyNumberFormat="1">
      <alignment horizontal="center" vertical="center"/>
      <protection locked="0"/>
    </xf>
    <xf numFmtId="0" fontId="0" fillId="0" borderId="11" xfId="0" applyBorder="1">
      <alignment vertical="top"/>
    </xf>
    <xf numFmtId="169" fontId="7" fillId="0" borderId="11" xfId="33" applyNumberFormat="1" applyBorder="1" applyAlignment="1">
      <alignment vertical="top"/>
    </xf>
    <xf numFmtId="165" fontId="7" fillId="0" borderId="8" xfId="33" applyNumberFormat="1" applyAlignment="1">
      <alignment vertical="top" wrapText="1"/>
    </xf>
    <xf numFmtId="169" fontId="17" fillId="0" borderId="8" xfId="33" applyNumberFormat="1" applyFont="1" applyAlignment="1">
      <alignment vertical="top" wrapText="1"/>
    </xf>
    <xf numFmtId="0" fontId="6" fillId="7" borderId="13" xfId="35" applyBorder="1">
      <alignment horizontal="center" vertical="center"/>
    </xf>
    <xf numFmtId="0" fontId="15" fillId="5" borderId="7" xfId="16">
      <alignment vertical="top"/>
    </xf>
    <xf numFmtId="169" fontId="7" fillId="0" borderId="8" xfId="33" applyNumberFormat="1" applyAlignment="1">
      <alignment vertical="top" wrapText="1"/>
    </xf>
    <xf numFmtId="169" fontId="0" fillId="0" borderId="0" xfId="0" applyNumberFormat="1">
      <alignment vertical="top"/>
    </xf>
    <xf numFmtId="170" fontId="0" fillId="0" borderId="0" xfId="0" applyNumberFormat="1">
      <alignment vertical="top"/>
    </xf>
    <xf numFmtId="170" fontId="7" fillId="0" borderId="8" xfId="33" applyNumberFormat="1" applyAlignment="1">
      <alignment vertical="top" wrapText="1"/>
    </xf>
    <xf numFmtId="0" fontId="4" fillId="0" borderId="0" xfId="31">
      <alignment horizontal="left" vertical="center"/>
    </xf>
    <xf numFmtId="0" fontId="6" fillId="7" borderId="7" xfId="35" applyAlignment="1">
      <alignment horizontal="left" vertical="center"/>
    </xf>
    <xf numFmtId="0" fontId="23" fillId="8" borderId="14" xfId="24" applyBorder="1" applyAlignment="1">
      <alignment horizontal="right" vertical="top"/>
    </xf>
    <xf numFmtId="168" fontId="7" fillId="0" borderId="8" xfId="33" applyNumberFormat="1" applyAlignment="1">
      <alignment vertical="top"/>
    </xf>
    <xf numFmtId="165" fontId="0" fillId="0" borderId="0" xfId="0" applyNumberFormat="1">
      <alignment vertical="top"/>
    </xf>
    <xf numFmtId="0" fontId="31" fillId="13" borderId="4" xfId="0" applyFont="1" applyFill="1" applyBorder="1" applyAlignment="1">
      <alignment horizontal="center" vertical="center"/>
    </xf>
    <xf numFmtId="0" fontId="32" fillId="11" borderId="4" xfId="0" applyFont="1" applyFill="1" applyBorder="1" applyAlignment="1">
      <alignment horizontal="center" vertical="center"/>
    </xf>
    <xf numFmtId="0" fontId="32" fillId="2" borderId="4" xfId="0" applyFont="1" applyFill="1" applyBorder="1" applyAlignment="1">
      <alignment horizontal="center" vertical="center"/>
    </xf>
    <xf numFmtId="0" fontId="32" fillId="12" borderId="4" xfId="0" applyFont="1" applyFill="1" applyBorder="1" applyAlignment="1">
      <alignment horizontal="center" vertical="center"/>
    </xf>
    <xf numFmtId="0" fontId="32" fillId="14" borderId="4" xfId="0" applyFont="1" applyFill="1" applyBorder="1" applyAlignment="1">
      <alignment horizontal="center" vertical="center"/>
    </xf>
    <xf numFmtId="172" fontId="20" fillId="5" borderId="7" xfId="22" applyAlignment="1">
      <alignment horizontal="right" vertical="top"/>
    </xf>
    <xf numFmtId="169" fontId="15" fillId="5" borderId="13" xfId="16" applyNumberFormat="1" applyBorder="1">
      <alignment vertical="top"/>
    </xf>
    <xf numFmtId="172" fontId="20" fillId="5" borderId="7" xfId="22" applyAlignment="1">
      <alignment horizontal="center" vertical="center"/>
    </xf>
    <xf numFmtId="0" fontId="23" fillId="2" borderId="0" xfId="9" applyFont="1" applyAlignment="1">
      <alignment horizontal="center"/>
    </xf>
    <xf numFmtId="0" fontId="18" fillId="0" borderId="8" xfId="25" applyAlignment="1">
      <alignment horizontal="left" vertical="top"/>
    </xf>
    <xf numFmtId="15" fontId="16" fillId="6" borderId="7" xfId="15" applyNumberFormat="1" applyAlignment="1">
      <alignment horizontal="right" vertical="center"/>
    </xf>
    <xf numFmtId="15" fontId="7" fillId="9" borderId="7" xfId="7" applyNumberFormat="1" applyAlignment="1">
      <alignment horizontal="right" vertical="center"/>
      <protection locked="0"/>
    </xf>
    <xf numFmtId="0" fontId="18" fillId="0" borderId="8" xfId="25" applyAlignment="1">
      <alignment horizontal="center" vertical="top"/>
    </xf>
    <xf numFmtId="164" fontId="15" fillId="5" borderId="7" xfId="16" applyNumberFormat="1">
      <alignment vertical="top"/>
    </xf>
    <xf numFmtId="173" fontId="0" fillId="0" borderId="0" xfId="0" applyNumberFormat="1">
      <alignment vertical="top"/>
    </xf>
    <xf numFmtId="167" fontId="26" fillId="5" borderId="7" xfId="19" applyAlignment="1">
      <alignment vertical="top" wrapText="1"/>
    </xf>
    <xf numFmtId="10" fontId="0" fillId="0" borderId="0" xfId="0" applyNumberFormat="1">
      <alignment vertical="top"/>
    </xf>
    <xf numFmtId="0" fontId="23" fillId="8" borderId="16" xfId="24" applyBorder="1">
      <alignment horizontal="center" vertical="top"/>
    </xf>
    <xf numFmtId="9" fontId="0" fillId="0" borderId="0" xfId="0" applyNumberFormat="1">
      <alignment vertical="top"/>
    </xf>
    <xf numFmtId="168" fontId="16" fillId="6" borderId="7" xfId="15" applyNumberFormat="1" applyAlignment="1">
      <alignment horizontal="right" vertical="center"/>
    </xf>
    <xf numFmtId="165" fontId="18" fillId="0" borderId="8" xfId="25" applyNumberFormat="1" applyAlignment="1">
      <alignment vertical="top" wrapText="1"/>
    </xf>
    <xf numFmtId="164" fontId="0" fillId="0" borderId="0" xfId="0" applyNumberFormat="1">
      <alignment vertical="top"/>
    </xf>
    <xf numFmtId="174" fontId="0" fillId="0" borderId="0" xfId="0" applyNumberFormat="1">
      <alignment vertical="top"/>
    </xf>
    <xf numFmtId="0" fontId="23" fillId="2" borderId="0" xfId="9" applyFont="1" applyAlignment="1">
      <alignment horizontal="left"/>
    </xf>
    <xf numFmtId="0" fontId="8" fillId="0" borderId="0" xfId="39">
      <alignment horizontal="left" vertical="center"/>
    </xf>
    <xf numFmtId="3" fontId="7" fillId="9" borderId="7" xfId="7" applyNumberFormat="1" applyAlignment="1">
      <alignment horizontal="right" vertical="center"/>
      <protection locked="0"/>
    </xf>
    <xf numFmtId="173" fontId="18" fillId="0" borderId="8" xfId="25" applyNumberFormat="1">
      <alignment vertical="top"/>
    </xf>
    <xf numFmtId="173" fontId="0" fillId="0" borderId="8" xfId="25" applyNumberFormat="1" applyFont="1">
      <alignment vertical="top"/>
    </xf>
    <xf numFmtId="0" fontId="16" fillId="6" borderId="7" xfId="15" applyAlignment="1">
      <alignment horizontal="left" vertical="center"/>
    </xf>
    <xf numFmtId="0" fontId="0" fillId="0" borderId="0" xfId="0" applyAlignment="1">
      <alignment horizontal="right" vertical="top"/>
    </xf>
    <xf numFmtId="0" fontId="0" fillId="0" borderId="0" xfId="0" applyAlignment="1">
      <alignment horizontal="center" vertical="top"/>
    </xf>
    <xf numFmtId="0" fontId="23" fillId="8" borderId="7" xfId="24" applyAlignment="1">
      <alignment vertical="top"/>
    </xf>
    <xf numFmtId="0" fontId="23" fillId="8" borderId="10" xfId="24" applyBorder="1" applyAlignment="1">
      <alignment vertical="top"/>
    </xf>
    <xf numFmtId="165" fontId="7" fillId="0" borderId="8" xfId="33" applyNumberFormat="1" applyAlignment="1">
      <alignment vertical="top"/>
    </xf>
    <xf numFmtId="164" fontId="7" fillId="0" borderId="8" xfId="33" applyNumberFormat="1" applyAlignment="1">
      <alignment vertical="top"/>
    </xf>
    <xf numFmtId="164" fontId="7" fillId="0" borderId="8" xfId="33" applyNumberFormat="1" applyAlignment="1">
      <alignment horizontal="right" vertical="top"/>
    </xf>
    <xf numFmtId="2" fontId="0" fillId="0" borderId="0" xfId="0" applyNumberFormat="1">
      <alignment vertical="top"/>
    </xf>
    <xf numFmtId="0" fontId="18" fillId="0" borderId="0" xfId="25" applyBorder="1">
      <alignment vertical="top"/>
    </xf>
    <xf numFmtId="0" fontId="0" fillId="0" borderId="0" xfId="25" applyFont="1" applyBorder="1">
      <alignment vertical="top"/>
    </xf>
    <xf numFmtId="0" fontId="0" fillId="0" borderId="8" xfId="25" applyFont="1" applyAlignment="1">
      <alignment horizontal="left" vertical="top" indent="1"/>
    </xf>
    <xf numFmtId="2" fontId="29" fillId="0" borderId="8" xfId="25" applyNumberFormat="1" applyFont="1">
      <alignment vertical="top"/>
    </xf>
    <xf numFmtId="0" fontId="5" fillId="0" borderId="0" xfId="32">
      <alignment horizontal="left" vertical="center"/>
    </xf>
    <xf numFmtId="165" fontId="15" fillId="5" borderId="7" xfId="16" applyNumberFormat="1">
      <alignment vertical="top"/>
    </xf>
    <xf numFmtId="169" fontId="0" fillId="0" borderId="8" xfId="25" applyNumberFormat="1" applyFont="1">
      <alignment vertical="top"/>
    </xf>
    <xf numFmtId="168" fontId="18" fillId="0" borderId="8" xfId="25" applyNumberFormat="1" applyAlignment="1">
      <alignment horizontal="right" vertical="top"/>
    </xf>
    <xf numFmtId="10" fontId="18" fillId="0" borderId="8" xfId="25" applyNumberFormat="1" applyAlignment="1">
      <alignment horizontal="right" vertical="top"/>
    </xf>
    <xf numFmtId="9" fontId="7" fillId="0" borderId="8" xfId="33" applyNumberFormat="1" applyAlignment="1">
      <alignment vertical="top"/>
    </xf>
    <xf numFmtId="0" fontId="23" fillId="8" borderId="19" xfId="24" applyBorder="1" applyAlignment="1">
      <alignment vertical="top"/>
    </xf>
    <xf numFmtId="0" fontId="23" fillId="8" borderId="19" xfId="24" applyBorder="1">
      <alignment horizontal="center" vertical="top"/>
    </xf>
    <xf numFmtId="177" fontId="15" fillId="5" borderId="7" xfId="16" applyNumberFormat="1">
      <alignment vertical="top"/>
    </xf>
    <xf numFmtId="178" fontId="15" fillId="5" borderId="7" xfId="16" applyNumberFormat="1">
      <alignment vertical="top"/>
    </xf>
    <xf numFmtId="177" fontId="0" fillId="0" borderId="8" xfId="25" applyNumberFormat="1" applyFont="1">
      <alignment vertical="top"/>
    </xf>
    <xf numFmtId="179" fontId="0" fillId="0" borderId="8" xfId="25" applyNumberFormat="1" applyFont="1">
      <alignment vertical="top"/>
    </xf>
    <xf numFmtId="165" fontId="17" fillId="0" borderId="8" xfId="33" applyNumberFormat="1" applyFont="1" applyAlignment="1">
      <alignment vertical="top"/>
    </xf>
    <xf numFmtId="165" fontId="29" fillId="0" borderId="8" xfId="25" applyNumberFormat="1" applyFont="1">
      <alignment vertical="top"/>
    </xf>
    <xf numFmtId="165" fontId="0" fillId="0" borderId="8" xfId="25" applyNumberFormat="1" applyFont="1">
      <alignment vertical="top"/>
    </xf>
    <xf numFmtId="169" fontId="18" fillId="0" borderId="8" xfId="25" applyNumberFormat="1">
      <alignment vertical="top"/>
    </xf>
    <xf numFmtId="0" fontId="16" fillId="6" borderId="21" xfId="15" applyBorder="1" applyAlignment="1">
      <alignment horizontal="left" vertical="center"/>
    </xf>
    <xf numFmtId="0" fontId="16" fillId="6" borderId="13" xfId="15" applyBorder="1" applyAlignment="1">
      <alignment horizontal="left" vertical="center"/>
    </xf>
    <xf numFmtId="0" fontId="23" fillId="8" borderId="22" xfId="24" applyBorder="1">
      <alignment horizontal="center" vertical="top"/>
    </xf>
    <xf numFmtId="0" fontId="16" fillId="6" borderId="20" xfId="15" applyBorder="1" applyAlignment="1">
      <alignment horizontal="left" vertical="center"/>
    </xf>
    <xf numFmtId="0" fontId="16" fillId="6" borderId="23" xfId="15" applyBorder="1" applyAlignment="1">
      <alignment horizontal="left" vertical="center"/>
    </xf>
    <xf numFmtId="9" fontId="6" fillId="7" borderId="7" xfId="35" applyNumberFormat="1">
      <alignment horizontal="center" vertical="center"/>
    </xf>
    <xf numFmtId="9" fontId="6" fillId="7" borderId="13" xfId="35" applyNumberFormat="1" applyBorder="1">
      <alignment horizontal="center" vertical="center"/>
    </xf>
    <xf numFmtId="167" fontId="26" fillId="5" borderId="7" xfId="19" applyAlignment="1">
      <alignment vertical="top"/>
    </xf>
    <xf numFmtId="3" fontId="0" fillId="0" borderId="8" xfId="25" applyNumberFormat="1" applyFont="1">
      <alignment vertical="top"/>
    </xf>
    <xf numFmtId="1" fontId="0" fillId="0" borderId="8" xfId="25" applyNumberFormat="1" applyFont="1">
      <alignment vertical="top"/>
    </xf>
    <xf numFmtId="0" fontId="0" fillId="0" borderId="11" xfId="25" applyFont="1" applyBorder="1">
      <alignment vertical="top"/>
    </xf>
    <xf numFmtId="0" fontId="6" fillId="7" borderId="23" xfId="35" applyBorder="1" applyAlignment="1">
      <alignment horizontal="left" vertical="center"/>
    </xf>
    <xf numFmtId="3" fontId="0" fillId="0" borderId="11" xfId="25" applyNumberFormat="1" applyFont="1" applyBorder="1">
      <alignment vertical="top"/>
    </xf>
    <xf numFmtId="15" fontId="15" fillId="5" borderId="7" xfId="16" applyNumberFormat="1">
      <alignment vertical="top"/>
    </xf>
    <xf numFmtId="3" fontId="0" fillId="0" borderId="0" xfId="25" applyNumberFormat="1" applyFont="1" applyBorder="1">
      <alignment vertical="top"/>
    </xf>
    <xf numFmtId="2" fontId="7" fillId="9" borderId="23" xfId="7" applyNumberFormat="1" applyBorder="1" applyAlignment="1">
      <alignment horizontal="right" vertical="center"/>
      <protection locked="0"/>
    </xf>
    <xf numFmtId="3" fontId="7" fillId="9" borderId="23" xfId="7" applyNumberFormat="1" applyBorder="1" applyAlignment="1">
      <alignment horizontal="right" vertical="center"/>
      <protection locked="0"/>
    </xf>
    <xf numFmtId="0" fontId="23" fillId="8" borderId="10" xfId="24" applyBorder="1" applyAlignment="1">
      <alignment horizontal="left" vertical="top"/>
    </xf>
    <xf numFmtId="169" fontId="15" fillId="5" borderId="7" xfId="16" applyNumberFormat="1" applyAlignment="1">
      <alignment vertical="top" wrapText="1"/>
    </xf>
    <xf numFmtId="172" fontId="20" fillId="5" borderId="7" xfId="22" applyAlignment="1">
      <alignment horizontal="right" vertical="top" wrapText="1"/>
    </xf>
    <xf numFmtId="0" fontId="6" fillId="7" borderId="7" xfId="35" applyAlignment="1">
      <alignment horizontal="center" vertical="top" wrapText="1"/>
    </xf>
    <xf numFmtId="168" fontId="7" fillId="0" borderId="11" xfId="33" applyNumberFormat="1" applyBorder="1" applyAlignment="1">
      <alignment vertical="top"/>
    </xf>
    <xf numFmtId="173" fontId="16" fillId="6" borderId="7" xfId="15" applyNumberFormat="1" applyAlignment="1">
      <alignment horizontal="right" vertical="center"/>
    </xf>
    <xf numFmtId="173" fontId="7" fillId="9" borderId="7" xfId="7" applyNumberFormat="1" applyAlignment="1">
      <alignment horizontal="right" vertical="center"/>
      <protection locked="0"/>
    </xf>
    <xf numFmtId="164" fontId="15" fillId="5" borderId="7" xfId="16" applyNumberFormat="1" applyAlignment="1">
      <alignment horizontal="right" vertical="top"/>
    </xf>
    <xf numFmtId="164" fontId="35" fillId="5" borderId="7" xfId="16" applyNumberFormat="1" applyFont="1">
      <alignment vertical="top"/>
    </xf>
    <xf numFmtId="0" fontId="29" fillId="0" borderId="0" xfId="0" applyFont="1">
      <alignment vertical="top"/>
    </xf>
    <xf numFmtId="164" fontId="17" fillId="0" borderId="8" xfId="33" applyNumberFormat="1" applyFont="1" applyAlignment="1">
      <alignment vertical="top"/>
    </xf>
    <xf numFmtId="174" fontId="17" fillId="0" borderId="8" xfId="33" applyNumberFormat="1" applyFont="1" applyAlignment="1">
      <alignment vertical="top"/>
    </xf>
    <xf numFmtId="180" fontId="7" fillId="0" borderId="8" xfId="33" applyNumberFormat="1" applyAlignment="1">
      <alignment vertical="top"/>
    </xf>
    <xf numFmtId="167" fontId="26" fillId="5" borderId="7" xfId="19" applyAlignment="1">
      <alignment horizontal="center" vertical="top"/>
    </xf>
    <xf numFmtId="165" fontId="18" fillId="0" borderId="8" xfId="25" applyNumberFormat="1">
      <alignment vertical="top"/>
    </xf>
    <xf numFmtId="0" fontId="6" fillId="7" borderId="7" xfId="35" applyAlignment="1">
      <alignment horizontal="right" vertical="center"/>
    </xf>
    <xf numFmtId="174" fontId="29" fillId="0" borderId="8" xfId="25" applyNumberFormat="1" applyFont="1">
      <alignment vertical="top"/>
    </xf>
    <xf numFmtId="180" fontId="7" fillId="0" borderId="8" xfId="33" applyNumberFormat="1" applyAlignment="1">
      <alignment horizontal="right" vertical="top"/>
    </xf>
    <xf numFmtId="0" fontId="7" fillId="0" borderId="8" xfId="33" applyAlignment="1">
      <alignment vertical="top"/>
    </xf>
    <xf numFmtId="174" fontId="7" fillId="0" borderId="0" xfId="33" applyNumberFormat="1" applyBorder="1" applyAlignment="1">
      <alignment horizontal="right" vertical="top"/>
    </xf>
    <xf numFmtId="168" fontId="0" fillId="0" borderId="0" xfId="0" applyNumberFormat="1">
      <alignment vertical="top"/>
    </xf>
    <xf numFmtId="176" fontId="0" fillId="0" borderId="0" xfId="0" applyNumberFormat="1">
      <alignment vertical="top"/>
    </xf>
    <xf numFmtId="181" fontId="0" fillId="0" borderId="0" xfId="0" applyNumberFormat="1">
      <alignment vertical="top"/>
    </xf>
    <xf numFmtId="3" fontId="7" fillId="0" borderId="8" xfId="33" applyNumberFormat="1" applyAlignment="1">
      <alignment vertical="top"/>
    </xf>
    <xf numFmtId="4" fontId="0" fillId="0" borderId="8" xfId="25" applyNumberFormat="1" applyFont="1">
      <alignment vertical="top"/>
    </xf>
    <xf numFmtId="165" fontId="17" fillId="0" borderId="8" xfId="33" applyNumberFormat="1" applyFont="1" applyAlignment="1">
      <alignment horizontal="right" vertical="top"/>
    </xf>
    <xf numFmtId="182" fontId="0" fillId="0" borderId="0" xfId="0" applyNumberFormat="1">
      <alignment vertical="top"/>
    </xf>
    <xf numFmtId="0" fontId="0" fillId="2" borderId="0" xfId="0" applyFill="1" applyAlignment="1">
      <alignment horizontal="center" vertical="top"/>
    </xf>
    <xf numFmtId="0" fontId="2" fillId="0" borderId="2" xfId="18" applyAlignment="1">
      <alignment horizontal="center" vertical="center"/>
    </xf>
    <xf numFmtId="183" fontId="0" fillId="0" borderId="0" xfId="0" applyNumberFormat="1">
      <alignment vertical="top"/>
    </xf>
    <xf numFmtId="184" fontId="7" fillId="9" borderId="7" xfId="7" applyNumberFormat="1" applyAlignment="1">
      <alignment horizontal="right" vertical="center"/>
      <protection locked="0"/>
    </xf>
    <xf numFmtId="168" fontId="7" fillId="9" borderId="7" xfId="7" applyNumberFormat="1" applyAlignment="1">
      <alignment vertical="center"/>
      <protection locked="0"/>
    </xf>
    <xf numFmtId="3" fontId="7" fillId="9" borderId="13" xfId="7" applyNumberFormat="1" applyBorder="1" applyAlignment="1">
      <alignment horizontal="right" vertical="center"/>
      <protection locked="0"/>
    </xf>
    <xf numFmtId="185" fontId="7" fillId="0" borderId="8" xfId="33" applyNumberFormat="1" applyAlignment="1">
      <alignment vertical="top" wrapText="1"/>
    </xf>
    <xf numFmtId="15" fontId="16" fillId="6" borderId="23" xfId="15" applyNumberFormat="1" applyBorder="1">
      <alignment horizontal="center" vertical="center"/>
    </xf>
    <xf numFmtId="0" fontId="6" fillId="7" borderId="25" xfId="35" applyBorder="1">
      <alignment horizontal="center" vertical="center"/>
    </xf>
    <xf numFmtId="168" fontId="7" fillId="9" borderId="13" xfId="7" applyNumberFormat="1" applyBorder="1" applyAlignment="1">
      <alignment horizontal="right" vertical="center"/>
      <protection locked="0"/>
    </xf>
    <xf numFmtId="168" fontId="7" fillId="9" borderId="23" xfId="7" applyNumberFormat="1" applyBorder="1" applyAlignment="1">
      <alignment horizontal="right" vertical="center"/>
      <protection locked="0"/>
    </xf>
    <xf numFmtId="0" fontId="16" fillId="6" borderId="25" xfId="15" applyBorder="1" applyAlignment="1">
      <alignment horizontal="left" vertical="center"/>
    </xf>
    <xf numFmtId="0" fontId="18" fillId="0" borderId="26" xfId="25" applyBorder="1">
      <alignment vertical="top"/>
    </xf>
    <xf numFmtId="0" fontId="0" fillId="0" borderId="1" xfId="0" applyBorder="1">
      <alignment vertical="top"/>
    </xf>
    <xf numFmtId="0" fontId="7" fillId="9" borderId="23" xfId="7" applyBorder="1">
      <alignment horizontal="center" vertical="center"/>
      <protection locked="0"/>
    </xf>
    <xf numFmtId="2" fontId="7" fillId="9" borderId="10" xfId="7" applyNumberFormat="1" applyBorder="1" applyAlignment="1">
      <alignment horizontal="right" vertical="center"/>
      <protection locked="0"/>
    </xf>
    <xf numFmtId="0" fontId="0" fillId="15" borderId="0" xfId="0" applyFill="1">
      <alignment vertical="top"/>
    </xf>
    <xf numFmtId="0" fontId="6" fillId="2" borderId="0" xfId="39" quotePrefix="1" applyFont="1" applyFill="1" applyAlignment="1">
      <alignment horizontal="left" vertical="top"/>
    </xf>
    <xf numFmtId="174" fontId="18" fillId="0" borderId="8" xfId="25" applyNumberFormat="1">
      <alignment vertical="top"/>
    </xf>
    <xf numFmtId="174" fontId="0" fillId="0" borderId="8" xfId="25" applyNumberFormat="1" applyFont="1">
      <alignment vertical="top"/>
    </xf>
    <xf numFmtId="169" fontId="15" fillId="5" borderId="8" xfId="0" applyNumberFormat="1" applyFont="1" applyFill="1" applyBorder="1">
      <alignment vertical="top"/>
    </xf>
    <xf numFmtId="165" fontId="15" fillId="5" borderId="8" xfId="0" applyNumberFormat="1" applyFont="1" applyFill="1" applyBorder="1">
      <alignment vertical="top"/>
    </xf>
    <xf numFmtId="10" fontId="18" fillId="0" borderId="8" xfId="25" applyNumberFormat="1" applyAlignment="1">
      <alignment horizontal="left" vertical="top"/>
    </xf>
    <xf numFmtId="3" fontId="16" fillId="6" borderId="7" xfId="15" applyNumberFormat="1" applyAlignment="1">
      <alignment horizontal="right" vertical="center"/>
    </xf>
    <xf numFmtId="0" fontId="39" fillId="0" borderId="0" xfId="0" applyFont="1">
      <alignment vertical="top"/>
    </xf>
    <xf numFmtId="0" fontId="40" fillId="0" borderId="0" xfId="0" applyFont="1">
      <alignment vertical="top"/>
    </xf>
    <xf numFmtId="0" fontId="41" fillId="0" borderId="0" xfId="0" applyFont="1" applyAlignment="1">
      <alignment vertical="top" wrapText="1"/>
    </xf>
    <xf numFmtId="168" fontId="0" fillId="18" borderId="8" xfId="25" applyNumberFormat="1" applyFont="1" applyFill="1">
      <alignment vertical="top"/>
    </xf>
    <xf numFmtId="168" fontId="7" fillId="9" borderId="10" xfId="7" applyNumberFormat="1" applyBorder="1" applyAlignment="1">
      <alignment horizontal="right" vertical="center"/>
      <protection locked="0"/>
    </xf>
    <xf numFmtId="15" fontId="0" fillId="0" borderId="0" xfId="0" applyNumberFormat="1">
      <alignment vertical="top"/>
    </xf>
    <xf numFmtId="10" fontId="7" fillId="0" borderId="8" xfId="33" applyNumberFormat="1" applyAlignment="1">
      <alignment vertical="top"/>
    </xf>
    <xf numFmtId="10" fontId="7" fillId="0" borderId="11" xfId="33" applyNumberFormat="1" applyBorder="1" applyAlignment="1">
      <alignment vertical="top"/>
    </xf>
    <xf numFmtId="175" fontId="6" fillId="7" borderId="25" xfId="35" applyNumberFormat="1" applyBorder="1">
      <alignment horizontal="center" vertical="center"/>
    </xf>
    <xf numFmtId="175" fontId="7" fillId="9" borderId="7" xfId="7" applyNumberFormat="1">
      <alignment horizontal="center" vertical="center"/>
      <protection locked="0"/>
    </xf>
    <xf numFmtId="8" fontId="0" fillId="0" borderId="0" xfId="0" applyNumberFormat="1">
      <alignment vertical="top"/>
    </xf>
    <xf numFmtId="186" fontId="0" fillId="0" borderId="0" xfId="38" applyNumberFormat="1" applyFont="1" applyAlignment="1">
      <alignment vertical="top"/>
    </xf>
    <xf numFmtId="2" fontId="11" fillId="0" borderId="0" xfId="12" applyNumberFormat="1">
      <alignment horizontal="center" vertical="center"/>
    </xf>
    <xf numFmtId="187" fontId="18" fillId="0" borderId="8" xfId="25" applyNumberFormat="1" applyAlignment="1">
      <alignment horizontal="right" vertical="top"/>
    </xf>
    <xf numFmtId="0" fontId="7" fillId="0" borderId="8" xfId="33" applyAlignment="1">
      <alignment horizontal="left" vertical="center"/>
    </xf>
    <xf numFmtId="3" fontId="15" fillId="5" borderId="7" xfId="16" applyNumberFormat="1">
      <alignment vertical="top"/>
    </xf>
    <xf numFmtId="164" fontId="18" fillId="0" borderId="8" xfId="25" applyNumberFormat="1" applyAlignment="1">
      <alignment vertical="top" wrapText="1"/>
    </xf>
    <xf numFmtId="164" fontId="18" fillId="0" borderId="8" xfId="25" applyNumberFormat="1">
      <alignment vertical="top"/>
    </xf>
    <xf numFmtId="9" fontId="18" fillId="0" borderId="0" xfId="38" applyFont="1" applyAlignment="1">
      <alignment vertical="top"/>
    </xf>
    <xf numFmtId="9" fontId="0" fillId="0" borderId="0" xfId="38" applyFont="1" applyAlignment="1">
      <alignment vertical="top"/>
    </xf>
    <xf numFmtId="164" fontId="0" fillId="0" borderId="8" xfId="25" applyNumberFormat="1" applyFont="1" applyAlignment="1">
      <alignment vertical="top" wrapText="1"/>
    </xf>
    <xf numFmtId="164" fontId="18" fillId="0" borderId="11" xfId="25" applyNumberFormat="1" applyBorder="1">
      <alignment vertical="top"/>
    </xf>
    <xf numFmtId="0" fontId="22" fillId="0" borderId="0" xfId="26" applyAlignment="1">
      <alignment horizontal="right" vertical="top"/>
    </xf>
    <xf numFmtId="10" fontId="15" fillId="5" borderId="7" xfId="16" applyNumberFormat="1">
      <alignment vertical="top"/>
    </xf>
    <xf numFmtId="168" fontId="15" fillId="5" borderId="7" xfId="16" applyNumberFormat="1">
      <alignment vertical="top"/>
    </xf>
    <xf numFmtId="188" fontId="0" fillId="0" borderId="0" xfId="0" applyNumberFormat="1">
      <alignment vertical="top"/>
    </xf>
    <xf numFmtId="0" fontId="0" fillId="0" borderId="8" xfId="25" applyFont="1" applyAlignment="1">
      <alignment vertical="top" wrapText="1"/>
    </xf>
    <xf numFmtId="0" fontId="6" fillId="2" borderId="0" xfId="0" applyFont="1" applyFill="1">
      <alignment vertical="top"/>
    </xf>
    <xf numFmtId="0" fontId="42" fillId="2" borderId="0" xfId="39" quotePrefix="1" applyFont="1" applyFill="1" applyAlignment="1">
      <alignment horizontal="left" vertical="top"/>
    </xf>
    <xf numFmtId="0" fontId="18" fillId="0" borderId="8" xfId="25" applyAlignment="1" applyProtection="1">
      <alignment horizontal="center" vertical="top"/>
      <protection locked="0"/>
    </xf>
    <xf numFmtId="0" fontId="6" fillId="2" borderId="0" xfId="0" applyFont="1" applyFill="1" applyProtection="1">
      <alignment vertical="top"/>
      <protection locked="0"/>
    </xf>
    <xf numFmtId="0" fontId="6" fillId="2" borderId="0" xfId="10"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cellXfs>
  <cellStyles count="48">
    <cellStyle name="Auto-label" xfId="41" xr:uid="{73CCA8BC-5AD7-4E85-A6E0-32EF7EF688EF}"/>
    <cellStyle name="Auto-populated" xfId="35" xr:uid="{92CD633B-B870-4480-A542-76D077643B78}"/>
    <cellStyle name="Banner_H3" xfId="13" xr:uid="{FE5785C0-235B-4C70-900C-EF2001520144}"/>
    <cellStyle name="Body_H1" xfId="37" xr:uid="{3D3122E7-4A4D-43F7-8A2F-A315DF102D9A}"/>
    <cellStyle name="Calculation" xfId="8" builtinId="22" hidden="1" customBuiltin="1"/>
    <cellStyle name="Calculation" xfId="33" xr:uid="{02E3DF3F-3256-4406-B889-2D6690639BEB}"/>
    <cellStyle name="Check Cell" xfId="19" builtinId="23" customBuiltin="1"/>
    <cellStyle name="Check Cell 2" xfId="45" xr:uid="{2C5B93AF-BB66-412D-BA64-77758034BDC0}"/>
    <cellStyle name="Check result" xfId="22" xr:uid="{7CA6913E-F58F-4741-9988-4121D79BFD7B}"/>
    <cellStyle name="Comma 2" xfId="47" xr:uid="{0AECBC68-5599-44FB-96B7-109DBD9FAB2A}"/>
    <cellStyle name="Defined names" xfId="14" xr:uid="{4248BE1A-3F2D-4913-B913-A6FBE3436F34}"/>
    <cellStyle name="Explanatory Text" xfId="21" builtinId="53" customBuiltin="1"/>
    <cellStyle name="External link" xfId="17" xr:uid="{FAB4C5FD-358F-4CD6-BC6E-724C598431E5}"/>
    <cellStyle name="Formulas" xfId="42" xr:uid="{F112E758-6F5C-4D3B-8A1A-B0DFEBB4A882}"/>
    <cellStyle name="Hard-coded" xfId="15" xr:uid="{200D9EA9-3A37-415F-8834-A52A844D661D}"/>
    <cellStyle name="Heading 1" xfId="1" builtinId="16" hidden="1" customBuiltin="1"/>
    <cellStyle name="Heading 1" xfId="27" builtinId="16" customBuiltin="1"/>
    <cellStyle name="Heading 2" xfId="2" builtinId="17" hidden="1" customBuiltin="1"/>
    <cellStyle name="Heading 2" xfId="28" builtinId="17" customBuiltin="1"/>
    <cellStyle name="Heading 3" xfId="3" builtinId="18" hidden="1" customBuiltin="1"/>
    <cellStyle name="Heading 3" xfId="29" builtinId="18" customBuiltin="1"/>
    <cellStyle name="Heading 4" xfId="4" builtinId="19" hidden="1" customBuiltin="1"/>
    <cellStyle name="Heading 4" xfId="30" builtinId="19" customBuiltin="1"/>
    <cellStyle name="Heading 5" xfId="31" xr:uid="{94E6345E-6BD4-45F0-9D01-9D42661ECA31}"/>
    <cellStyle name="Heading 6" xfId="32" xr:uid="{69B6DADD-1AE3-442B-9C06-14D5E52B303F}"/>
    <cellStyle name="Heading 7" xfId="9" xr:uid="{65CE4549-62A3-4210-9F25-2F9839E1F791}"/>
    <cellStyle name="Heading 8" xfId="23" xr:uid="{9E45A076-5177-4FEE-A6E2-BC3208B3DF96}"/>
    <cellStyle name="Hyperlink" xfId="39" builtinId="8" customBuiltin="1"/>
    <cellStyle name="Hyperlink 2" xfId="46" xr:uid="{456112B3-E30F-4DF3-ADB8-38F9E1C20B4C}"/>
    <cellStyle name="Input" xfId="7" builtinId="20" customBuiltin="1"/>
    <cellStyle name="Input 2" xfId="44" xr:uid="{B63F3EFA-FFE2-439A-9B97-C1D883122531}"/>
    <cellStyle name="Internal link/lookup" xfId="16" xr:uid="{2D1739BB-E732-4E26-A2B2-CCA56472379C}"/>
    <cellStyle name="Linked Cell" xfId="36" builtinId="24" hidden="1"/>
    <cellStyle name="Model title heading" xfId="5" xr:uid="{49720198-0457-4C71-953B-1E69023AC69A}"/>
    <cellStyle name="Normal" xfId="0" builtinId="0" customBuiltin="1"/>
    <cellStyle name="Normal 2" xfId="10" xr:uid="{F85F6E40-0042-4237-9B34-A53CE09B085A}"/>
    <cellStyle name="Normal 3" xfId="43" xr:uid="{FC35F5ED-67EB-43C2-85D4-7A2F4396DE3F}"/>
    <cellStyle name="Note" xfId="20" builtinId="10" customBuiltin="1"/>
    <cellStyle name="Numbering" xfId="12" xr:uid="{7BCF1B39-1E88-4D0F-9909-781FF2652C1A}"/>
    <cellStyle name="Numbering 3" xfId="34" xr:uid="{513ECFB5-F1B0-4A60-8F3D-7675E1A0F618}"/>
    <cellStyle name="Other heading 1" xfId="6" xr:uid="{5A2EFDA9-BC12-42D8-8C23-4D391E77FA8E}"/>
    <cellStyle name="Percent" xfId="38" builtinId="5"/>
    <cellStyle name="Section heading" xfId="18" xr:uid="{9F4B368D-F879-44E3-8E17-29DD8542A9E8}"/>
    <cellStyle name="Sheet heading" xfId="11" xr:uid="{6DEA63FE-C2FC-4D51-AFD8-F668D7E75EDD}"/>
    <cellStyle name="Table cell" xfId="25" xr:uid="{33044786-416C-4FE4-85B1-41BEF94590D6}"/>
    <cellStyle name="Table col heading" xfId="24" xr:uid="{796CBF3A-5CFE-4864-B572-7D991870B886}"/>
    <cellStyle name="Table heading" xfId="26" xr:uid="{C6E1E3D7-B02B-4DF4-8CAA-43F258527446}"/>
    <cellStyle name="Total" xfId="40" builtinId="25" customBuiltin="1"/>
  </cellStyles>
  <dxfs count="789">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1"/>
        <color theme="1"/>
        <name val="Calibri"/>
        <family val="2"/>
        <scheme val="minor"/>
      </font>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7" formatCode="&quot;$&quot;#,##0.000000;[Red]\-&quot;$&quot;#,##0.000000"/>
      <border outline="0">
        <left style="thin">
          <color theme="0"/>
        </left>
      </border>
    </dxf>
    <dxf>
      <numFmt numFmtId="177" formatCode="&quot;$&quot;#,##0.000000;[Red]\-&quot;$&quot;#,##0.000000"/>
      <border outline="0">
        <left style="thin">
          <color theme="0"/>
        </left>
        <right style="thin">
          <color theme="0"/>
        </right>
      </border>
    </dxf>
    <dxf>
      <numFmt numFmtId="177" formatCode="&quot;$&quot;#,##0.000000;[Red]\-&quot;$&quot;#,##0.000000"/>
      <border outline="0">
        <left style="thin">
          <color theme="0"/>
        </left>
        <right style="thin">
          <color theme="0"/>
        </right>
      </border>
    </dxf>
    <dxf>
      <numFmt numFmtId="177" formatCode="&quot;$&quot;#,##0.000000;[Red]\-&quot;$&quot;#,##0.000000"/>
      <border outline="0">
        <left style="thin">
          <color theme="0"/>
        </left>
        <right style="thin">
          <color theme="0"/>
        </right>
      </border>
    </dxf>
    <dxf>
      <numFmt numFmtId="177" formatCode="&quot;$&quot;#,##0.000000;[Red]\-&quot;$&quot;#,##0.000000"/>
      <border outline="0">
        <right style="thin">
          <color theme="0"/>
        </right>
      </border>
    </dxf>
    <dxf>
      <border outline="0">
        <right style="thin">
          <color theme="0"/>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7" formatCode="&quot;$&quot;#,##0.000000;[Red]\-&quot;$&quot;#,##0.000000"/>
      <border outline="0">
        <left style="thin">
          <color theme="0" tint="-0.24994659260841701"/>
        </left>
      </border>
    </dxf>
    <dxf>
      <numFmt numFmtId="177" formatCode="&quot;$&quot;#,##0.000000;[Red]\-&quot;$&quot;#,##0.000000"/>
      <border outline="0">
        <left style="thin">
          <color theme="0" tint="-0.24994659260841701"/>
        </left>
        <right style="thin">
          <color theme="0" tint="-0.24994659260841701"/>
        </right>
      </border>
    </dxf>
    <dxf>
      <numFmt numFmtId="177" formatCode="&quot;$&quot;#,##0.000000;[Red]\-&quot;$&quot;#,##0.000000"/>
      <border outline="0">
        <left style="thin">
          <color theme="0" tint="-0.24994659260841701"/>
        </left>
        <right style="thin">
          <color theme="0" tint="-0.24994659260841701"/>
        </right>
      </border>
    </dxf>
    <dxf>
      <numFmt numFmtId="177" formatCode="&quot;$&quot;#,##0.000000;[Red]\-&quot;$&quot;#,##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7" formatCode="&quot;$&quot;#,##0.000000;[Red]\-&quot;$&quot;#,##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00000000;[Red]\-&quot;$&quot;#,##0.00000000"/>
      <border outline="0">
        <left style="thin">
          <color theme="0" tint="-0.24994659260841701"/>
        </left>
      </border>
    </dxf>
    <dxf>
      <numFmt numFmtId="179" formatCode="&quot;$&quot;#,##0.00000000;[Red]\-&quot;$&quot;#,##0.00000000"/>
      <border outline="0">
        <left style="thin">
          <color theme="0" tint="-0.24994659260841701"/>
        </left>
        <right style="thin">
          <color theme="0" tint="-0.24994659260841701"/>
        </right>
      </border>
    </dxf>
    <dxf>
      <numFmt numFmtId="179" formatCode="&quot;$&quot;#,##0.00000000;[Red]\-&quot;$&quot;#,##0.00000000"/>
      <border outline="0">
        <left style="thin">
          <color theme="0" tint="-0.24994659260841701"/>
        </left>
        <right style="thin">
          <color theme="0" tint="-0.24994659260841701"/>
        </right>
      </border>
    </dxf>
    <dxf>
      <numFmt numFmtId="179" formatCode="&quot;$&quot;#,##0.00000000;[Red]\-&quot;$&quot;#,##0.0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9" formatCode="&quot;$&quot;#,##0.00000000;[Red]\-&quot;$&quot;#,##0.0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fill>
        <patternFill patternType="none">
          <fgColor indexed="64"/>
          <bgColor auto="1"/>
        </patternFill>
      </fill>
      <border outline="0">
        <left style="thin">
          <color theme="0" tint="-0.24994659260841701"/>
        </lef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border outline="0">
        <left style="thin">
          <color theme="0" tint="-0.24994659260841701"/>
        </lef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ED8B00"/>
        <name val="Calibri"/>
        <family val="2"/>
        <scheme val="minor"/>
      </font>
      <numFmt numFmtId="165" formatCode="&quot;$&quot;#,##0.00_);[Red]\(&quot;$&quot;#,##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numFmt numFmtId="169" formatCode="&quot;$&quot;#,##0.0000;[Red]\-&quot;$&quot;#,##0.0000"/>
    </dxf>
    <dxf>
      <font>
        <b val="0"/>
        <i val="0"/>
        <strike val="0"/>
        <condense val="0"/>
        <extend val="0"/>
        <outline val="0"/>
        <shadow val="0"/>
        <u val="none"/>
        <vertAlign val="baseline"/>
        <sz val="11"/>
        <color rgb="FFED8B00"/>
        <name val="Calibri"/>
        <family val="2"/>
        <scheme val="minor"/>
      </font>
      <numFmt numFmtId="169" formatCode="&quot;$&quot;#,##0.0000;[Red]\-&quot;$&quot;#,##0.0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numFmt numFmtId="169" formatCode="&quot;$&quot;#,##0.0000;[Red]\-&quot;$&quot;#,##0.0000"/>
    </dxf>
    <dxf>
      <font>
        <b val="0"/>
        <i val="0"/>
        <strike val="0"/>
        <condense val="0"/>
        <extend val="0"/>
        <outline val="0"/>
        <shadow val="0"/>
        <u val="none"/>
        <vertAlign val="baseline"/>
        <sz val="11"/>
        <color rgb="FFED8B00"/>
        <name val="Calibri"/>
        <family val="2"/>
        <scheme val="minor"/>
      </font>
      <numFmt numFmtId="169" formatCode="&quot;$&quot;#,##0.0000;[Red]\-&quot;$&quot;#,##0.0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numFmt numFmtId="169" formatCode="&quot;$&quot;#,##0.0000;[Red]\-&quot;$&quot;#,##0.0000"/>
    </dxf>
    <dxf>
      <font>
        <b val="0"/>
        <i val="0"/>
        <strike val="0"/>
        <condense val="0"/>
        <extend val="0"/>
        <outline val="0"/>
        <shadow val="0"/>
        <u val="none"/>
        <vertAlign val="baseline"/>
        <sz val="11"/>
        <color rgb="FFED8B00"/>
        <name val="Calibri"/>
        <family val="2"/>
        <scheme val="minor"/>
      </font>
      <numFmt numFmtId="169" formatCode="&quot;$&quot;#,##0.0000;[Red]\-&quot;$&quot;#,##0.0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numFmt numFmtId="169" formatCode="&quot;$&quot;#,##0.0000;[Red]\-&quot;$&quot;#,##0.0000"/>
    </dxf>
    <dxf>
      <font>
        <b val="0"/>
        <i val="0"/>
        <strike val="0"/>
        <condense val="0"/>
        <extend val="0"/>
        <outline val="0"/>
        <shadow val="0"/>
        <u val="none"/>
        <vertAlign val="baseline"/>
        <sz val="11"/>
        <color rgb="FFED8B00"/>
        <name val="Calibri"/>
        <family val="2"/>
        <scheme val="minor"/>
      </font>
      <numFmt numFmtId="169" formatCode="&quot;$&quot;#,##0.0000;[Red]\-&quot;$&quot;#,##0.0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4659260841701"/>
        </left>
        <right style="thin">
          <color theme="0"/>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numFmt numFmtId="169" formatCode="&quot;$&quot;#,##0.0000;[Red]\-&quot;$&quot;#,##0.000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tint="-0.24994659260841701"/>
        </lef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tint="-0.24994659260841701"/>
        </lef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left style="thin">
          <color theme="0" tint="-0.24994659260841701"/>
        </left>
        <right style="thin">
          <color theme="0" tint="-0.24994659260841701"/>
        </right>
      </border>
    </dxf>
    <dxf>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border outline="0">
        <left style="thin">
          <color theme="0" tint="-0.24994659260841701"/>
        </lef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border outline="0">
        <left style="thin">
          <color theme="0" tint="-0.24994659260841701"/>
        </left>
        <right style="thin">
          <color theme="0" tint="-0.24994659260841701"/>
        </right>
      </border>
    </dxf>
    <dxf>
      <numFmt numFmtId="165" formatCode="&quot;$&quot;#,##0.00_);[Red]\(&quot;$&quot;#,##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fill>
        <patternFill patternType="none">
          <fgColor indexed="64"/>
          <bgColor auto="1"/>
        </patternFill>
      </fill>
      <border diagonalUp="0" diagonalDown="0" outline="0">
        <left style="thin">
          <color theme="0" tint="-0.24994659260841701"/>
        </left>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4" formatCode="0.00%"/>
      <fill>
        <patternFill patternType="none">
          <fgColor indexed="64"/>
          <bgColor auto="1"/>
        </patternFill>
      </fill>
      <border diagonalUp="0" diagonalDown="0" outline="0">
        <left style="thin">
          <color theme="0" tint="-0.24994659260841701"/>
        </left>
        <right style="thin">
          <color theme="0" tint="-0.24994659260841701"/>
        </right>
        <top style="thin">
          <color theme="0"/>
        </top>
        <bottom style="thin">
          <color theme="0"/>
        </bottom>
      </border>
    </dxf>
    <dxf>
      <numFmt numFmtId="168" formatCode="0.0000"/>
      <fill>
        <patternFill patternType="none">
          <fgColor indexed="64"/>
          <bgColor auto="1"/>
        </patternFill>
      </fill>
      <alignment horizontal="general" vertical="top" textRotation="0" wrapText="0" indent="0" justifyLastLine="0" shrinkToFit="0" readingOrder="0"/>
      <border diagonalUp="0" diagonalDown="0" outline="0">
        <left style="thin">
          <color theme="0"/>
        </left>
        <right style="thin">
          <color theme="0" tint="-0.24994659260841701"/>
        </right>
        <top style="thin">
          <color theme="0"/>
        </top>
        <bottom style="thin">
          <color theme="0"/>
        </bottom>
      </border>
    </dxf>
    <dxf>
      <border outline="0">
        <right style="thin">
          <color theme="0" tint="-0.24994659260841701"/>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8" formatCode="0.0000"/>
      <fill>
        <patternFill patternType="none">
          <fgColor indexed="64"/>
          <bgColor auto="1"/>
        </patternFill>
      </fill>
      <border outline="0">
        <left style="thin">
          <color theme="0" tint="-0.24994659260841701"/>
        </left>
      </border>
    </dxf>
    <dxf>
      <numFmt numFmtId="168" formatCode="0.0000"/>
      <fill>
        <patternFill patternType="none">
          <fgColor indexed="64"/>
          <bgColor auto="1"/>
        </patternFill>
      </fill>
      <border outline="0">
        <left style="thin">
          <color theme="0" tint="-0.24994659260841701"/>
        </left>
        <right style="thin">
          <color theme="0" tint="-0.24994659260841701"/>
        </right>
      </border>
    </dxf>
    <dxf>
      <numFmt numFmtId="168" formatCode="0.0000"/>
      <fill>
        <patternFill patternType="none">
          <fgColor indexed="64"/>
          <bgColor auto="1"/>
        </patternFill>
      </fill>
      <border outline="0">
        <left style="thin">
          <color theme="0" tint="-0.24994659260841701"/>
        </left>
        <right style="thin">
          <color theme="0" tint="-0.24994659260841701"/>
        </right>
      </border>
    </dxf>
    <dxf>
      <numFmt numFmtId="168" formatCode="0.0000"/>
      <fill>
        <patternFill patternType="none">
          <fgColor indexed="64"/>
          <bgColor auto="1"/>
        </patternFill>
      </fill>
      <border outline="0">
        <left style="thin">
          <color theme="0" tint="-0.24994659260841701"/>
        </left>
        <right style="thin">
          <color theme="0" tint="-0.24994659260841701"/>
        </right>
      </border>
    </dxf>
    <dxf>
      <numFmt numFmtId="168" formatCode="0.0000"/>
      <fill>
        <patternFill patternType="none">
          <fgColor indexed="64"/>
          <bgColor auto="1"/>
        </patternFill>
      </fill>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outline="0">
        <left style="thin">
          <color theme="0" tint="-0.24994659260841701"/>
        </left>
      </border>
    </dxf>
    <dxf>
      <numFmt numFmtId="14" formatCode="0.00%"/>
      <fill>
        <patternFill patternType="none">
          <fgColor indexed="64"/>
          <bgColor auto="1"/>
        </patternFill>
      </fill>
      <border outline="0">
        <left style="thin">
          <color theme="0" tint="-0.24994659260841701"/>
        </left>
        <right style="thin">
          <color theme="0" tint="-0.24994659260841701"/>
        </right>
      </border>
    </dxf>
    <dxf>
      <numFmt numFmtId="0" formatCode="General"/>
      <fill>
        <patternFill patternType="none">
          <fgColor indexed="64"/>
          <bgColor auto="1"/>
        </patternFill>
      </fill>
      <border>
        <right style="thin">
          <color theme="0" tint="-0.24994659260841701"/>
        </right>
      </border>
    </dxf>
    <dxf>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outline="0">
        <right style="thin">
          <color theme="0" tint="-0.24994659260841701"/>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8" formatCode="0.0000"/>
      <border outline="0">
        <left style="thin">
          <color theme="0" tint="-0.24994659260841701"/>
        </left>
      </border>
    </dxf>
    <dxf>
      <numFmt numFmtId="168" formatCode="0.0000"/>
      <border outline="0">
        <left style="thin">
          <color theme="0" tint="-0.24994659260841701"/>
        </left>
        <right style="thin">
          <color theme="0" tint="-0.24994659260841701"/>
        </right>
      </border>
    </dxf>
    <dxf>
      <numFmt numFmtId="168" formatCode="0.0000"/>
      <border outline="0">
        <left style="thin">
          <color theme="0" tint="-0.24994659260841701"/>
        </left>
        <right style="thin">
          <color theme="0" tint="-0.24994659260841701"/>
        </right>
      </border>
    </dxf>
    <dxf>
      <numFmt numFmtId="168" formatCode="0.0000"/>
      <border outline="0">
        <left style="thin">
          <color theme="0" tint="-0.24994659260841701"/>
        </left>
        <right style="thin">
          <color theme="0" tint="-0.24994659260841701"/>
        </right>
      </border>
    </dxf>
    <dxf>
      <numFmt numFmtId="168" formatCode="0.0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border outline="0">
        <left style="thin">
          <color theme="0" tint="-0.24994659260841701"/>
        </left>
      </border>
    </dxf>
    <dxf>
      <numFmt numFmtId="14" formatCode="0.00%"/>
      <fill>
        <patternFill patternType="none">
          <fgColor indexed="64"/>
          <bgColor auto="1"/>
        </patternFill>
      </fill>
      <alignment horizontal="general" vertical="top" textRotation="0" wrapText="0" indent="0" justifyLastLine="0" shrinkToFit="0" readingOrder="0"/>
      <border outline="0">
        <left style="thin">
          <color theme="0" tint="-0.24994659260841701"/>
        </left>
        <right style="thin">
          <color theme="0" tint="-0.24994659260841701"/>
        </right>
      </border>
    </dxf>
    <dxf>
      <numFmt numFmtId="0" formatCode="General"/>
      <fill>
        <patternFill patternType="none">
          <fgColor indexed="64"/>
          <bgColor auto="1"/>
        </patternFill>
      </fill>
      <border outline="0">
        <right style="thin">
          <color theme="0" tint="-0.24994659260841701"/>
        </right>
      </border>
    </dxf>
    <dxf>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fill>
        <patternFill patternType="solid">
          <fgColor indexed="64"/>
          <bgColor rgb="FFFFFF00"/>
        </patternFill>
      </fill>
      <border diagonalUp="0" diagonalDown="0">
        <left style="thin">
          <color theme="0"/>
        </left>
        <right style="thin">
          <color theme="0"/>
        </right>
        <top style="thin">
          <color theme="0"/>
        </top>
        <bottom/>
        <vertical/>
        <horizontal/>
      </border>
    </dxf>
    <dxf>
      <fill>
        <patternFill patternType="solid">
          <fgColor indexed="64"/>
          <bgColor rgb="FFFFFF00"/>
        </patternFill>
      </fill>
      <border diagonalUp="0" diagonalDown="0">
        <left style="thin">
          <color theme="0"/>
        </left>
        <right style="thin">
          <color theme="0"/>
        </right>
        <top style="thin">
          <color theme="0"/>
        </top>
        <bottom/>
        <vertical/>
        <horizontal/>
      </border>
    </dxf>
    <dxf>
      <border outline="0">
        <right style="thin">
          <color theme="0"/>
        </right>
      </border>
    </dxf>
    <dxf>
      <border diagonalUp="0" diagonalDown="0">
        <left style="thin">
          <color theme="0"/>
        </left>
        <right/>
        <top style="thin">
          <color theme="0"/>
        </top>
        <bottom style="thin">
          <color theme="0"/>
        </bottom>
        <vertical/>
        <horizontal/>
      </border>
    </dxf>
    <dxf>
      <numFmt numFmtId="20" formatCode="d\-mmm\-yy"/>
    </dxf>
    <dxf>
      <border outline="0">
        <right style="thin">
          <color theme="0"/>
        </right>
        <top style="thin">
          <color theme="0"/>
        </top>
      </border>
    </dxf>
    <dxf>
      <border outline="0">
        <bottom style="thin">
          <color theme="0"/>
        </bottom>
      </border>
    </dxf>
    <dxf>
      <numFmt numFmtId="2" formatCode="0.00"/>
      <border diagonalUp="0" diagonalDown="0">
        <left style="thin">
          <color theme="0"/>
        </left>
        <right/>
        <top style="thin">
          <color theme="0"/>
        </top>
        <bottom style="thin">
          <color theme="0"/>
        </bottom>
        <vertical/>
        <horizontal/>
      </border>
    </dxf>
    <dxf>
      <numFmt numFmtId="20" formatCode="d\-mmm\-yy"/>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fgColor indexed="64"/>
          <bgColor rgb="FF92D050"/>
        </patternFill>
      </fill>
    </dxf>
    <dxf>
      <fill>
        <patternFill>
          <fgColor indexed="64"/>
          <bgColor rgb="FF92D050"/>
        </patternFill>
      </fill>
    </dxf>
    <dxf>
      <border diagonalUp="0" diagonalDown="0">
        <left style="thin">
          <color theme="0"/>
        </left>
        <right/>
        <top style="thin">
          <color theme="0"/>
        </top>
        <bottom style="thin">
          <color theme="0"/>
        </bottom>
        <vertical/>
        <horizontal/>
      </border>
    </dxf>
    <dxf>
      <alignment horizontal="center"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0" formatCode="d\-mmm\-yy"/>
      <border diagonalUp="0" diagonalDown="0" outline="0">
        <left style="thin">
          <color theme="0"/>
        </left>
        <right/>
        <top style="thin">
          <color theme="0"/>
        </top>
        <bottom style="thin">
          <color theme="0"/>
        </bottom>
      </border>
    </dxf>
    <dxf>
      <numFmt numFmtId="20" formatCode="d\-mmm\-yy"/>
    </dxf>
    <dxf>
      <numFmt numFmtId="20" formatCode="d\-mmm\-yy"/>
    </dxf>
    <dxf>
      <numFmt numFmtId="20" formatCode="d\-mmm\-yy"/>
    </dxf>
    <dxf>
      <numFmt numFmtId="20" formatCode="d\-mmm\-yy"/>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13" formatCode="0%"/>
      <border diagonalUp="0" diagonalDown="0">
        <left style="thin">
          <color theme="0"/>
        </left>
        <right/>
        <top style="thin">
          <color theme="0"/>
        </top>
        <bottom style="thin">
          <color theme="0"/>
        </bottom>
        <vertical/>
        <horizontal/>
      </border>
    </dxf>
    <dxf>
      <numFmt numFmtId="13" formatCode="0%"/>
    </dxf>
    <dxf>
      <numFmt numFmtId="13" formatCode="0%"/>
    </dxf>
    <dxf>
      <numFmt numFmtId="13" formatCode="0%"/>
    </dxf>
    <dxf>
      <numFmt numFmtId="13" formatCode="0%"/>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3" formatCode="#,##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3" formatCode="#,##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style="thin">
          <color theme="0"/>
        </left>
        <right/>
        <top style="thin">
          <color theme="0"/>
        </top>
        <bottom style="thin">
          <color theme="0"/>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color auto="1"/>
      </font>
      <numFmt numFmtId="2" formatCode="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dxf>
    <dxf>
      <font>
        <strike val="0"/>
        <outline val="0"/>
        <shadow val="0"/>
        <u val="none"/>
        <vertAlign val="baseline"/>
        <sz val="11"/>
        <color auto="1"/>
        <name val="Calibri"/>
        <family val="2"/>
        <scheme val="none"/>
      </font>
      <numFmt numFmtId="2" formatCode="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dxf>
    <dxf>
      <numFmt numFmtId="2" formatCode="0.00"/>
      <fill>
        <patternFill patternType="solid">
          <fgColor indexed="64"/>
          <bgColor rgb="FF92D050"/>
        </patternFill>
      </fill>
      <alignment horizontal="right" vertical="center" textRotation="0" wrapText="0" indent="0" justifyLastLine="0" shrinkToFit="0" readingOrder="0"/>
      <border diagonalUp="0" diagonalDown="0" outline="0">
        <left style="thin">
          <color theme="0"/>
        </left>
        <right/>
        <top/>
        <bottom style="thin">
          <color theme="0"/>
        </bottom>
      </border>
    </dxf>
    <dxf>
      <numFmt numFmtId="168" formatCode="0.0000"/>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68"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8"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8"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8" formatCode="0.0000"/>
      <alignment horizontal="right" vertical="center" textRotation="0" wrapText="0" indent="0" justifyLastLine="0" shrinkToFit="0" readingOrder="0"/>
    </dxf>
    <dxf>
      <numFmt numFmtId="168" formatCode="0.0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3" formatCode="#,##0"/>
      <fill>
        <patternFill patternType="solid">
          <fgColor indexed="64"/>
          <bgColor rgb="FF92D050"/>
        </patternFill>
      </fill>
      <alignment horizontal="right" vertical="center" textRotation="0" wrapText="0" indent="0" justifyLastLine="0" shrinkToFit="0" readingOrder="0"/>
      <border outline="0">
        <left style="thin">
          <color theme="0"/>
        </left>
        <right style="thin">
          <color theme="0"/>
        </right>
      </border>
    </dxf>
    <dxf>
      <numFmt numFmtId="3" formatCode="#,##0"/>
      <fill>
        <patternFill patternType="solid">
          <fgColor indexed="64"/>
          <bgColor rgb="FF92D050"/>
        </patternFill>
      </fill>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border outline="0">
        <left style="thin">
          <color theme="0"/>
        </left>
        <right style="thin">
          <color theme="0"/>
        </right>
      </border>
    </dxf>
    <dxf>
      <numFmt numFmtId="3" formatCode="#,##0"/>
      <alignment horizontal="right" vertical="center" textRotation="0" wrapText="0" indent="0" justifyLastLine="0" shrinkToFit="0" readingOrder="0"/>
    </dxf>
    <dxf>
      <border outline="0">
        <right style="thin">
          <color theme="0"/>
        </right>
      </border>
    </dxf>
    <dxf>
      <border outline="0">
        <right style="thin">
          <color theme="0"/>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8" formatCode="0.0000"/>
      <fill>
        <patternFill patternType="solid">
          <fgColor indexed="64"/>
          <bgColor rgb="FFFFFF00"/>
        </patternFill>
      </fill>
      <alignment horizontal="right" vertical="center" textRotation="0" wrapText="0" indent="0" justifyLastLine="0" shrinkToFit="0" readingOrder="0"/>
      <border outline="0">
        <left style="thin">
          <color theme="0"/>
        </left>
      </border>
    </dxf>
    <dxf>
      <numFmt numFmtId="20" formatCode="d\-mmm\-yy"/>
      <fill>
        <patternFill patternType="solid">
          <fgColor indexed="64"/>
          <bgColor rgb="FFFFFF00"/>
        </patternFill>
      </fill>
      <alignment horizontal="right" vertical="center" textRotation="0" wrapText="0" indent="0" justifyLastLine="0" shrinkToFit="0" readingOrder="0"/>
      <border outline="0">
        <left style="thin">
          <color theme="0"/>
        </left>
        <right style="thin">
          <color theme="0"/>
        </right>
      </border>
    </dxf>
    <dxf>
      <numFmt numFmtId="173" formatCode="0.00000"/>
      <fill>
        <patternFill patternType="solid">
          <fgColor indexed="64"/>
          <bgColor rgb="FFFFFF00"/>
        </patternFill>
      </fill>
      <alignment horizontal="right" vertical="center" textRotation="0" wrapText="0" indent="0" justifyLastLine="0" shrinkToFit="0" readingOrder="0"/>
      <border outline="0">
        <left style="thin">
          <color theme="0"/>
        </left>
        <right style="thin">
          <color theme="0"/>
        </right>
      </border>
    </dxf>
    <dxf>
      <numFmt numFmtId="20" formatCode="d\-mmm\-yy"/>
      <fill>
        <patternFill patternType="solid">
          <fgColor indexed="64"/>
          <bgColor rgb="FFFFFF00"/>
        </patternFill>
      </fill>
      <alignment horizontal="right" vertical="center" textRotation="0" wrapText="0" indent="0" justifyLastLine="0" shrinkToFit="0" readingOrder="0"/>
      <border outline="0">
        <right style="thin">
          <color theme="0"/>
        </right>
      </border>
    </dxf>
    <dxf>
      <numFmt numFmtId="168" formatCode="0.0000"/>
      <fill>
        <patternFill patternType="solid">
          <fgColor indexed="64"/>
          <bgColor rgb="FF92D050"/>
        </patternFill>
      </fill>
      <alignment horizontal="right" vertical="center" textRotation="0" wrapText="0" indent="0" justifyLastLine="0" shrinkToFit="0" readingOrder="0"/>
      <border outline="0">
        <right style="thin">
          <color theme="0"/>
        </right>
      </border>
    </dxf>
    <dxf>
      <numFmt numFmtId="20" formatCode="d\-mmm\-yy"/>
      <alignment horizontal="right" vertical="center" textRotation="0" wrapText="0" indent="0" justifyLastLine="0" shrinkToFit="0" readingOrder="0"/>
      <border outline="0">
        <right style="thin">
          <color theme="0"/>
        </right>
      </border>
    </dxf>
    <dxf>
      <numFmt numFmtId="173" formatCode="0.00000"/>
      <alignment horizontal="right" vertical="center" textRotation="0" wrapText="0" indent="0" justifyLastLine="0" shrinkToFit="0" readingOrder="0"/>
    </dxf>
    <dxf>
      <numFmt numFmtId="20" formatCode="d\-mmm\-yy"/>
      <alignment horizontal="right" vertical="center" textRotation="0" wrapText="0" indent="0" justifyLastLine="0" shrinkToFit="0" readingOrder="0"/>
    </dxf>
    <dxf>
      <numFmt numFmtId="173" formatCode="0.00000"/>
      <alignment horizontal="right" vertical="center" textRotation="0" wrapText="0" indent="0" justifyLastLine="0" shrinkToFit="0" readingOrder="0"/>
      <border outline="0">
        <left style="thin">
          <color theme="0"/>
        </lef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numFmt numFmtId="168" formatCode="0.0000"/>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right style="thin">
          <color theme="0"/>
        </right>
      </border>
    </dxf>
    <dxf>
      <border outline="0">
        <right style="thin">
          <color theme="0"/>
        </right>
      </border>
    </dxf>
    <dxf>
      <border outline="0">
        <right style="thin">
          <color theme="0"/>
        </right>
      </border>
    </dxf>
    <dxf>
      <border outline="0">
        <top style="thin">
          <color theme="0" tint="-0.24994659260841701"/>
        </top>
      </border>
    </dxf>
    <dxf>
      <border outline="0">
        <top style="thin">
          <color theme="0"/>
        </top>
        <bottom style="thin">
          <color theme="0" tint="-0.24994659260841701"/>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border outline="0">
        <left style="thin">
          <color theme="0" tint="-0.24994659260841701"/>
        </left>
      </border>
    </dxf>
    <dxf>
      <alignment horizontal="general" vertical="top" textRotation="0" wrapText="0" indent="0" justifyLastLine="0" shrinkToFit="0" readingOrder="0"/>
      <border outline="0">
        <left style="thin">
          <color theme="0" tint="-0.24994659260841701"/>
        </left>
        <right style="thin">
          <color theme="0" tint="-0.24994659260841701"/>
        </right>
      </border>
    </dxf>
    <dxf>
      <alignment horizontal="general" vertical="top" textRotation="0" wrapText="0" indent="0" justifyLastLine="0" shrinkToFit="0" readingOrder="0"/>
      <border outline="0">
        <left style="thin">
          <color theme="0" tint="-0.24994659260841701"/>
        </left>
        <right style="thin">
          <color theme="0" tint="-0.24994659260841701"/>
        </right>
      </border>
    </dxf>
    <dxf>
      <alignment horizontal="general" vertical="top" textRotation="0" wrapText="0" indent="0" justifyLastLine="0" shrinkToFit="0" readingOrder="0"/>
      <border outline="0">
        <left style="thin">
          <color theme="0" tint="-0.24994659260841701"/>
        </left>
        <right style="thin">
          <color theme="0" tint="-0.24994659260841701"/>
        </right>
      </border>
    </dxf>
    <dxf>
      <numFmt numFmtId="165" formatCode="&quot;$&quot;#,##0.00_);[Red]\(&quot;$&quot;#,##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outline="0">
        <left style="thin">
          <color theme="0" tint="-0.24994659260841701"/>
        </left>
      </border>
    </dxf>
    <dxf>
      <numFmt numFmtId="169" formatCode="&quot;$&quot;#,##0.0000;[Red]\-&quot;$&quot;#,##0.0000"/>
      <border outline="0">
        <left style="thin">
          <color theme="0" tint="-0.24994659260841701"/>
        </left>
        <right style="thin">
          <color theme="0" tint="-0.24994659260841701"/>
        </right>
      </border>
    </dxf>
    <dxf>
      <numFmt numFmtId="169" formatCode="&quot;$&quot;#,##0.0000;[Red]\-&quot;$&quot;#,##0.0000"/>
      <border outline="0">
        <left style="thin">
          <color theme="0" tint="-0.24994659260841701"/>
        </left>
        <right style="thin">
          <color theme="0" tint="-0.24994659260841701"/>
        </right>
      </border>
    </dxf>
    <dxf>
      <numFmt numFmtId="169" formatCode="&quot;$&quot;#,##0.0000;[Red]\-&quot;$&quot;#,##0.0000"/>
      <border outline="0">
        <left style="thin">
          <color theme="0" tint="-0.24994659260841701"/>
        </left>
        <right style="thin">
          <color theme="0" tint="-0.24994659260841701"/>
        </right>
      </border>
    </dxf>
    <dxf>
      <numFmt numFmtId="169"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outline="0">
        <left style="thin">
          <color theme="0" tint="-0.24994659260841701"/>
        </left>
      </border>
    </dxf>
    <dxf>
      <numFmt numFmtId="169" formatCode="&quot;$&quot;#,##0.0000;[Red]\-&quot;$&quot;#,##0.0000"/>
      <border outline="0">
        <left style="thin">
          <color theme="0" tint="-0.24994659260841701"/>
        </left>
        <right style="thin">
          <color theme="0" tint="-0.24994659260841701"/>
        </right>
      </border>
    </dxf>
    <dxf>
      <numFmt numFmtId="169" formatCode="&quot;$&quot;#,##0.0000;[Red]\-&quot;$&quot;#,##0.0000"/>
      <border outline="0">
        <left style="thin">
          <color theme="0" tint="-0.24994659260841701"/>
        </left>
        <right style="thin">
          <color theme="0" tint="-0.24994659260841701"/>
        </right>
      </border>
    </dxf>
    <dxf>
      <numFmt numFmtId="169" formatCode="&quot;$&quot;#,##0.0000;[Red]\-&quot;$&quot;#,##0.0000"/>
      <border outline="0">
        <left style="thin">
          <color theme="0" tint="-0.24994659260841701"/>
        </left>
        <right style="thin">
          <color theme="0" tint="-0.24994659260841701"/>
        </right>
      </border>
    </dxf>
    <dxf>
      <numFmt numFmtId="169"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outline="0">
        <left style="thin">
          <color theme="0"/>
        </left>
        <right/>
        <top style="thin">
          <color theme="0"/>
        </top>
        <bottom style="thin">
          <color theme="0"/>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outline="0">
        <left style="thin">
          <color theme="0"/>
        </left>
        <right/>
        <top style="thin">
          <color theme="0"/>
        </top>
        <bottom style="thin">
          <color theme="0"/>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outline="0">
        <left style="thin">
          <color theme="0"/>
        </left>
        <right/>
        <top style="thin">
          <color theme="0"/>
        </top>
        <bottom style="thin">
          <color theme="0"/>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ont>
        <b val="0"/>
        <i val="0"/>
        <color theme="0"/>
      </font>
      <fill>
        <patternFill>
          <bgColor rgb="FF4986A0"/>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Default table" defaultPivotStyle="PivotStyleLight16">
    <tableStyle name="Default table" pivot="0" count="1" xr9:uid="{D7A9B941-B66A-4156-9972-EE896AA49F6E}">
      <tableStyleElement type="headerRow" dxfId="788"/>
    </tableStyle>
  </tableStyles>
  <colors>
    <mruColors>
      <color rgb="FFD50032"/>
      <color rgb="FF236192"/>
      <color rgb="FFED7D31"/>
      <color rgb="FF4986A0"/>
      <color rgb="FF7F7F7F"/>
      <color rgb="FF99FFCC"/>
      <color rgb="FFA3ACA9"/>
      <color rgb="FFFF5050"/>
      <color rgb="FFE3E4E5"/>
      <color rgb="FFED8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CH_CostStack_RES!$D$34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CH_CostStack_RES!$C$35:$C$36</c:f>
              <c:strCache>
                <c:ptCount val="2"/>
                <c:pt idx="0">
                  <c:v>VDO 2022-23 - Final</c:v>
                </c:pt>
                <c:pt idx="1">
                  <c:v>VDO 2023-24 - Final</c:v>
                </c:pt>
              </c:strCache>
            </c:strRef>
          </c:cat>
          <c:val>
            <c:numRef>
              <c:f>CH_CostStack_RES!$D$35:$D$36</c:f>
              <c:numCache>
                <c:formatCode>"$"#,##0_);[Red]\("$"#,##0\)</c:formatCode>
                <c:ptCount val="2"/>
                <c:pt idx="0">
                  <c:v>340.44816120348582</c:v>
                </c:pt>
                <c:pt idx="1">
                  <c:v>635.56598304666477</c:v>
                </c:pt>
              </c:numCache>
            </c:numRef>
          </c:val>
          <c:extLst>
            <c:ext xmlns:c16="http://schemas.microsoft.com/office/drawing/2014/chart" uri="{C3380CC4-5D6E-409C-BE32-E72D297353CC}">
              <c16:uniqueId val="{00000000-1443-4A54-89C4-70D92F4B13AE}"/>
            </c:ext>
          </c:extLst>
        </c:ser>
        <c:ser>
          <c:idx val="1"/>
          <c:order val="1"/>
          <c:tx>
            <c:strRef>
              <c:f>CH_CostStack_RES!$E$34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CH_CostStack_RES!$E$35:$E$36</c:f>
              <c:numCache>
                <c:formatCode>"$"#,##0_);[Red]\("$"#,##0\)</c:formatCode>
                <c:ptCount val="2"/>
                <c:pt idx="0">
                  <c:v>526.52793310670654</c:v>
                </c:pt>
                <c:pt idx="1">
                  <c:v>548.78546404067549</c:v>
                </c:pt>
              </c:numCache>
            </c:numRef>
          </c:val>
          <c:extLst>
            <c:ext xmlns:c16="http://schemas.microsoft.com/office/drawing/2014/chart" uri="{C3380CC4-5D6E-409C-BE32-E72D297353CC}">
              <c16:uniqueId val="{00000001-1443-4A54-89C4-70D92F4B13AE}"/>
            </c:ext>
          </c:extLst>
        </c:ser>
        <c:ser>
          <c:idx val="2"/>
          <c:order val="2"/>
          <c:tx>
            <c:strRef>
              <c:f>CH_CostStack_RES!$F$34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CH_CostStack_RES!$F$35:$F$36</c:f>
              <c:numCache>
                <c:formatCode>"$"#,##0_);[Red]\("$"#,##0\)</c:formatCode>
                <c:ptCount val="2"/>
                <c:pt idx="0">
                  <c:v>187.35930628726288</c:v>
                </c:pt>
                <c:pt idx="1">
                  <c:v>175.92415101117138</c:v>
                </c:pt>
              </c:numCache>
            </c:numRef>
          </c:val>
          <c:extLst>
            <c:ext xmlns:c16="http://schemas.microsoft.com/office/drawing/2014/chart" uri="{C3380CC4-5D6E-409C-BE32-E72D297353CC}">
              <c16:uniqueId val="{00000002-1443-4A54-89C4-70D92F4B13AE}"/>
            </c:ext>
          </c:extLst>
        </c:ser>
        <c:ser>
          <c:idx val="3"/>
          <c:order val="3"/>
          <c:tx>
            <c:strRef>
              <c:f>CH_CostStack_RES!$G$34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CH_CostStack_RES!$G$35:$G$36</c:f>
              <c:numCache>
                <c:formatCode>"$"#,##0_);[Red]\("$"#,##0\)</c:formatCode>
                <c:ptCount val="2"/>
                <c:pt idx="0">
                  <c:v>137.93848075266567</c:v>
                </c:pt>
                <c:pt idx="1">
                  <c:v>131.69618635885368</c:v>
                </c:pt>
              </c:numCache>
            </c:numRef>
          </c:val>
          <c:extLst>
            <c:ext xmlns:c16="http://schemas.microsoft.com/office/drawing/2014/chart" uri="{C3380CC4-5D6E-409C-BE32-E72D297353CC}">
              <c16:uniqueId val="{00000003-1443-4A54-89C4-70D92F4B13AE}"/>
            </c:ext>
          </c:extLst>
        </c:ser>
        <c:ser>
          <c:idx val="5"/>
          <c:order val="4"/>
          <c:tx>
            <c:strRef>
              <c:f>CH_CostStack_RES!$I$34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CH_CostStack_RES!$I$35:$I$36</c:f>
              <c:numCache>
                <c:formatCode>"$"#,##0_);[Red]\("$"#,##0\)</c:formatCode>
                <c:ptCount val="2"/>
                <c:pt idx="0">
                  <c:v>72.500125839836628</c:v>
                </c:pt>
                <c:pt idx="1">
                  <c:v>84.863307286151937</c:v>
                </c:pt>
              </c:numCache>
            </c:numRef>
          </c:val>
          <c:extLst>
            <c:ext xmlns:c16="http://schemas.microsoft.com/office/drawing/2014/chart" uri="{C3380CC4-5D6E-409C-BE32-E72D297353CC}">
              <c16:uniqueId val="{00000004-1443-4A54-89C4-70D92F4B13AE}"/>
            </c:ext>
          </c:extLst>
        </c:ser>
        <c:ser>
          <c:idx val="6"/>
          <c:order val="5"/>
          <c:tx>
            <c:strRef>
              <c:f>CH_CostStack_RES!$J$34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CH_CostStack_RES!$J$35:$J$36</c:f>
              <c:numCache>
                <c:formatCode>"$"#,##0_);[Red]\("$"#,##0\)</c:formatCode>
                <c:ptCount val="2"/>
                <c:pt idx="0">
                  <c:v>127.28333351086549</c:v>
                </c:pt>
                <c:pt idx="1">
                  <c:v>160.0279508824579</c:v>
                </c:pt>
              </c:numCache>
            </c:numRef>
          </c:val>
          <c:extLst>
            <c:ext xmlns:c16="http://schemas.microsoft.com/office/drawing/2014/chart" uri="{C3380CC4-5D6E-409C-BE32-E72D297353CC}">
              <c16:uniqueId val="{00000005-1443-4A54-89C4-70D92F4B13AE}"/>
            </c:ext>
          </c:extLst>
        </c:ser>
        <c:ser>
          <c:idx val="4"/>
          <c:order val="6"/>
          <c:tx>
            <c:strRef>
              <c:f>CH_CostStack_RES!$H$34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43-4A54-89C4-70D92F4B13AE}"/>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43-4A54-89C4-70D92F4B13A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CH_CostStack_RES!$H$35:$H$36</c:f>
              <c:numCache>
                <c:formatCode>"$"#,##0_);[Red]\("$"#,##0\)</c:formatCode>
                <c:ptCount val="2"/>
                <c:pt idx="0">
                  <c:v>9.7687112584369906</c:v>
                </c:pt>
                <c:pt idx="1">
                  <c:v>17.775747550251065</c:v>
                </c:pt>
              </c:numCache>
            </c:numRef>
          </c:val>
          <c:extLst>
            <c:ext xmlns:c16="http://schemas.microsoft.com/office/drawing/2014/chart" uri="{C3380CC4-5D6E-409C-BE32-E72D297353CC}">
              <c16:uniqueId val="{00000008-1443-4A54-89C4-70D92F4B13AE}"/>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CH_CostStack_RES!$K$34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CH_CostStack_RES!$K$35:$K$36</c:f>
              <c:numCache>
                <c:formatCode>"$"#,##0_);[Red]\("$"#,##0\)</c:formatCode>
                <c:ptCount val="2"/>
                <c:pt idx="0">
                  <c:v>1403</c:v>
                </c:pt>
                <c:pt idx="1">
                  <c:v>1755</c:v>
                </c:pt>
              </c:numCache>
            </c:numRef>
          </c:val>
          <c:smooth val="0"/>
          <c:extLst>
            <c:ext xmlns:c16="http://schemas.microsoft.com/office/drawing/2014/chart" uri="{C3380CC4-5D6E-409C-BE32-E72D297353CC}">
              <c16:uniqueId val="{00000009-1443-4A54-89C4-70D92F4B13AE}"/>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CH_CostStack_SME!$D$34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CH_CostStack_SME!$C$35:$C$36</c:f>
              <c:strCache>
                <c:ptCount val="2"/>
                <c:pt idx="0">
                  <c:v>VDO 2022-23 - Final</c:v>
                </c:pt>
                <c:pt idx="1">
                  <c:v>VDO 2023-24 - Final</c:v>
                </c:pt>
              </c:strCache>
            </c:strRef>
          </c:cat>
          <c:val>
            <c:numRef>
              <c:f>CH_CostStack_SME!$D$35:$D$36</c:f>
              <c:numCache>
                <c:formatCode>"$"#,##0_);[Red]\("$"#,##0\)</c:formatCode>
                <c:ptCount val="2"/>
                <c:pt idx="0">
                  <c:v>1478.4407342337936</c:v>
                </c:pt>
                <c:pt idx="1">
                  <c:v>2715.1030692508061</c:v>
                </c:pt>
              </c:numCache>
            </c:numRef>
          </c:val>
          <c:extLst>
            <c:ext xmlns:c16="http://schemas.microsoft.com/office/drawing/2014/chart" uri="{C3380CC4-5D6E-409C-BE32-E72D297353CC}">
              <c16:uniqueId val="{00000000-98C1-4C52-82E4-09C95853F255}"/>
            </c:ext>
          </c:extLst>
        </c:ser>
        <c:ser>
          <c:idx val="1"/>
          <c:order val="1"/>
          <c:tx>
            <c:strRef>
              <c:f>CH_CostStack_SME!$E$34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CH_CostStack_SME!$E$35:$E$36</c:f>
              <c:numCache>
                <c:formatCode>"$"#,##0_);[Red]\("$"#,##0\)</c:formatCode>
                <c:ptCount val="2"/>
                <c:pt idx="0">
                  <c:v>2497.0752571067069</c:v>
                </c:pt>
                <c:pt idx="1">
                  <c:v>2591.2946225901419</c:v>
                </c:pt>
              </c:numCache>
            </c:numRef>
          </c:val>
          <c:extLst>
            <c:ext xmlns:c16="http://schemas.microsoft.com/office/drawing/2014/chart" uri="{C3380CC4-5D6E-409C-BE32-E72D297353CC}">
              <c16:uniqueId val="{00000001-98C1-4C52-82E4-09C95853F255}"/>
            </c:ext>
          </c:extLst>
        </c:ser>
        <c:ser>
          <c:idx val="2"/>
          <c:order val="2"/>
          <c:tx>
            <c:strRef>
              <c:f>CH_CostStack_SME!$F$34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CH_CostStack_SME!$F$35:$F$36</c:f>
              <c:numCache>
                <c:formatCode>"$"#,##0_);[Red]\("$"#,##0\)</c:formatCode>
                <c:ptCount val="2"/>
                <c:pt idx="0">
                  <c:v>187.35930628726288</c:v>
                </c:pt>
                <c:pt idx="1">
                  <c:v>175.92415101117138</c:v>
                </c:pt>
              </c:numCache>
            </c:numRef>
          </c:val>
          <c:extLst>
            <c:ext xmlns:c16="http://schemas.microsoft.com/office/drawing/2014/chart" uri="{C3380CC4-5D6E-409C-BE32-E72D297353CC}">
              <c16:uniqueId val="{00000002-98C1-4C52-82E4-09C95853F255}"/>
            </c:ext>
          </c:extLst>
        </c:ser>
        <c:ser>
          <c:idx val="3"/>
          <c:order val="3"/>
          <c:tx>
            <c:strRef>
              <c:f>CH_CostStack_SME!$G$34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CH_CostStack_SME!$G$35:$G$36</c:f>
              <c:numCache>
                <c:formatCode>"$"#,##0_);[Red]\("$"#,##0\)</c:formatCode>
                <c:ptCount val="2"/>
                <c:pt idx="0">
                  <c:v>624.19112178561375</c:v>
                </c:pt>
                <c:pt idx="1">
                  <c:v>590.69864173489839</c:v>
                </c:pt>
              </c:numCache>
            </c:numRef>
          </c:val>
          <c:extLst>
            <c:ext xmlns:c16="http://schemas.microsoft.com/office/drawing/2014/chart" uri="{C3380CC4-5D6E-409C-BE32-E72D297353CC}">
              <c16:uniqueId val="{00000003-98C1-4C52-82E4-09C95853F255}"/>
            </c:ext>
          </c:extLst>
        </c:ser>
        <c:ser>
          <c:idx val="5"/>
          <c:order val="4"/>
          <c:tx>
            <c:strRef>
              <c:f>CH_CostStack_SME!$I$34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CH_CostStack_SME!$I$35:$I$36</c:f>
              <c:numCache>
                <c:formatCode>"$"#,##0_);[Red]\("$"#,##0\)</c:formatCode>
                <c:ptCount val="2"/>
                <c:pt idx="0">
                  <c:v>290.57751698509628</c:v>
                </c:pt>
                <c:pt idx="1">
                  <c:v>344.26486474355988</c:v>
                </c:pt>
              </c:numCache>
            </c:numRef>
          </c:val>
          <c:extLst>
            <c:ext xmlns:c16="http://schemas.microsoft.com/office/drawing/2014/chart" uri="{C3380CC4-5D6E-409C-BE32-E72D297353CC}">
              <c16:uniqueId val="{00000004-98C1-4C52-82E4-09C95853F255}"/>
            </c:ext>
          </c:extLst>
        </c:ser>
        <c:ser>
          <c:idx val="6"/>
          <c:order val="5"/>
          <c:tx>
            <c:strRef>
              <c:f>CH_CostStack_SME!$J$34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CH_CostStack_SME!$J$35:$J$36</c:f>
              <c:numCache>
                <c:formatCode>"$"#,##0_);[Red]\("$"#,##0\)</c:formatCode>
                <c:ptCount val="2"/>
                <c:pt idx="0">
                  <c:v>510.14635597847047</c:v>
                </c:pt>
                <c:pt idx="1">
                  <c:v>649.1851735164272</c:v>
                </c:pt>
              </c:numCache>
            </c:numRef>
          </c:val>
          <c:extLst>
            <c:ext xmlns:c16="http://schemas.microsoft.com/office/drawing/2014/chart" uri="{C3380CC4-5D6E-409C-BE32-E72D297353CC}">
              <c16:uniqueId val="{00000005-98C1-4C52-82E4-09C95853F255}"/>
            </c:ext>
          </c:extLst>
        </c:ser>
        <c:ser>
          <c:idx val="4"/>
          <c:order val="6"/>
          <c:tx>
            <c:strRef>
              <c:f>CH_CostStack_SME!$H$34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C1-4C52-82E4-09C95853F255}"/>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C1-4C52-82E4-09C95853F25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CH_CostStack_SME!$H$35:$H$36</c:f>
              <c:numCache>
                <c:formatCode>"$"#,##0_);[Red]\("$"#,##0\)</c:formatCode>
                <c:ptCount val="2"/>
                <c:pt idx="0">
                  <c:v>32.366540084929895</c:v>
                </c:pt>
                <c:pt idx="1">
                  <c:v>46.223038179639317</c:v>
                </c:pt>
              </c:numCache>
            </c:numRef>
          </c:val>
          <c:extLst>
            <c:ext xmlns:c16="http://schemas.microsoft.com/office/drawing/2014/chart" uri="{C3380CC4-5D6E-409C-BE32-E72D297353CC}">
              <c16:uniqueId val="{00000008-98C1-4C52-82E4-09C95853F255}"/>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CH_CostStack_SME!$K$35:$K$36</c:f>
              <c:numCache>
                <c:formatCode>"$"#,##0_);[Red]\("$"#,##0\)</c:formatCode>
                <c:ptCount val="2"/>
                <c:pt idx="0">
                  <c:v>5620</c:v>
                </c:pt>
                <c:pt idx="1">
                  <c:v>7113</c:v>
                </c:pt>
              </c:numCache>
            </c:numRef>
          </c:val>
          <c:smooth val="0"/>
          <c:extLst>
            <c:ext xmlns:c16="http://schemas.microsoft.com/office/drawing/2014/chart" uri="{C3380CC4-5D6E-409C-BE32-E72D297353CC}">
              <c16:uniqueId val="{00000009-98C1-4C52-82E4-09C95853F255}"/>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'CH_CostStack_SME 10k'!$D$34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 10k'!$C$35:$C$36</c:f>
              <c:strCache>
                <c:ptCount val="2"/>
                <c:pt idx="0">
                  <c:v>VDO 2022-23 - Final</c:v>
                </c:pt>
                <c:pt idx="1">
                  <c:v>VDO 2023-24 - Final</c:v>
                </c:pt>
              </c:strCache>
            </c:strRef>
          </c:cat>
          <c:val>
            <c:numRef>
              <c:f>'CH_CostStack_SME 10k'!$D$35:$D$36</c:f>
              <c:numCache>
                <c:formatCode>"$"#,##0_);[Red]\("$"#,##0\)</c:formatCode>
                <c:ptCount val="2"/>
                <c:pt idx="0">
                  <c:v>739.2203671168968</c:v>
                </c:pt>
                <c:pt idx="1">
                  <c:v>1357.5515346254031</c:v>
                </c:pt>
              </c:numCache>
            </c:numRef>
          </c:val>
          <c:extLst>
            <c:ext xmlns:c16="http://schemas.microsoft.com/office/drawing/2014/chart" uri="{C3380CC4-5D6E-409C-BE32-E72D297353CC}">
              <c16:uniqueId val="{00000000-B84F-40F1-867A-D307187B0F2C}"/>
            </c:ext>
          </c:extLst>
        </c:ser>
        <c:ser>
          <c:idx val="1"/>
          <c:order val="1"/>
          <c:tx>
            <c:strRef>
              <c:f>'CH_CostStack_SME 10k'!$E$34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10k'!$E$35:$E$36</c:f>
              <c:numCache>
                <c:formatCode>"$"#,##0_);[Red]\("$"#,##0\)</c:formatCode>
                <c:ptCount val="2"/>
                <c:pt idx="0">
                  <c:v>1340.3432571067067</c:v>
                </c:pt>
                <c:pt idx="1">
                  <c:v>1395.1974513925231</c:v>
                </c:pt>
              </c:numCache>
            </c:numRef>
          </c:val>
          <c:extLst>
            <c:ext xmlns:c16="http://schemas.microsoft.com/office/drawing/2014/chart" uri="{C3380CC4-5D6E-409C-BE32-E72D297353CC}">
              <c16:uniqueId val="{00000001-B84F-40F1-867A-D307187B0F2C}"/>
            </c:ext>
          </c:extLst>
        </c:ser>
        <c:ser>
          <c:idx val="2"/>
          <c:order val="2"/>
          <c:tx>
            <c:strRef>
              <c:f>'CH_CostStack_SME 10k'!$F$34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10k'!$F$35:$F$36</c:f>
              <c:numCache>
                <c:formatCode>"$"#,##0_);[Red]\("$"#,##0\)</c:formatCode>
                <c:ptCount val="2"/>
                <c:pt idx="0">
                  <c:v>187.35930628726288</c:v>
                </c:pt>
                <c:pt idx="1">
                  <c:v>175.92415101117138</c:v>
                </c:pt>
              </c:numCache>
            </c:numRef>
          </c:val>
          <c:extLst>
            <c:ext xmlns:c16="http://schemas.microsoft.com/office/drawing/2014/chart" uri="{C3380CC4-5D6E-409C-BE32-E72D297353CC}">
              <c16:uniqueId val="{00000002-B84F-40F1-867A-D307187B0F2C}"/>
            </c:ext>
          </c:extLst>
        </c:ser>
        <c:ser>
          <c:idx val="3"/>
          <c:order val="3"/>
          <c:tx>
            <c:strRef>
              <c:f>'CH_CostStack_SME 10k'!$G$34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10k'!$G$35:$G$36</c:f>
              <c:numCache>
                <c:formatCode>"$"#,##0_);[Red]\("$"#,##0\)</c:formatCode>
                <c:ptCount val="2"/>
                <c:pt idx="0">
                  <c:v>320.28322114002123</c:v>
                </c:pt>
                <c:pt idx="1">
                  <c:v>303.8221071248704</c:v>
                </c:pt>
              </c:numCache>
            </c:numRef>
          </c:val>
          <c:extLst>
            <c:ext xmlns:c16="http://schemas.microsoft.com/office/drawing/2014/chart" uri="{C3380CC4-5D6E-409C-BE32-E72D297353CC}">
              <c16:uniqueId val="{00000003-B84F-40F1-867A-D307187B0F2C}"/>
            </c:ext>
          </c:extLst>
        </c:ser>
        <c:ser>
          <c:idx val="5"/>
          <c:order val="4"/>
          <c:tx>
            <c:strRef>
              <c:f>'CH_CostStack_SME 10k'!$I$34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10k'!$I$35:$I$36</c:f>
              <c:numCache>
                <c:formatCode>"$"#,##0_);[Red]\("$"#,##0\)</c:formatCode>
                <c:ptCount val="2"/>
                <c:pt idx="0">
                  <c:v>157.11100565834255</c:v>
                </c:pt>
                <c:pt idx="1">
                  <c:v>183.40618237296695</c:v>
                </c:pt>
              </c:numCache>
            </c:numRef>
          </c:val>
          <c:extLst>
            <c:ext xmlns:c16="http://schemas.microsoft.com/office/drawing/2014/chart" uri="{C3380CC4-5D6E-409C-BE32-E72D297353CC}">
              <c16:uniqueId val="{00000004-B84F-40F1-867A-D307187B0F2C}"/>
            </c:ext>
          </c:extLst>
        </c:ser>
        <c:ser>
          <c:idx val="6"/>
          <c:order val="5"/>
          <c:tx>
            <c:strRef>
              <c:f>'CH_CostStack_SME 10k'!$J$34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10k'!$J$35:$J$36</c:f>
              <c:numCache>
                <c:formatCode>"$"#,##0_);[Red]\("$"#,##0\)</c:formatCode>
                <c:ptCount val="2"/>
                <c:pt idx="0">
                  <c:v>275.82865960282527</c:v>
                </c:pt>
                <c:pt idx="1">
                  <c:v>345.8516581890234</c:v>
                </c:pt>
              </c:numCache>
            </c:numRef>
          </c:val>
          <c:extLst>
            <c:ext xmlns:c16="http://schemas.microsoft.com/office/drawing/2014/chart" uri="{C3380CC4-5D6E-409C-BE32-E72D297353CC}">
              <c16:uniqueId val="{00000005-B84F-40F1-867A-D307187B0F2C}"/>
            </c:ext>
          </c:extLst>
        </c:ser>
        <c:ser>
          <c:idx val="4"/>
          <c:order val="6"/>
          <c:tx>
            <c:strRef>
              <c:f>'CH_CostStack_SME 10k'!$H$34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4F-40F1-867A-D307187B0F2C}"/>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4F-40F1-867A-D307187B0F2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10k'!$H$35:$H$36</c:f>
              <c:numCache>
                <c:formatCode>"$"#,##0_);[Red]\("$"#,##0\)</c:formatCode>
                <c:ptCount val="2"/>
                <c:pt idx="0">
                  <c:v>18.242897068371828</c:v>
                </c:pt>
                <c:pt idx="1">
                  <c:v>28.443481536271662</c:v>
                </c:pt>
              </c:numCache>
            </c:numRef>
          </c:val>
          <c:extLst>
            <c:ext xmlns:c16="http://schemas.microsoft.com/office/drawing/2014/chart" uri="{C3380CC4-5D6E-409C-BE32-E72D297353CC}">
              <c16:uniqueId val="{00000008-B84F-40F1-867A-D307187B0F2C}"/>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 10k'!$K$34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10k'!$K$35:$K$36</c:f>
              <c:numCache>
                <c:formatCode>"$"#,##0_);[Red]\("$"#,##0\)</c:formatCode>
                <c:ptCount val="2"/>
                <c:pt idx="0">
                  <c:v>3039</c:v>
                </c:pt>
                <c:pt idx="1">
                  <c:v>3791</c:v>
                </c:pt>
              </c:numCache>
            </c:numRef>
          </c:val>
          <c:smooth val="0"/>
          <c:extLst>
            <c:ext xmlns:c16="http://schemas.microsoft.com/office/drawing/2014/chart" uri="{C3380CC4-5D6E-409C-BE32-E72D297353CC}">
              <c16:uniqueId val="{00000009-B84F-40F1-867A-D307187B0F2C}"/>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CH_CostElements_Anytime!$D$102</c:f>
              <c:strCache>
                <c:ptCount val="1"/>
                <c:pt idx="0">
                  <c:v>VDO 2021 Variation - Final</c:v>
                </c:pt>
              </c:strCache>
            </c:strRef>
          </c:tx>
          <c:spPr>
            <a:solidFill>
              <a:srgbClr val="7F7F7F">
                <a:alpha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F7F7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CH_CostElements_Anytime!$E$52:$O$52</c:f>
              <c:strCache>
                <c:ptCount val="11"/>
                <c:pt idx="0">
                  <c:v>Total</c:v>
                </c:pt>
                <c:pt idx="1">
                  <c:v>Wholesale</c:v>
                </c:pt>
                <c:pt idx="2">
                  <c:v>Network</c:v>
                </c:pt>
                <c:pt idx="3">
                  <c:v>Network true up</c:v>
                </c:pt>
                <c:pt idx="4">
                  <c:v>Retail</c:v>
                </c:pt>
                <c:pt idx="5">
                  <c:v>Environmental schemes</c:v>
                </c:pt>
                <c:pt idx="6">
                  <c:v>Environmental true up</c:v>
                </c:pt>
                <c:pt idx="7">
                  <c:v>FiT</c:v>
                </c:pt>
                <c:pt idx="8">
                  <c:v>Other</c:v>
                </c:pt>
                <c:pt idx="9">
                  <c:v>Retail margin</c:v>
                </c:pt>
                <c:pt idx="10">
                  <c:v>GST</c:v>
                </c:pt>
              </c:strCache>
            </c:strRef>
          </c:cat>
          <c:val>
            <c:numRef>
              <c:f>CH_CostElements_Anytime!$E$102:$O$102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383-4390-A988-C6681F9C7A4F}"/>
            </c:ext>
          </c:extLst>
        </c:ser>
        <c:ser>
          <c:idx val="1"/>
          <c:order val="1"/>
          <c:tx>
            <c:strRef>
              <c:f>CH_CostElements_Anytime!$D$110</c:f>
              <c:strCache>
                <c:ptCount val="1"/>
                <c:pt idx="0">
                  <c:v>VDO 2022-23 - Final</c:v>
                </c:pt>
              </c:strCache>
            </c:strRef>
          </c:tx>
          <c:spPr>
            <a:solidFill>
              <a:srgbClr val="236192"/>
            </a:solidFill>
            <a:ln>
              <a:noFill/>
            </a:ln>
            <a:effectLst/>
          </c:spPr>
          <c:invertIfNegative val="0"/>
          <c:dLbls>
            <c:dLbl>
              <c:idx val="0"/>
              <c:tx>
                <c:rich>
                  <a:bodyPr/>
                  <a:lstStyle/>
                  <a:p>
                    <a:fld id="{B5CBC207-149C-4B3F-879A-0080D58557AB}" type="CELLRANGE">
                      <a:rPr lang="en-US"/>
                      <a:pPr/>
                      <a:t>[CELLRANGE]</a:t>
                    </a:fld>
                    <a:endParaRPr lang="en-US" baseline="0"/>
                  </a:p>
                  <a:p>
                    <a:fld id="{26E2B9DE-8588-4E7D-9230-9F3596EA5F1D}"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383-4390-A988-C6681F9C7A4F}"/>
                </c:ext>
              </c:extLst>
            </c:dLbl>
            <c:dLbl>
              <c:idx val="1"/>
              <c:tx>
                <c:rich>
                  <a:bodyPr/>
                  <a:lstStyle/>
                  <a:p>
                    <a:fld id="{17121DEF-C01D-40BD-8570-C9E491D40BFE}" type="CELLRANGE">
                      <a:rPr lang="en-US"/>
                      <a:pPr/>
                      <a:t>[CELLRANGE]</a:t>
                    </a:fld>
                    <a:endParaRPr lang="en-US" baseline="0"/>
                  </a:p>
                  <a:p>
                    <a:fld id="{D5F3A100-279C-40B6-8639-0C3642BA58BC}"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383-4390-A988-C6681F9C7A4F}"/>
                </c:ext>
              </c:extLst>
            </c:dLbl>
            <c:dLbl>
              <c:idx val="2"/>
              <c:tx>
                <c:rich>
                  <a:bodyPr/>
                  <a:lstStyle/>
                  <a:p>
                    <a:fld id="{CE5E98F2-8754-4923-8C74-5924DBA01956}" type="CELLRANGE">
                      <a:rPr lang="en-US"/>
                      <a:pPr/>
                      <a:t>[CELLRANGE]</a:t>
                    </a:fld>
                    <a:endParaRPr lang="en-US" baseline="0"/>
                  </a:p>
                  <a:p>
                    <a:fld id="{412D137C-5E2C-43F1-A810-0AF1729CE243}"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383-4390-A988-C6681F9C7A4F}"/>
                </c:ext>
              </c:extLst>
            </c:dLbl>
            <c:dLbl>
              <c:idx val="3"/>
              <c:tx>
                <c:rich>
                  <a:bodyPr/>
                  <a:lstStyle/>
                  <a:p>
                    <a:fld id="{511B5E2C-BDAA-4E9F-8477-64A8A6E6CDB8}" type="CELLRANGE">
                      <a:rPr lang="en-US"/>
                      <a:pPr/>
                      <a:t>[CELLRANGE]</a:t>
                    </a:fld>
                    <a:endParaRPr lang="en-US" baseline="0"/>
                  </a:p>
                  <a:p>
                    <a:fld id="{B80A0DEF-E43C-4F75-A4AD-FEC15619DE50}"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383-4390-A988-C6681F9C7A4F}"/>
                </c:ext>
              </c:extLst>
            </c:dLbl>
            <c:dLbl>
              <c:idx val="4"/>
              <c:tx>
                <c:rich>
                  <a:bodyPr/>
                  <a:lstStyle/>
                  <a:p>
                    <a:fld id="{ED4E7B00-05B6-473B-9499-BD84F6CBA830}" type="CELLRANGE">
                      <a:rPr lang="en-US"/>
                      <a:pPr/>
                      <a:t>[CELLRANGE]</a:t>
                    </a:fld>
                    <a:endParaRPr lang="en-US" baseline="0"/>
                  </a:p>
                  <a:p>
                    <a:fld id="{8A8C3B0A-3F54-4BEE-9F7B-A564EB1DC2E7}"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383-4390-A988-C6681F9C7A4F}"/>
                </c:ext>
              </c:extLst>
            </c:dLbl>
            <c:dLbl>
              <c:idx val="5"/>
              <c:tx>
                <c:rich>
                  <a:bodyPr/>
                  <a:lstStyle/>
                  <a:p>
                    <a:fld id="{619A4AAE-D4FC-4E31-B81C-19244D96C969}" type="CELLRANGE">
                      <a:rPr lang="en-US"/>
                      <a:pPr/>
                      <a:t>[CELLRANGE]</a:t>
                    </a:fld>
                    <a:endParaRPr lang="en-US" baseline="0"/>
                  </a:p>
                  <a:p>
                    <a:fld id="{EFE5B8C5-BA8A-4910-9A51-D42FC0C2F4A2}"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383-4390-A988-C6681F9C7A4F}"/>
                </c:ext>
              </c:extLst>
            </c:dLbl>
            <c:dLbl>
              <c:idx val="6"/>
              <c:tx>
                <c:rich>
                  <a:bodyPr/>
                  <a:lstStyle/>
                  <a:p>
                    <a:fld id="{0CEE4A50-50CC-44F7-8778-9A8DED2BFD0B}" type="CELLRANGE">
                      <a:rPr lang="en-US"/>
                      <a:pPr/>
                      <a:t>[CELLRANGE]</a:t>
                    </a:fld>
                    <a:endParaRPr lang="en-US" baseline="0"/>
                  </a:p>
                  <a:p>
                    <a:fld id="{2124BB6E-FE04-4CF0-BDC5-886F1458361E}"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383-4390-A988-C6681F9C7A4F}"/>
                </c:ext>
              </c:extLst>
            </c:dLbl>
            <c:dLbl>
              <c:idx val="7"/>
              <c:tx>
                <c:rich>
                  <a:bodyPr/>
                  <a:lstStyle/>
                  <a:p>
                    <a:fld id="{512BD022-4B98-427E-9367-21455B5B939E}" type="CELLRANGE">
                      <a:rPr lang="en-US"/>
                      <a:pPr/>
                      <a:t>[CELLRANGE]</a:t>
                    </a:fld>
                    <a:endParaRPr lang="en-US" baseline="0"/>
                  </a:p>
                  <a:p>
                    <a:fld id="{E63CCFB0-FD9F-40AB-A70A-B4A3D0DFFEC1}"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383-4390-A988-C6681F9C7A4F}"/>
                </c:ext>
              </c:extLst>
            </c:dLbl>
            <c:dLbl>
              <c:idx val="8"/>
              <c:tx>
                <c:rich>
                  <a:bodyPr/>
                  <a:lstStyle/>
                  <a:p>
                    <a:fld id="{331799F1-2F49-46AC-A204-984A7C120B3F}" type="CELLRANGE">
                      <a:rPr lang="en-US"/>
                      <a:pPr/>
                      <a:t>[CELLRANGE]</a:t>
                    </a:fld>
                    <a:endParaRPr lang="en-US" baseline="0"/>
                  </a:p>
                  <a:p>
                    <a:fld id="{559E43DE-90D8-4259-BF32-9F0250CF8D53}"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383-4390-A988-C6681F9C7A4F}"/>
                </c:ext>
              </c:extLst>
            </c:dLbl>
            <c:dLbl>
              <c:idx val="9"/>
              <c:tx>
                <c:rich>
                  <a:bodyPr/>
                  <a:lstStyle/>
                  <a:p>
                    <a:fld id="{3824876D-1D39-4A6F-B718-222ACACA8FA6}" type="CELLRANGE">
                      <a:rPr lang="en-US"/>
                      <a:pPr/>
                      <a:t>[CELLRANGE]</a:t>
                    </a:fld>
                    <a:endParaRPr lang="en-US" baseline="0"/>
                  </a:p>
                  <a:p>
                    <a:fld id="{F58F0238-4302-45B4-8276-DFBA7A3E243A}"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383-4390-A988-C6681F9C7A4F}"/>
                </c:ext>
              </c:extLst>
            </c:dLbl>
            <c:dLbl>
              <c:idx val="10"/>
              <c:tx>
                <c:rich>
                  <a:bodyPr/>
                  <a:lstStyle/>
                  <a:p>
                    <a:fld id="{F9469822-5618-4FB9-8765-9068418FC578}" type="CELLRANGE">
                      <a:rPr lang="en-US"/>
                      <a:pPr/>
                      <a:t>[CELLRANGE]</a:t>
                    </a:fld>
                    <a:endParaRPr lang="en-US" baseline="0"/>
                  </a:p>
                  <a:p>
                    <a:fld id="{4CDE321D-DC21-4FDD-B28D-B6EB8DEAAC69}"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383-4390-A988-C6681F9C7A4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36192"/>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val>
            <c:numRef>
              <c:f>CH_CostElements_Anytime!$E$110:$O$110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CH_CostElements_Anytime!$E$118:$O$118</c15:f>
                <c15:dlblRangeCache>
                  <c:ptCount val="11"/>
                  <c:pt idx="0">
                    <c:v>-</c:v>
                  </c:pt>
                  <c:pt idx="1">
                    <c:v>-</c:v>
                  </c:pt>
                  <c:pt idx="2">
                    <c:v>-</c:v>
                  </c:pt>
                  <c:pt idx="3">
                    <c:v>-</c:v>
                  </c:pt>
                  <c:pt idx="4">
                    <c:v>-</c:v>
                  </c:pt>
                  <c:pt idx="5">
                    <c:v>-</c:v>
                  </c:pt>
                  <c:pt idx="6">
                    <c:v>-</c:v>
                  </c:pt>
                  <c:pt idx="7">
                    <c:v>-</c:v>
                  </c:pt>
                  <c:pt idx="8">
                    <c:v>-</c:v>
                  </c:pt>
                  <c:pt idx="9">
                    <c:v>-</c:v>
                  </c:pt>
                  <c:pt idx="10">
                    <c:v>-</c:v>
                  </c:pt>
                </c15:dlblRangeCache>
              </c15:datalabelsRange>
            </c:ext>
            <c:ext xmlns:c16="http://schemas.microsoft.com/office/drawing/2014/chart" uri="{C3380CC4-5D6E-409C-BE32-E72D297353CC}">
              <c16:uniqueId val="{00000003-E383-4390-A988-C6681F9C7A4F}"/>
            </c:ext>
          </c:extLst>
        </c:ser>
        <c:dLbls>
          <c:showLegendKey val="0"/>
          <c:showVal val="0"/>
          <c:showCatName val="0"/>
          <c:showSerName val="0"/>
          <c:showPercent val="0"/>
          <c:showBubbleSize val="0"/>
        </c:dLbls>
        <c:gapWidth val="50"/>
        <c:overlap val="-5"/>
        <c:axId val="1384032960"/>
        <c:axId val="1384034600"/>
      </c:barChart>
      <c:catAx>
        <c:axId val="138403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4034600"/>
        <c:crosses val="autoZero"/>
        <c:auto val="1"/>
        <c:lblAlgn val="ctr"/>
        <c:lblOffset val="100"/>
        <c:noMultiLvlLbl val="0"/>
      </c:catAx>
      <c:valAx>
        <c:axId val="1384034600"/>
        <c:scaling>
          <c:orientation val="minMax"/>
        </c:scaling>
        <c:delete val="1"/>
        <c:axPos val="l"/>
        <c:numFmt formatCode="&quot;$&quot;#,##0_);[Red]\(&quot;$&quot;#,##0\)" sourceLinked="1"/>
        <c:majorTickMark val="none"/>
        <c:minorTickMark val="none"/>
        <c:tickLblPos val="nextTo"/>
        <c:crossAx val="138403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'Pre-VDO MSO vs cost stack_RES'!$D$8</c:f>
              <c:strCache>
                <c:ptCount val="1"/>
                <c:pt idx="0">
                  <c:v>Wholesale</c:v>
                </c:pt>
              </c:strCache>
            </c:strRef>
          </c:tx>
          <c:spPr>
            <a:solidFill>
              <a:srgbClr val="2361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stack_RES'!$D$9:$D$11</c:f>
              <c:numCache>
                <c:formatCode>"$"#,##0_);[Red]\("$"#,##0\)</c:formatCode>
                <c:ptCount val="3"/>
                <c:pt idx="1">
                  <c:v>0</c:v>
                </c:pt>
                <c:pt idx="2">
                  <c:v>0</c:v>
                </c:pt>
              </c:numCache>
            </c:numRef>
          </c:val>
          <c:extLst>
            <c:ext xmlns:c16="http://schemas.microsoft.com/office/drawing/2014/chart" uri="{C3380CC4-5D6E-409C-BE32-E72D297353CC}">
              <c16:uniqueId val="{00000004-CC22-4614-B5A8-E6D90CD3DADF}"/>
            </c:ext>
          </c:extLst>
        </c:ser>
        <c:ser>
          <c:idx val="1"/>
          <c:order val="1"/>
          <c:tx>
            <c:strRef>
              <c:f>'Pre-VDO MSO vs cost stack_RES'!$E$8</c:f>
              <c:strCache>
                <c:ptCount val="1"/>
                <c:pt idx="0">
                  <c:v>Network</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stack_RES'!$E$9:$E$11</c:f>
              <c:numCache>
                <c:formatCode>"$"#,##0_);[Red]\("$"#,##0\)</c:formatCode>
                <c:ptCount val="3"/>
                <c:pt idx="1">
                  <c:v>0</c:v>
                </c:pt>
                <c:pt idx="2">
                  <c:v>0</c:v>
                </c:pt>
              </c:numCache>
            </c:numRef>
          </c:val>
          <c:extLst>
            <c:ext xmlns:c16="http://schemas.microsoft.com/office/drawing/2014/chart" uri="{C3380CC4-5D6E-409C-BE32-E72D297353CC}">
              <c16:uniqueId val="{00000005-CC22-4614-B5A8-E6D90CD3DADF}"/>
            </c:ext>
          </c:extLst>
        </c:ser>
        <c:ser>
          <c:idx val="2"/>
          <c:order val="2"/>
          <c:tx>
            <c:strRef>
              <c:f>'Pre-VDO MSO vs cost stack_RES'!$F$8</c:f>
              <c:strCache>
                <c:ptCount val="1"/>
                <c:pt idx="0">
                  <c:v>Retail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stack_RES'!$F$9:$F$11</c:f>
              <c:numCache>
                <c:formatCode>"$"#,##0_);[Red]\("$"#,##0\)</c:formatCode>
                <c:ptCount val="3"/>
                <c:pt idx="1">
                  <c:v>0</c:v>
                </c:pt>
                <c:pt idx="2">
                  <c:v>0</c:v>
                </c:pt>
              </c:numCache>
            </c:numRef>
          </c:val>
          <c:extLst>
            <c:ext xmlns:c16="http://schemas.microsoft.com/office/drawing/2014/chart" uri="{C3380CC4-5D6E-409C-BE32-E72D297353CC}">
              <c16:uniqueId val="{00000006-CC22-4614-B5A8-E6D90CD3DADF}"/>
            </c:ext>
          </c:extLst>
        </c:ser>
        <c:ser>
          <c:idx val="3"/>
          <c:order val="3"/>
          <c:tx>
            <c:strRef>
              <c:f>'Pre-VDO MSO vs cost stack_RES'!$G$8</c:f>
              <c:strCache>
                <c:ptCount val="1"/>
                <c:pt idx="0">
                  <c:v>Environmental</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stack_RES'!$G$9:$G$11</c:f>
              <c:numCache>
                <c:formatCode>"$"#,##0_);[Red]\("$"#,##0\)</c:formatCode>
                <c:ptCount val="3"/>
                <c:pt idx="1">
                  <c:v>0</c:v>
                </c:pt>
                <c:pt idx="2">
                  <c:v>0</c:v>
                </c:pt>
              </c:numCache>
            </c:numRef>
          </c:val>
          <c:extLst>
            <c:ext xmlns:c16="http://schemas.microsoft.com/office/drawing/2014/chart" uri="{C3380CC4-5D6E-409C-BE32-E72D297353CC}">
              <c16:uniqueId val="{00000009-CC22-4614-B5A8-E6D90CD3DADF}"/>
            </c:ext>
          </c:extLst>
        </c:ser>
        <c:ser>
          <c:idx val="4"/>
          <c:order val="4"/>
          <c:tx>
            <c:strRef>
              <c:f>'Pre-VDO MSO vs cost stack_RES'!$H$8</c:f>
              <c:strCache>
                <c:ptCount val="1"/>
                <c:pt idx="0">
                  <c:v>Other</c:v>
                </c:pt>
              </c:strCache>
            </c:strRef>
          </c:tx>
          <c:spPr>
            <a:solidFill>
              <a:schemeClr val="accent5"/>
            </a:solidFill>
            <a:ln>
              <a:noFill/>
            </a:ln>
            <a:effectLst/>
          </c:spPr>
          <c:invertIfNegative val="0"/>
          <c:dLbls>
            <c:dLbl>
              <c:idx val="1"/>
              <c:layout>
                <c:manualLayout>
                  <c:x val="9.5871094896342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22-4614-B5A8-E6D90CD3DADF}"/>
                </c:ext>
              </c:extLst>
            </c:dLbl>
            <c:dLbl>
              <c:idx val="2"/>
              <c:layout>
                <c:manualLayout>
                  <c:x val="9.5871094896342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22-4614-B5A8-E6D90CD3DA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stack_RES'!$H$9:$H$11</c:f>
              <c:numCache>
                <c:formatCode>"$"#,##0_);[Red]\("$"#,##0\)</c:formatCode>
                <c:ptCount val="3"/>
                <c:pt idx="1">
                  <c:v>0</c:v>
                </c:pt>
                <c:pt idx="2">
                  <c:v>0</c:v>
                </c:pt>
              </c:numCache>
            </c:numRef>
          </c:val>
          <c:extLst>
            <c:ext xmlns:c16="http://schemas.microsoft.com/office/drawing/2014/chart" uri="{C3380CC4-5D6E-409C-BE32-E72D297353CC}">
              <c16:uniqueId val="{0000000C-CC22-4614-B5A8-E6D90CD3DADF}"/>
            </c:ext>
          </c:extLst>
        </c:ser>
        <c:ser>
          <c:idx val="5"/>
          <c:order val="5"/>
          <c:tx>
            <c:strRef>
              <c:f>'Pre-VDO MSO vs cost stack_RES'!$I$8</c:f>
              <c:strCache>
                <c:ptCount val="1"/>
                <c:pt idx="0">
                  <c:v>Retail margin</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stack_RES'!$I$9:$I$11</c:f>
              <c:numCache>
                <c:formatCode>"$"#,##0_);[Red]\("$"#,##0\)</c:formatCode>
                <c:ptCount val="3"/>
                <c:pt idx="1">
                  <c:v>0</c:v>
                </c:pt>
                <c:pt idx="2">
                  <c:v>0</c:v>
                </c:pt>
              </c:numCache>
            </c:numRef>
          </c:val>
          <c:extLst>
            <c:ext xmlns:c16="http://schemas.microsoft.com/office/drawing/2014/chart" uri="{C3380CC4-5D6E-409C-BE32-E72D297353CC}">
              <c16:uniqueId val="{0000000D-CC22-4614-B5A8-E6D90CD3DADF}"/>
            </c:ext>
          </c:extLst>
        </c:ser>
        <c:ser>
          <c:idx val="6"/>
          <c:order val="6"/>
          <c:tx>
            <c:strRef>
              <c:f>'Pre-VDO MSO vs cost stack_RES'!$J$8</c:f>
              <c:strCache>
                <c:ptCount val="1"/>
                <c:pt idx="0">
                  <c:v>GST</c:v>
                </c:pt>
              </c:strCache>
            </c:strRef>
          </c:tx>
          <c:spPr>
            <a:solidFill>
              <a:srgbClr val="E3E4E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stack_RES'!$J$9:$J$11</c:f>
              <c:numCache>
                <c:formatCode>"$"#,##0_);[Red]\("$"#,##0\)</c:formatCode>
                <c:ptCount val="3"/>
                <c:pt idx="1">
                  <c:v>0</c:v>
                </c:pt>
                <c:pt idx="2">
                  <c:v>0</c:v>
                </c:pt>
              </c:numCache>
            </c:numRef>
          </c:val>
          <c:extLst>
            <c:ext xmlns:c16="http://schemas.microsoft.com/office/drawing/2014/chart" uri="{C3380CC4-5D6E-409C-BE32-E72D297353CC}">
              <c16:uniqueId val="{00000013-CC22-4614-B5A8-E6D90CD3DADF}"/>
            </c:ext>
          </c:extLst>
        </c:ser>
        <c:ser>
          <c:idx val="7"/>
          <c:order val="7"/>
          <c:tx>
            <c:strRef>
              <c:f>'Pre-VDO MSO vs cost stack_RES'!$K$8</c:f>
              <c:strCache>
                <c:ptCount val="1"/>
                <c:pt idx="0">
                  <c:v>Median</c:v>
                </c:pt>
              </c:strCache>
            </c:strRef>
          </c:tx>
          <c:spPr>
            <a:solidFill>
              <a:srgbClr val="A3ACA9"/>
            </a:solidFill>
            <a:ln>
              <a:noFill/>
            </a:ln>
            <a:effectLst/>
          </c:spPr>
          <c:invertIfNegative val="0"/>
          <c:cat>
            <c:strRef>
              <c:f>'Pre-VDO MSO vs cost stack_RES'!$C$9:$C$11</c:f>
              <c:strCache>
                <c:ptCount val="3"/>
                <c:pt idx="0">
                  <c:v>Median Standing Offer Jun 2019</c:v>
                </c:pt>
                <c:pt idx="1">
                  <c:v>VDO 2022 - Final</c:v>
                </c:pt>
                <c:pt idx="2">
                  <c:v>VDO 2022-23 - Final</c:v>
                </c:pt>
              </c:strCache>
            </c:strRef>
          </c:cat>
          <c:val>
            <c:numRef>
              <c:f>'Pre-VDO MSO vs cost stack_RES'!$K$9:$K$11</c:f>
              <c:numCache>
                <c:formatCode>"$"#,##0_);[Red]\("$"#,##0\)</c:formatCode>
                <c:ptCount val="3"/>
                <c:pt idx="0">
                  <c:v>1844.905</c:v>
                </c:pt>
              </c:numCache>
            </c:numRef>
          </c:val>
          <c:extLst>
            <c:ext xmlns:c16="http://schemas.microsoft.com/office/drawing/2014/chart" uri="{C3380CC4-5D6E-409C-BE32-E72D297353CC}">
              <c16:uniqueId val="{00000016-CC22-4614-B5A8-E6D90CD3DADF}"/>
            </c:ext>
          </c:extLst>
        </c:ser>
        <c:ser>
          <c:idx val="8"/>
          <c:order val="8"/>
          <c:tx>
            <c:strRef>
              <c:f>'Pre-VDO MSO vs cost stack_RES'!$L$8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stack_RES'!$C$9:$C$11</c:f>
              <c:strCache>
                <c:ptCount val="3"/>
                <c:pt idx="0">
                  <c:v>Median Standing Offer Jun 2019</c:v>
                </c:pt>
                <c:pt idx="1">
                  <c:v>VDO 2022 - Final</c:v>
                </c:pt>
                <c:pt idx="2">
                  <c:v>VDO 2022-23 - Final</c:v>
                </c:pt>
              </c:strCache>
            </c:strRef>
          </c:cat>
          <c:val>
            <c:numRef>
              <c:f>'Pre-VDO MSO vs cost stack_RES'!$L$9:$L$11</c:f>
              <c:numCache>
                <c:formatCode>"$"#,##0_);[Red]\("$"#,##0\)</c:formatCode>
                <c:ptCount val="3"/>
                <c:pt idx="0">
                  <c:v>1844.905</c:v>
                </c:pt>
                <c:pt idx="1">
                  <c:v>0</c:v>
                </c:pt>
                <c:pt idx="2">
                  <c:v>0</c:v>
                </c:pt>
              </c:numCache>
            </c:numRef>
          </c:val>
          <c:extLst>
            <c:ext xmlns:c16="http://schemas.microsoft.com/office/drawing/2014/chart" uri="{C3380CC4-5D6E-409C-BE32-E72D297353CC}">
              <c16:uniqueId val="{00000017-CC22-4614-B5A8-E6D90CD3DADF}"/>
            </c:ext>
          </c:extLst>
        </c:ser>
        <c:dLbls>
          <c:showLegendKey val="0"/>
          <c:showVal val="0"/>
          <c:showCatName val="0"/>
          <c:showSerName val="0"/>
          <c:showPercent val="0"/>
          <c:showBubbleSize val="0"/>
        </c:dLbls>
        <c:gapWidth val="150"/>
        <c:overlap val="100"/>
        <c:axId val="1716220240"/>
        <c:axId val="1716229808"/>
      </c:barChart>
      <c:catAx>
        <c:axId val="171622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16229808"/>
        <c:crosses val="autoZero"/>
        <c:auto val="1"/>
        <c:lblAlgn val="ctr"/>
        <c:lblOffset val="100"/>
        <c:noMultiLvlLbl val="0"/>
      </c:catAx>
      <c:valAx>
        <c:axId val="1716229808"/>
        <c:scaling>
          <c:orientation val="minMax"/>
          <c:max val="2000"/>
        </c:scaling>
        <c:delete val="1"/>
        <c:axPos val="l"/>
        <c:majorGridlines>
          <c:spPr>
            <a:ln w="9525" cap="flat" cmpd="sng" algn="ctr">
              <a:noFill/>
              <a:round/>
            </a:ln>
            <a:effectLst/>
          </c:spPr>
        </c:majorGridlines>
        <c:numFmt formatCode="&quot;$&quot;#,##0_);[Red]\(&quot;$&quot;#,##0\)" sourceLinked="1"/>
        <c:majorTickMark val="out"/>
        <c:minorTickMark val="none"/>
        <c:tickLblPos val="nextTo"/>
        <c:crossAx val="1716220240"/>
        <c:crosses val="autoZero"/>
        <c:crossBetween val="between"/>
      </c:valAx>
      <c:spPr>
        <a:noFill/>
        <a:ln>
          <a:noFill/>
        </a:ln>
        <a:effectLst/>
      </c:spPr>
    </c:plotArea>
    <c:legend>
      <c:legendPos val="b"/>
      <c:legendEntry>
        <c:idx val="7"/>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'Pre-VDO MSO vs cost stack_SME'!$D$8</c:f>
              <c:strCache>
                <c:ptCount val="1"/>
                <c:pt idx="0">
                  <c:v>Wholesale</c:v>
                </c:pt>
              </c:strCache>
            </c:strRef>
          </c:tx>
          <c:spPr>
            <a:solidFill>
              <a:srgbClr val="2361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stack_SME'!$D$9:$D$11</c:f>
              <c:numCache>
                <c:formatCode>"$"#,##0_);[Red]\("$"#,##0\)</c:formatCode>
                <c:ptCount val="3"/>
                <c:pt idx="1">
                  <c:v>0</c:v>
                </c:pt>
                <c:pt idx="2">
                  <c:v>0</c:v>
                </c:pt>
              </c:numCache>
            </c:numRef>
          </c:val>
          <c:extLst>
            <c:ext xmlns:c16="http://schemas.microsoft.com/office/drawing/2014/chart" uri="{C3380CC4-5D6E-409C-BE32-E72D297353CC}">
              <c16:uniqueId val="{00000000-FEF1-454B-A710-C35506178C1E}"/>
            </c:ext>
          </c:extLst>
        </c:ser>
        <c:ser>
          <c:idx val="1"/>
          <c:order val="1"/>
          <c:tx>
            <c:strRef>
              <c:f>'Pre-VDO MSO vs cost stack_SME'!$E$8</c:f>
              <c:strCache>
                <c:ptCount val="1"/>
                <c:pt idx="0">
                  <c:v>Network</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stack_SME'!$E$9:$E$11</c:f>
              <c:numCache>
                <c:formatCode>"$"#,##0_);[Red]\("$"#,##0\)</c:formatCode>
                <c:ptCount val="3"/>
                <c:pt idx="1">
                  <c:v>0</c:v>
                </c:pt>
                <c:pt idx="2">
                  <c:v>0</c:v>
                </c:pt>
              </c:numCache>
            </c:numRef>
          </c:val>
          <c:extLst>
            <c:ext xmlns:c16="http://schemas.microsoft.com/office/drawing/2014/chart" uri="{C3380CC4-5D6E-409C-BE32-E72D297353CC}">
              <c16:uniqueId val="{00000001-FEF1-454B-A710-C35506178C1E}"/>
            </c:ext>
          </c:extLst>
        </c:ser>
        <c:ser>
          <c:idx val="2"/>
          <c:order val="2"/>
          <c:tx>
            <c:strRef>
              <c:f>'Pre-VDO MSO vs cost stack_SME'!$F$8</c:f>
              <c:strCache>
                <c:ptCount val="1"/>
                <c:pt idx="0">
                  <c:v>Retail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stack_SME'!$F$9:$F$11</c:f>
              <c:numCache>
                <c:formatCode>"$"#,##0_);[Red]\("$"#,##0\)</c:formatCode>
                <c:ptCount val="3"/>
                <c:pt idx="1">
                  <c:v>0</c:v>
                </c:pt>
                <c:pt idx="2">
                  <c:v>0</c:v>
                </c:pt>
              </c:numCache>
            </c:numRef>
          </c:val>
          <c:extLst>
            <c:ext xmlns:c16="http://schemas.microsoft.com/office/drawing/2014/chart" uri="{C3380CC4-5D6E-409C-BE32-E72D297353CC}">
              <c16:uniqueId val="{00000002-FEF1-454B-A710-C35506178C1E}"/>
            </c:ext>
          </c:extLst>
        </c:ser>
        <c:ser>
          <c:idx val="3"/>
          <c:order val="3"/>
          <c:tx>
            <c:strRef>
              <c:f>'Pre-VDO MSO vs cost stack_SME'!$G$8</c:f>
              <c:strCache>
                <c:ptCount val="1"/>
                <c:pt idx="0">
                  <c:v>Environmental</c:v>
                </c:pt>
              </c:strCache>
            </c:strRef>
          </c:tx>
          <c:spPr>
            <a:solidFill>
              <a:srgbClr val="4986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stack_SME'!$G$9:$G$11</c:f>
              <c:numCache>
                <c:formatCode>"$"#,##0_);[Red]\("$"#,##0\)</c:formatCode>
                <c:ptCount val="3"/>
                <c:pt idx="1">
                  <c:v>0</c:v>
                </c:pt>
                <c:pt idx="2">
                  <c:v>0</c:v>
                </c:pt>
              </c:numCache>
            </c:numRef>
          </c:val>
          <c:extLst>
            <c:ext xmlns:c16="http://schemas.microsoft.com/office/drawing/2014/chart" uri="{C3380CC4-5D6E-409C-BE32-E72D297353CC}">
              <c16:uniqueId val="{00000003-FEF1-454B-A710-C35506178C1E}"/>
            </c:ext>
          </c:extLst>
        </c:ser>
        <c:ser>
          <c:idx val="4"/>
          <c:order val="4"/>
          <c:tx>
            <c:strRef>
              <c:f>'Pre-VDO MSO vs cost stack_SME'!$H$8</c:f>
              <c:strCache>
                <c:ptCount val="1"/>
                <c:pt idx="0">
                  <c:v>Other</c:v>
                </c:pt>
              </c:strCache>
            </c:strRef>
          </c:tx>
          <c:spPr>
            <a:solidFill>
              <a:schemeClr val="accent5"/>
            </a:solidFill>
            <a:ln>
              <a:noFill/>
            </a:ln>
            <a:effectLst/>
          </c:spPr>
          <c:invertIfNegative val="0"/>
          <c:dLbls>
            <c:dLbl>
              <c:idx val="1"/>
              <c:layout>
                <c:manualLayout>
                  <c:x val="9.5871094896342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F1-454B-A710-C35506178C1E}"/>
                </c:ext>
              </c:extLst>
            </c:dLbl>
            <c:dLbl>
              <c:idx val="2"/>
              <c:layout>
                <c:manualLayout>
                  <c:x val="9.5871094896342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F1-454B-A710-C35506178C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stack_SME'!$H$9:$H$11</c:f>
              <c:numCache>
                <c:formatCode>"$"#,##0_);[Red]\("$"#,##0\)</c:formatCode>
                <c:ptCount val="3"/>
                <c:pt idx="1">
                  <c:v>0</c:v>
                </c:pt>
                <c:pt idx="2">
                  <c:v>0</c:v>
                </c:pt>
              </c:numCache>
            </c:numRef>
          </c:val>
          <c:extLst>
            <c:ext xmlns:c16="http://schemas.microsoft.com/office/drawing/2014/chart" uri="{C3380CC4-5D6E-409C-BE32-E72D297353CC}">
              <c16:uniqueId val="{00000006-FEF1-454B-A710-C35506178C1E}"/>
            </c:ext>
          </c:extLst>
        </c:ser>
        <c:ser>
          <c:idx val="5"/>
          <c:order val="5"/>
          <c:tx>
            <c:strRef>
              <c:f>'Pre-VDO MSO vs cost stack_SME'!$I$8</c:f>
              <c:strCache>
                <c:ptCount val="1"/>
                <c:pt idx="0">
                  <c:v>Retail margin</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stack_SME'!$I$9:$I$11</c:f>
              <c:numCache>
                <c:formatCode>"$"#,##0_);[Red]\("$"#,##0\)</c:formatCode>
                <c:ptCount val="3"/>
                <c:pt idx="1">
                  <c:v>0</c:v>
                </c:pt>
                <c:pt idx="2">
                  <c:v>0</c:v>
                </c:pt>
              </c:numCache>
            </c:numRef>
          </c:val>
          <c:extLst>
            <c:ext xmlns:c16="http://schemas.microsoft.com/office/drawing/2014/chart" uri="{C3380CC4-5D6E-409C-BE32-E72D297353CC}">
              <c16:uniqueId val="{00000007-FEF1-454B-A710-C35506178C1E}"/>
            </c:ext>
          </c:extLst>
        </c:ser>
        <c:ser>
          <c:idx val="6"/>
          <c:order val="6"/>
          <c:tx>
            <c:strRef>
              <c:f>'Pre-VDO MSO vs cost stack_SME'!$J$8</c:f>
              <c:strCache>
                <c:ptCount val="1"/>
                <c:pt idx="0">
                  <c:v>GST</c:v>
                </c:pt>
              </c:strCache>
            </c:strRef>
          </c:tx>
          <c:spPr>
            <a:solidFill>
              <a:srgbClr val="E3E4E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stack_SME'!$J$9:$J$11</c:f>
              <c:numCache>
                <c:formatCode>"$"#,##0_);[Red]\("$"#,##0\)</c:formatCode>
                <c:ptCount val="3"/>
                <c:pt idx="1">
                  <c:v>0</c:v>
                </c:pt>
                <c:pt idx="2">
                  <c:v>0</c:v>
                </c:pt>
              </c:numCache>
            </c:numRef>
          </c:val>
          <c:extLst>
            <c:ext xmlns:c16="http://schemas.microsoft.com/office/drawing/2014/chart" uri="{C3380CC4-5D6E-409C-BE32-E72D297353CC}">
              <c16:uniqueId val="{00000008-FEF1-454B-A710-C35506178C1E}"/>
            </c:ext>
          </c:extLst>
        </c:ser>
        <c:ser>
          <c:idx val="7"/>
          <c:order val="7"/>
          <c:tx>
            <c:strRef>
              <c:f>'Pre-VDO MSO vs cost stack_SME'!$K$8</c:f>
              <c:strCache>
                <c:ptCount val="1"/>
                <c:pt idx="0">
                  <c:v>Median</c:v>
                </c:pt>
              </c:strCache>
            </c:strRef>
          </c:tx>
          <c:spPr>
            <a:solidFill>
              <a:srgbClr val="A3ACA9"/>
            </a:solidFill>
            <a:ln>
              <a:noFill/>
            </a:ln>
            <a:effectLst/>
          </c:spPr>
          <c:invertIfNegative val="0"/>
          <c:cat>
            <c:strRef>
              <c:f>'Pre-VDO MSO vs cost stack_SME'!$C$9:$C$11</c:f>
              <c:strCache>
                <c:ptCount val="3"/>
                <c:pt idx="0">
                  <c:v>Median Standing Offer Jun 2019</c:v>
                </c:pt>
                <c:pt idx="1">
                  <c:v>VDO 2022 - Final</c:v>
                </c:pt>
                <c:pt idx="2">
                  <c:v>VDO 2022-23 - Final</c:v>
                </c:pt>
              </c:strCache>
            </c:strRef>
          </c:cat>
          <c:val>
            <c:numRef>
              <c:f>'Pre-VDO MSO vs cost stack_SME'!$K$9:$K$11</c:f>
              <c:numCache>
                <c:formatCode>"$"#,##0_);[Red]\("$"#,##0\)</c:formatCode>
                <c:ptCount val="3"/>
                <c:pt idx="0">
                  <c:v>7988.2</c:v>
                </c:pt>
              </c:numCache>
            </c:numRef>
          </c:val>
          <c:extLst>
            <c:ext xmlns:c16="http://schemas.microsoft.com/office/drawing/2014/chart" uri="{C3380CC4-5D6E-409C-BE32-E72D297353CC}">
              <c16:uniqueId val="{00000009-FEF1-454B-A710-C35506178C1E}"/>
            </c:ext>
          </c:extLst>
        </c:ser>
        <c:ser>
          <c:idx val="8"/>
          <c:order val="8"/>
          <c:tx>
            <c:strRef>
              <c:f>'Pre-VDO MSO vs cost stack_SME'!$L$8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'Pre-VDO MSO vs cost stack_SME'!$C$9:$C$11</c:f>
              <c:strCache>
                <c:ptCount val="3"/>
                <c:pt idx="0">
                  <c:v>Median Standing Offer Jun 2019</c:v>
                </c:pt>
                <c:pt idx="1">
                  <c:v>VDO 2022 - Final</c:v>
                </c:pt>
                <c:pt idx="2">
                  <c:v>VDO 2022-23 - Final</c:v>
                </c:pt>
              </c:strCache>
            </c:strRef>
          </c:cat>
          <c:val>
            <c:numRef>
              <c:f>'Pre-VDO MSO vs cost stack_SME'!$L$9:$L$11</c:f>
              <c:numCache>
                <c:formatCode>"$"#,##0_);[Red]\("$"#,##0\)</c:formatCode>
                <c:ptCount val="3"/>
                <c:pt idx="0">
                  <c:v>7988.2</c:v>
                </c:pt>
                <c:pt idx="1">
                  <c:v>0</c:v>
                </c:pt>
                <c:pt idx="2">
                  <c:v>0</c:v>
                </c:pt>
              </c:numCache>
            </c:numRef>
          </c:val>
          <c:extLst>
            <c:ext xmlns:c16="http://schemas.microsoft.com/office/drawing/2014/chart" uri="{C3380CC4-5D6E-409C-BE32-E72D297353CC}">
              <c16:uniqueId val="{0000000A-FEF1-454B-A710-C35506178C1E}"/>
            </c:ext>
          </c:extLst>
        </c:ser>
        <c:dLbls>
          <c:showLegendKey val="0"/>
          <c:showVal val="0"/>
          <c:showCatName val="0"/>
          <c:showSerName val="0"/>
          <c:showPercent val="0"/>
          <c:showBubbleSize val="0"/>
        </c:dLbls>
        <c:gapWidth val="150"/>
        <c:overlap val="100"/>
        <c:axId val="1716220240"/>
        <c:axId val="1716229808"/>
      </c:barChart>
      <c:catAx>
        <c:axId val="171622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16229808"/>
        <c:crosses val="autoZero"/>
        <c:auto val="1"/>
        <c:lblAlgn val="ctr"/>
        <c:lblOffset val="100"/>
        <c:noMultiLvlLbl val="0"/>
      </c:catAx>
      <c:valAx>
        <c:axId val="1716229808"/>
        <c:scaling>
          <c:orientation val="minMax"/>
          <c:max val="8500"/>
          <c:min val="0"/>
        </c:scaling>
        <c:delete val="1"/>
        <c:axPos val="l"/>
        <c:majorGridlines>
          <c:spPr>
            <a:ln w="9525" cap="flat" cmpd="sng" algn="ctr">
              <a:noFill/>
              <a:round/>
            </a:ln>
            <a:effectLst/>
          </c:spPr>
        </c:majorGridlines>
        <c:numFmt formatCode="&quot;$&quot;#,##0_);[Red]\(&quot;$&quot;#,##0\)" sourceLinked="1"/>
        <c:majorTickMark val="out"/>
        <c:minorTickMark val="none"/>
        <c:tickLblPos val="nextTo"/>
        <c:crossAx val="1716220240"/>
        <c:crosses val="autoZero"/>
        <c:crossBetween val="between"/>
      </c:valAx>
      <c:spPr>
        <a:noFill/>
        <a:ln>
          <a:noFill/>
        </a:ln>
        <a:effectLst/>
      </c:spPr>
    </c:plotArea>
    <c:legend>
      <c:legendPos val="b"/>
      <c:legendEntry>
        <c:idx val="7"/>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S%20-%20VDO%202023-24%20-%20VDO%20calculation%20model%20-%20V1.0.XLSX" TargetMode="Externa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5543550</xdr:colOff>
      <xdr:row>2</xdr:row>
      <xdr:rowOff>0</xdr:rowOff>
    </xdr:from>
    <xdr:to>
      <xdr:col>12</xdr:col>
      <xdr:colOff>232210</xdr:colOff>
      <xdr:row>21</xdr:row>
      <xdr:rowOff>70579</xdr:rowOff>
    </xdr:to>
    <xdr:pic>
      <xdr:nvPicPr>
        <xdr:cNvPr id="10" name="Picture 9">
          <a:extLst>
            <a:ext uri="{FF2B5EF4-FFF2-40B4-BE49-F238E27FC236}">
              <a16:creationId xmlns:a16="http://schemas.microsoft.com/office/drawing/2014/main" id="{2E5EA21F-069E-15CE-8E6F-D5A5A920DBDE}"/>
            </a:ext>
          </a:extLst>
        </xdr:cNvPr>
        <xdr:cNvPicPr>
          <a:picLocks noChangeAspect="1"/>
        </xdr:cNvPicPr>
      </xdr:nvPicPr>
      <xdr:blipFill>
        <a:blip xmlns:r="http://schemas.openxmlformats.org/officeDocument/2006/relationships" r:embed="rId1"/>
        <a:stretch>
          <a:fillRect/>
        </a:stretch>
      </xdr:blipFill>
      <xdr:spPr>
        <a:xfrm>
          <a:off x="6153150" y="381000"/>
          <a:ext cx="6480610" cy="5480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56028</xdr:colOff>
      <xdr:row>96</xdr:row>
      <xdr:rowOff>199214</xdr:rowOff>
    </xdr:from>
    <xdr:to>
      <xdr:col>9</xdr:col>
      <xdr:colOff>750792</xdr:colOff>
      <xdr:row>103</xdr:row>
      <xdr:rowOff>97045</xdr:rowOff>
    </xdr:to>
    <xdr:sp macro="" textlink="">
      <xdr:nvSpPr>
        <xdr:cNvPr id="349" name="Rectangle 348">
          <a:extLst>
            <a:ext uri="{FF2B5EF4-FFF2-40B4-BE49-F238E27FC236}">
              <a16:creationId xmlns:a16="http://schemas.microsoft.com/office/drawing/2014/main" id="{97F6ABEB-DE10-4C5D-8BB6-009E223E8CE6}"/>
            </a:ext>
          </a:extLst>
        </xdr:cNvPr>
        <xdr:cNvSpPr/>
      </xdr:nvSpPr>
      <xdr:spPr>
        <a:xfrm>
          <a:off x="9300881" y="19753479"/>
          <a:ext cx="5838264"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variable charge ($/year)</a:t>
          </a:r>
        </a:p>
      </xdr:txBody>
    </xdr:sp>
    <xdr:clientData/>
  </xdr:twoCellAnchor>
  <xdr:twoCellAnchor>
    <xdr:from>
      <xdr:col>2</xdr:col>
      <xdr:colOff>2364524</xdr:colOff>
      <xdr:row>96</xdr:row>
      <xdr:rowOff>199214</xdr:rowOff>
    </xdr:from>
    <xdr:to>
      <xdr:col>5</xdr:col>
      <xdr:colOff>1299882</xdr:colOff>
      <xdr:row>103</xdr:row>
      <xdr:rowOff>97045</xdr:rowOff>
    </xdr:to>
    <xdr:sp macro="" textlink="">
      <xdr:nvSpPr>
        <xdr:cNvPr id="363" name="Rectangle 362">
          <a:extLst>
            <a:ext uri="{FF2B5EF4-FFF2-40B4-BE49-F238E27FC236}">
              <a16:creationId xmlns:a16="http://schemas.microsoft.com/office/drawing/2014/main" id="{85F62CFE-F7A7-4C40-B18A-3BC3CE0156B7}"/>
            </a:ext>
          </a:extLst>
        </xdr:cNvPr>
        <xdr:cNvSpPr/>
      </xdr:nvSpPr>
      <xdr:spPr>
        <a:xfrm>
          <a:off x="3081700" y="19753479"/>
          <a:ext cx="5748535"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supply charge ($/year)</a:t>
          </a:r>
        </a:p>
      </xdr:txBody>
    </xdr:sp>
    <xdr:clientData/>
  </xdr:twoCellAnchor>
  <xdr:twoCellAnchor>
    <xdr:from>
      <xdr:col>2</xdr:col>
      <xdr:colOff>2454171</xdr:colOff>
      <xdr:row>98</xdr:row>
      <xdr:rowOff>44823</xdr:rowOff>
    </xdr:from>
    <xdr:to>
      <xdr:col>4</xdr:col>
      <xdr:colOff>907676</xdr:colOff>
      <xdr:row>103</xdr:row>
      <xdr:rowOff>39133</xdr:rowOff>
    </xdr:to>
    <xdr:sp macro="" textlink="">
      <xdr:nvSpPr>
        <xdr:cNvPr id="375" name="TextBox 374">
          <a:extLst>
            <a:ext uri="{FF2B5EF4-FFF2-40B4-BE49-F238E27FC236}">
              <a16:creationId xmlns:a16="http://schemas.microsoft.com/office/drawing/2014/main" id="{710E2D9B-331D-43EB-A449-8186F13AF7E5}"/>
            </a:ext>
          </a:extLst>
        </xdr:cNvPr>
        <xdr:cNvSpPr txBox="1"/>
      </xdr:nvSpPr>
      <xdr:spPr>
        <a:xfrm>
          <a:off x="3171347"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supply charge</a:t>
          </a:r>
          <a:r>
            <a:rPr lang="en-AU" sz="900" b="1" baseline="0">
              <a:solidFill>
                <a:schemeClr val="bg1"/>
              </a:solidFill>
              <a:latin typeface="+mj-lt"/>
              <a:ea typeface="+mn-ea"/>
              <a:cs typeface="Arial" panose="020B0604020202020204" pitchFamily="34" charset="0"/>
            </a:rPr>
            <a:t> ($/day)</a:t>
          </a:r>
          <a:endParaRPr lang="en-AU" sz="900" b="1">
            <a:solidFill>
              <a:schemeClr val="bg1"/>
            </a:solidFill>
            <a:latin typeface="+mj-lt"/>
            <a:ea typeface="+mn-ea"/>
            <a:cs typeface="Arial" panose="020B0604020202020204" pitchFamily="34" charset="0"/>
          </a:endParaRPr>
        </a:p>
      </xdr:txBody>
    </xdr:sp>
    <xdr:clientData/>
  </xdr:twoCellAnchor>
  <xdr:twoCellAnchor>
    <xdr:from>
      <xdr:col>6</xdr:col>
      <xdr:colOff>257816</xdr:colOff>
      <xdr:row>98</xdr:row>
      <xdr:rowOff>44823</xdr:rowOff>
    </xdr:from>
    <xdr:to>
      <xdr:col>8</xdr:col>
      <xdr:colOff>380998</xdr:colOff>
      <xdr:row>103</xdr:row>
      <xdr:rowOff>39133</xdr:rowOff>
    </xdr:to>
    <xdr:sp macro="" textlink="">
      <xdr:nvSpPr>
        <xdr:cNvPr id="376" name="TextBox 375">
          <a:extLst>
            <a:ext uri="{FF2B5EF4-FFF2-40B4-BE49-F238E27FC236}">
              <a16:creationId xmlns:a16="http://schemas.microsoft.com/office/drawing/2014/main" id="{1E00ABB1-8718-431E-BCA5-766806932C88}"/>
            </a:ext>
          </a:extLst>
        </xdr:cNvPr>
        <xdr:cNvSpPr txBox="1"/>
      </xdr:nvSpPr>
      <xdr:spPr>
        <a:xfrm>
          <a:off x="9502669"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variable charge</a:t>
          </a:r>
          <a:r>
            <a:rPr lang="en-AU" sz="900" b="1" baseline="0">
              <a:solidFill>
                <a:schemeClr val="bg1"/>
              </a:solidFill>
              <a:latin typeface="+mj-lt"/>
              <a:ea typeface="+mn-ea"/>
              <a:cs typeface="Arial" panose="020B0604020202020204" pitchFamily="34" charset="0"/>
            </a:rPr>
            <a:t> ($/kWh)</a:t>
          </a: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2285999</xdr:colOff>
      <xdr:row>69</xdr:row>
      <xdr:rowOff>33619</xdr:rowOff>
    </xdr:from>
    <xdr:to>
      <xdr:col>6</xdr:col>
      <xdr:colOff>1109381</xdr:colOff>
      <xdr:row>75</xdr:row>
      <xdr:rowOff>141875</xdr:rowOff>
    </xdr:to>
    <xdr:sp macro="" textlink="">
      <xdr:nvSpPr>
        <xdr:cNvPr id="332" name="Rectangle 331">
          <a:extLst>
            <a:ext uri="{FF2B5EF4-FFF2-40B4-BE49-F238E27FC236}">
              <a16:creationId xmlns:a16="http://schemas.microsoft.com/office/drawing/2014/main" id="{7EB77414-9042-4301-AB4B-5A3F5FAC0DD3}"/>
            </a:ext>
          </a:extLst>
        </xdr:cNvPr>
        <xdr:cNvSpPr/>
      </xdr:nvSpPr>
      <xdr:spPr>
        <a:xfrm>
          <a:off x="3003175" y="15374472"/>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2</xdr:col>
      <xdr:colOff>2285999</xdr:colOff>
      <xdr:row>61</xdr:row>
      <xdr:rowOff>112060</xdr:rowOff>
    </xdr:from>
    <xdr:to>
      <xdr:col>6</xdr:col>
      <xdr:colOff>1109381</xdr:colOff>
      <xdr:row>68</xdr:row>
      <xdr:rowOff>29816</xdr:rowOff>
    </xdr:to>
    <xdr:sp macro="" textlink="">
      <xdr:nvSpPr>
        <xdr:cNvPr id="169" name="Rectangle 168">
          <a:extLst>
            <a:ext uri="{FF2B5EF4-FFF2-40B4-BE49-F238E27FC236}">
              <a16:creationId xmlns:a16="http://schemas.microsoft.com/office/drawing/2014/main" id="{CB1CF9E0-22EA-49D0-81E6-2C7DB131568F}"/>
            </a:ext>
          </a:extLst>
        </xdr:cNvPr>
        <xdr:cNvSpPr/>
      </xdr:nvSpPr>
      <xdr:spPr>
        <a:xfrm>
          <a:off x="3003175" y="13928913"/>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4</xdr:col>
      <xdr:colOff>1187823</xdr:colOff>
      <xdr:row>62</xdr:row>
      <xdr:rowOff>156883</xdr:rowOff>
    </xdr:from>
    <xdr:to>
      <xdr:col>6</xdr:col>
      <xdr:colOff>1008531</xdr:colOff>
      <xdr:row>67</xdr:row>
      <xdr:rowOff>151193</xdr:rowOff>
    </xdr:to>
    <xdr:sp macro="" textlink="">
      <xdr:nvSpPr>
        <xdr:cNvPr id="208" name="TextBox 207">
          <a:extLst>
            <a:ext uri="{FF2B5EF4-FFF2-40B4-BE49-F238E27FC236}">
              <a16:creationId xmlns:a16="http://schemas.microsoft.com/office/drawing/2014/main" id="{75F0AED9-8428-4605-AE6C-D7D8FB204127}"/>
            </a:ext>
          </a:extLst>
        </xdr:cNvPr>
        <xdr:cNvSpPr txBox="1"/>
      </xdr:nvSpPr>
      <xdr:spPr>
        <a:xfrm>
          <a:off x="7003676"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62</xdr:row>
      <xdr:rowOff>156883</xdr:rowOff>
    </xdr:from>
    <xdr:to>
      <xdr:col>4</xdr:col>
      <xdr:colOff>593913</xdr:colOff>
      <xdr:row>67</xdr:row>
      <xdr:rowOff>151193</xdr:rowOff>
    </xdr:to>
    <xdr:sp macro="" textlink="">
      <xdr:nvSpPr>
        <xdr:cNvPr id="207" name="TextBox 206">
          <a:extLst>
            <a:ext uri="{FF2B5EF4-FFF2-40B4-BE49-F238E27FC236}">
              <a16:creationId xmlns:a16="http://schemas.microsoft.com/office/drawing/2014/main" id="{5A8A21A0-0E9C-477D-8B74-6D2FD6992904}"/>
            </a:ext>
          </a:extLst>
        </xdr:cNvPr>
        <xdr:cNvSpPr txBox="1"/>
      </xdr:nvSpPr>
      <xdr:spPr>
        <a:xfrm>
          <a:off x="3160058"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0</xdr:colOff>
      <xdr:row>6</xdr:row>
      <xdr:rowOff>33617</xdr:rowOff>
    </xdr:from>
    <xdr:to>
      <xdr:col>11</xdr:col>
      <xdr:colOff>224119</xdr:colOff>
      <xdr:row>37</xdr:row>
      <xdr:rowOff>87555</xdr:rowOff>
    </xdr:to>
    <xdr:grpSp>
      <xdr:nvGrpSpPr>
        <xdr:cNvPr id="4" name="Group 81">
          <a:extLst>
            <a:ext uri="{FF2B5EF4-FFF2-40B4-BE49-F238E27FC236}">
              <a16:creationId xmlns:a16="http://schemas.microsoft.com/office/drawing/2014/main" id="{C08E5B7E-DC0F-4F75-B4B0-FD590CE11652}"/>
            </a:ext>
          </a:extLst>
        </xdr:cNvPr>
        <xdr:cNvGrpSpPr/>
      </xdr:nvGrpSpPr>
      <xdr:grpSpPr>
        <a:xfrm>
          <a:off x="733778" y="1811617"/>
          <a:ext cx="18032341" cy="5740716"/>
          <a:chOff x="339382" y="1661536"/>
          <a:chExt cx="16392169" cy="5700442"/>
        </a:xfrm>
      </xdr:grpSpPr>
      <xdr:grpSp>
        <xdr:nvGrpSpPr>
          <xdr:cNvPr id="5" name="Group 84">
            <a:extLst>
              <a:ext uri="{FF2B5EF4-FFF2-40B4-BE49-F238E27FC236}">
                <a16:creationId xmlns:a16="http://schemas.microsoft.com/office/drawing/2014/main" id="{8AF0CD35-A132-4A35-8F9B-3D37599298C1}"/>
              </a:ext>
            </a:extLst>
          </xdr:cNvPr>
          <xdr:cNvGrpSpPr/>
        </xdr:nvGrpSpPr>
        <xdr:grpSpPr>
          <a:xfrm>
            <a:off x="339382" y="1661536"/>
            <a:ext cx="16392169" cy="5700442"/>
            <a:chOff x="345578" y="1729787"/>
            <a:chExt cx="16862527" cy="5969865"/>
          </a:xfrm>
        </xdr:grpSpPr>
        <xdr:grpSp>
          <xdr:nvGrpSpPr>
            <xdr:cNvPr id="6" name="Group 91">
              <a:extLst>
                <a:ext uri="{FF2B5EF4-FFF2-40B4-BE49-F238E27FC236}">
                  <a16:creationId xmlns:a16="http://schemas.microsoft.com/office/drawing/2014/main" id="{3D1368CB-0402-4FA7-B709-597E9F14F105}"/>
                </a:ext>
              </a:extLst>
            </xdr:cNvPr>
            <xdr:cNvGrpSpPr/>
          </xdr:nvGrpSpPr>
          <xdr:grpSpPr>
            <a:xfrm>
              <a:off x="345578" y="1729787"/>
              <a:ext cx="16862527" cy="5969865"/>
              <a:chOff x="345578" y="1729787"/>
              <a:chExt cx="16862527" cy="5969865"/>
            </a:xfrm>
          </xdr:grpSpPr>
          <xdr:grpSp>
            <xdr:nvGrpSpPr>
              <xdr:cNvPr id="7" name="Group 96">
                <a:extLst>
                  <a:ext uri="{FF2B5EF4-FFF2-40B4-BE49-F238E27FC236}">
                    <a16:creationId xmlns:a16="http://schemas.microsoft.com/office/drawing/2014/main" id="{2491A49E-37BF-47DA-B693-F8F90F09517C}"/>
                  </a:ext>
                </a:extLst>
              </xdr:cNvPr>
              <xdr:cNvGrpSpPr/>
            </xdr:nvGrpSpPr>
            <xdr:grpSpPr>
              <a:xfrm>
                <a:off x="345578" y="1729787"/>
                <a:ext cx="16862527" cy="5969865"/>
                <a:chOff x="223114" y="120064"/>
                <a:chExt cx="16862527" cy="5969865"/>
              </a:xfrm>
            </xdr:grpSpPr>
            <xdr:grpSp>
              <xdr:nvGrpSpPr>
                <xdr:cNvPr id="8" name="Group 98">
                  <a:extLst>
                    <a:ext uri="{FF2B5EF4-FFF2-40B4-BE49-F238E27FC236}">
                      <a16:creationId xmlns:a16="http://schemas.microsoft.com/office/drawing/2014/main" id="{E4486211-B52A-4939-9298-3B35D8598533}"/>
                    </a:ext>
                  </a:extLst>
                </xdr:cNvPr>
                <xdr:cNvGrpSpPr/>
              </xdr:nvGrpSpPr>
              <xdr:grpSpPr>
                <a:xfrm>
                  <a:off x="223114" y="120064"/>
                  <a:ext cx="16862527" cy="5969865"/>
                  <a:chOff x="223114" y="120064"/>
                  <a:chExt cx="16862527" cy="5969865"/>
                </a:xfrm>
              </xdr:grpSpPr>
              <xdr:sp macro="" textlink="">
                <xdr:nvSpPr>
                  <xdr:cNvPr id="9" name="Rounded Rectangle 107">
                    <a:extLst>
                      <a:ext uri="{FF2B5EF4-FFF2-40B4-BE49-F238E27FC236}">
                        <a16:creationId xmlns:a16="http://schemas.microsoft.com/office/drawing/2014/main" id="{DADF9959-75C2-43D7-A708-0BE63BF6FC99}"/>
                      </a:ext>
                    </a:extLst>
                  </xdr:cNvPr>
                  <xdr:cNvSpPr/>
                </xdr:nvSpPr>
                <xdr:spPr>
                  <a:xfrm>
                    <a:off x="244929" y="120064"/>
                    <a:ext cx="5633357"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AND ASSUMPTIONS</a:t>
                    </a:r>
                  </a:p>
                </xdr:txBody>
              </xdr:sp>
              <xdr:sp macro="" textlink="">
                <xdr:nvSpPr>
                  <xdr:cNvPr id="12" name="Rectangle 103">
                    <a:extLst>
                      <a:ext uri="{FF2B5EF4-FFF2-40B4-BE49-F238E27FC236}">
                        <a16:creationId xmlns:a16="http://schemas.microsoft.com/office/drawing/2014/main" id="{AE00A211-4C7E-4289-8584-64FAED672848}"/>
                      </a:ext>
                    </a:extLst>
                  </xdr:cNvPr>
                  <xdr:cNvSpPr/>
                </xdr:nvSpPr>
                <xdr:spPr>
                  <a:xfrm>
                    <a:off x="3116035" y="1510393"/>
                    <a:ext cx="2449286" cy="134710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3" name="Rectangle 104">
                    <a:extLst>
                      <a:ext uri="{FF2B5EF4-FFF2-40B4-BE49-F238E27FC236}">
                        <a16:creationId xmlns:a16="http://schemas.microsoft.com/office/drawing/2014/main" id="{AFBCC46F-893C-41B5-B7B7-BA7A50C32AC6}"/>
                      </a:ext>
                    </a:extLst>
                  </xdr:cNvPr>
                  <xdr:cNvSpPr/>
                </xdr:nvSpPr>
                <xdr:spPr>
                  <a:xfrm>
                    <a:off x="590549" y="1047750"/>
                    <a:ext cx="2525487" cy="2544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4" name="Rectangle 105">
                    <a:extLst>
                      <a:ext uri="{FF2B5EF4-FFF2-40B4-BE49-F238E27FC236}">
                        <a16:creationId xmlns:a16="http://schemas.microsoft.com/office/drawing/2014/main" id="{4AF6E949-F4A1-4D82-A73B-82939FDE70F5}"/>
                      </a:ext>
                    </a:extLst>
                  </xdr:cNvPr>
                  <xdr:cNvSpPr/>
                </xdr:nvSpPr>
                <xdr:spPr>
                  <a:xfrm>
                    <a:off x="651780" y="3891643"/>
                    <a:ext cx="2277178" cy="598714"/>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1" name="Rounded Rectangle 125">
                    <a:extLst>
                      <a:ext uri="{FF2B5EF4-FFF2-40B4-BE49-F238E27FC236}">
                        <a16:creationId xmlns:a16="http://schemas.microsoft.com/office/drawing/2014/main" id="{E5DCA80B-5419-4531-AC40-993F502EBEB4}"/>
                      </a:ext>
                    </a:extLst>
                  </xdr:cNvPr>
                  <xdr:cNvSpPr/>
                </xdr:nvSpPr>
                <xdr:spPr>
                  <a:xfrm>
                    <a:off x="223114" y="5261338"/>
                    <a:ext cx="5633357" cy="828591"/>
                  </a:xfrm>
                  <a:prstGeom prst="roundRect">
                    <a:avLst>
                      <a:gd name="adj" fmla="val 0"/>
                    </a:avLst>
                  </a:prstGeom>
                  <a:solidFill>
                    <a:sysClr val="window" lastClr="FFFFFF"/>
                  </a:solidFill>
                  <a:ln w="12700" cap="flat" cmpd="sng" algn="ctr">
                    <a:solidFill>
                      <a:srgbClr val="FFFFFF">
                        <a:lumMod val="50000"/>
                      </a:srgbClr>
                    </a:solidFill>
                    <a:prstDash val="solid"/>
                    <a:miter lim="800000"/>
                  </a:ln>
                  <a:effectLst/>
                </xdr:spPr>
                <xdr:txBody>
                  <a:bodyPr vertOverflow="clip" horzOverflow="clip" lIns="91440" tIns="45720" rIns="91440"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LEGEND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2" name="TextBox 113">
                    <a:extLst>
                      <a:ext uri="{FF2B5EF4-FFF2-40B4-BE49-F238E27FC236}">
                        <a16:creationId xmlns:a16="http://schemas.microsoft.com/office/drawing/2014/main" id="{C2B0E760-40AE-4038-82A9-5B2FC815A494}"/>
                      </a:ext>
                    </a:extLst>
                  </xdr:cNvPr>
                  <xdr:cNvSpPr txBox="1"/>
                </xdr:nvSpPr>
                <xdr:spPr>
                  <a:xfrm>
                    <a:off x="418918" y="5571521"/>
                    <a:ext cx="1265108" cy="400170"/>
                  </a:xfrm>
                  <a:prstGeom prst="rect">
                    <a:avLst/>
                  </a:prstGeom>
                  <a:solidFill>
                    <a:srgbClr val="AFCDDB"/>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xdr:txBody>
              </xdr:sp>
              <xdr:sp macro="" textlink="">
                <xdr:nvSpPr>
                  <xdr:cNvPr id="23" name="TextBox 114">
                    <a:extLst>
                      <a:ext uri="{FF2B5EF4-FFF2-40B4-BE49-F238E27FC236}">
                        <a16:creationId xmlns:a16="http://schemas.microsoft.com/office/drawing/2014/main" id="{C8DC98E2-389F-4F67-A2EA-731D8C7B5B98}"/>
                      </a:ext>
                    </a:extLst>
                  </xdr:cNvPr>
                  <xdr:cNvSpPr txBox="1"/>
                </xdr:nvSpPr>
                <xdr:spPr>
                  <a:xfrm>
                    <a:off x="1769833" y="5571421"/>
                    <a:ext cx="1256352" cy="397488"/>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a:t>
                    </a:r>
                  </a:p>
                </xdr:txBody>
              </xdr:sp>
              <xdr:sp macro="" textlink="">
                <xdr:nvSpPr>
                  <xdr:cNvPr id="24" name="TextBox 115">
                    <a:extLst>
                      <a:ext uri="{FF2B5EF4-FFF2-40B4-BE49-F238E27FC236}">
                        <a16:creationId xmlns:a16="http://schemas.microsoft.com/office/drawing/2014/main" id="{AC75EF32-8050-4AFA-A187-C3E360F83608}"/>
                      </a:ext>
                    </a:extLst>
                  </xdr:cNvPr>
                  <xdr:cNvSpPr txBox="1"/>
                </xdr:nvSpPr>
                <xdr:spPr>
                  <a:xfrm>
                    <a:off x="3107828" y="5574915"/>
                    <a:ext cx="1256352" cy="39399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a:t>
                    </a:r>
                  </a:p>
                </xdr:txBody>
              </xdr:sp>
              <xdr:sp macro="" textlink="">
                <xdr:nvSpPr>
                  <xdr:cNvPr id="25" name="TextBox 116">
                    <a:extLst>
                      <a:ext uri="{FF2B5EF4-FFF2-40B4-BE49-F238E27FC236}">
                        <a16:creationId xmlns:a16="http://schemas.microsoft.com/office/drawing/2014/main" id="{FA5AF2AB-2A17-4986-BF57-633C26797917}"/>
                      </a:ext>
                    </a:extLst>
                  </xdr:cNvPr>
                  <xdr:cNvSpPr txBox="1"/>
                </xdr:nvSpPr>
                <xdr:spPr>
                  <a:xfrm>
                    <a:off x="4436832" y="5576284"/>
                    <a:ext cx="1256352" cy="390644"/>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Supporting Worksheets</a:t>
                    </a:r>
                  </a:p>
                </xdr:txBody>
              </xdr:sp>
              <xdr:cxnSp macro="">
                <xdr:nvCxnSpPr>
                  <xdr:cNvPr id="27" name="Straight Arrow Connector 118">
                    <a:extLst>
                      <a:ext uri="{FF2B5EF4-FFF2-40B4-BE49-F238E27FC236}">
                        <a16:creationId xmlns:a16="http://schemas.microsoft.com/office/drawing/2014/main" id="{C63F4C4F-0735-424C-9263-9D8B29BDEFC7}"/>
                      </a:ext>
                    </a:extLst>
                  </xdr:cNvPr>
                  <xdr:cNvCxnSpPr/>
                </xdr:nvCxnSpPr>
                <xdr:spPr>
                  <a:xfrm>
                    <a:off x="5918651"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1" name="Rounded Rectangle 107">
                    <a:extLst>
                      <a:ext uri="{FF2B5EF4-FFF2-40B4-BE49-F238E27FC236}">
                        <a16:creationId xmlns:a16="http://schemas.microsoft.com/office/drawing/2014/main" id="{846C031D-00FA-4959-A53F-DB4BD099FD24}"/>
                      </a:ext>
                    </a:extLst>
                  </xdr:cNvPr>
                  <xdr:cNvSpPr/>
                </xdr:nvSpPr>
                <xdr:spPr>
                  <a:xfrm>
                    <a:off x="6407497"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CALCULATIONS</a:t>
                    </a:r>
                  </a:p>
                </xdr:txBody>
              </xdr:sp>
              <xdr:sp macro="" textlink="">
                <xdr:nvSpPr>
                  <xdr:cNvPr id="152" name="Rounded Rectangle 108">
                    <a:extLst>
                      <a:ext uri="{FF2B5EF4-FFF2-40B4-BE49-F238E27FC236}">
                        <a16:creationId xmlns:a16="http://schemas.microsoft.com/office/drawing/2014/main" id="{241445F8-BD72-4057-B75D-5B56129BEF62}"/>
                      </a:ext>
                    </a:extLst>
                  </xdr:cNvPr>
                  <xdr:cNvSpPr/>
                </xdr:nvSpPr>
                <xdr:spPr>
                  <a:xfrm>
                    <a:off x="6505194" y="378250"/>
                    <a:ext cx="4849090" cy="4613318"/>
                  </a:xfrm>
                  <a:prstGeom prst="roundRect">
                    <a:avLst>
                      <a:gd name="adj" fmla="val 0"/>
                    </a:avLst>
                  </a:prstGeom>
                  <a:solidFill>
                    <a:srgbClr val="236192"/>
                  </a:solidFill>
                  <a:ln w="9525" cmpd="sng">
                    <a:solidFill>
                      <a:sysClr val="windowText" lastClr="000000"/>
                    </a:solid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Calc_Rates / Calc_TU_values / Calc_TU_rates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 will take reference to inputs in the period selected by user.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cxnSp macro="">
                <xdr:nvCxnSpPr>
                  <xdr:cNvPr id="154" name="Straight Arrow Connector 118">
                    <a:extLst>
                      <a:ext uri="{FF2B5EF4-FFF2-40B4-BE49-F238E27FC236}">
                        <a16:creationId xmlns:a16="http://schemas.microsoft.com/office/drawing/2014/main" id="{2FDDB231-B6AE-4520-AB54-9A5525CF8CBE}"/>
                      </a:ext>
                    </a:extLst>
                  </xdr:cNvPr>
                  <xdr:cNvCxnSpPr/>
                </xdr:nvCxnSpPr>
                <xdr:spPr>
                  <a:xfrm>
                    <a:off x="11557672"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5" name="Rounded Rectangle 107">
                    <a:extLst>
                      <a:ext uri="{FF2B5EF4-FFF2-40B4-BE49-F238E27FC236}">
                        <a16:creationId xmlns:a16="http://schemas.microsoft.com/office/drawing/2014/main" id="{20D04CF7-24A3-4B6F-9567-FFB5672C2DEC}"/>
                      </a:ext>
                    </a:extLst>
                  </xdr:cNvPr>
                  <xdr:cNvSpPr/>
                </xdr:nvSpPr>
                <xdr:spPr>
                  <a:xfrm>
                    <a:off x="12035609"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OUTPUTS</a:t>
                    </a:r>
                  </a:p>
                </xdr:txBody>
              </xdr:sp>
              <xdr:sp macro="" textlink="">
                <xdr:nvSpPr>
                  <xdr:cNvPr id="156" name="TextBox 106">
                    <a:extLst>
                      <a:ext uri="{FF2B5EF4-FFF2-40B4-BE49-F238E27FC236}">
                        <a16:creationId xmlns:a16="http://schemas.microsoft.com/office/drawing/2014/main" id="{A3F43476-6D7F-4C70-A226-F8F69B191EBD}"/>
                      </a:ext>
                    </a:extLst>
                  </xdr:cNvPr>
                  <xdr:cNvSpPr txBox="1"/>
                </xdr:nvSpPr>
                <xdr:spPr>
                  <a:xfrm>
                    <a:off x="12177403" y="423152"/>
                    <a:ext cx="4788260" cy="456841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OP_Rates / OP_CMAB</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Final calculations are extracted and organised, ready for publishing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rates and bills for all electricity providers,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Tariff Rates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estimated annual bills</a:t>
                    </a:r>
                  </a:p>
                </xdr:txBody>
              </xdr:sp>
            </xdr:grpSp>
            <xdr:sp macro="" textlink="">
              <xdr:nvSpPr>
                <xdr:cNvPr id="28" name="TextBox 99">
                  <a:extLst>
                    <a:ext uri="{FF2B5EF4-FFF2-40B4-BE49-F238E27FC236}">
                      <a16:creationId xmlns:a16="http://schemas.microsoft.com/office/drawing/2014/main" id="{CF8FF41C-98FE-41DE-891B-6357D463A07C}"/>
                    </a:ext>
                  </a:extLst>
                </xdr:cNvPr>
                <xdr:cNvSpPr txBox="1"/>
              </xdr:nvSpPr>
              <xdr:spPr>
                <a:xfrm>
                  <a:off x="326572" y="4475553"/>
                  <a:ext cx="5483677" cy="42620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CPI 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Quarterly CPI indices and associated VDO regulatory periods</a:t>
                  </a:r>
                </a:p>
              </xdr:txBody>
            </xdr:sp>
          </xdr:grpSp>
          <xdr:sp macro="" textlink="">
            <xdr:nvSpPr>
              <xdr:cNvPr id="29" name="TextBox 97">
                <a:extLst>
                  <a:ext uri="{FF2B5EF4-FFF2-40B4-BE49-F238E27FC236}">
                    <a16:creationId xmlns:a16="http://schemas.microsoft.com/office/drawing/2014/main" id="{8A1CF666-196D-44F6-8951-34EED3C68478}"/>
                  </a:ext>
                </a:extLst>
              </xdr:cNvPr>
              <xdr:cNvSpPr txBox="1"/>
            </xdr:nvSpPr>
            <xdr:spPr>
              <a:xfrm>
                <a:off x="455081" y="1999200"/>
                <a:ext cx="5459342" cy="341254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Values to be inputted every new period, over time creating a time series of historical and current inputs.</a:t>
                </a:r>
              </a:p>
            </xdr:txBody>
          </xdr:sp>
          <xdr:sp macro="" textlink="">
            <xdr:nvSpPr>
              <xdr:cNvPr id="30" name="TextBox 123">
                <a:extLst>
                  <a:ext uri="{FF2B5EF4-FFF2-40B4-BE49-F238E27FC236}">
                    <a16:creationId xmlns:a16="http://schemas.microsoft.com/office/drawing/2014/main" id="{7420815E-0F85-4C85-BA61-C5A58F1EB871}"/>
                  </a:ext>
                </a:extLst>
              </xdr:cNvPr>
              <xdr:cNvSpPr txBox="1"/>
            </xdr:nvSpPr>
            <xdr:spPr>
              <a:xfrm>
                <a:off x="444174" y="5501552"/>
                <a:ext cx="5459342" cy="493921"/>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General Assumptions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that remain constant across the time periods</a:t>
                </a:r>
              </a:p>
            </xdr:txBody>
          </xdr:sp>
        </xdr:grpSp>
        <xdr:sp macro="" textlink="">
          <xdr:nvSpPr>
            <xdr:cNvPr id="31" name="TextBox 92">
              <a:extLst>
                <a:ext uri="{FF2B5EF4-FFF2-40B4-BE49-F238E27FC236}">
                  <a16:creationId xmlns:a16="http://schemas.microsoft.com/office/drawing/2014/main" id="{1014C094-2F54-4172-B57E-4790967D5EF2}"/>
                </a:ext>
              </a:extLst>
            </xdr:cNvPr>
            <xdr:cNvSpPr txBox="1"/>
          </xdr:nvSpPr>
          <xdr:spPr>
            <a:xfrm>
              <a:off x="584453" y="2706405"/>
              <a:ext cx="2590744" cy="2555915"/>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Variable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price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liability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Controlled load charges, residential</a:t>
              </a:r>
            </a:p>
          </xdr:txBody>
        </xdr:sp>
        <xdr:sp macro="" textlink="">
          <xdr:nvSpPr>
            <xdr:cNvPr id="32" name="TextBox 93">
              <a:extLst>
                <a:ext uri="{FF2B5EF4-FFF2-40B4-BE49-F238E27FC236}">
                  <a16:creationId xmlns:a16="http://schemas.microsoft.com/office/drawing/2014/main" id="{E739218C-B44E-4F91-B57D-9D84EC27B03A}"/>
                </a:ext>
              </a:extLst>
            </xdr:cNvPr>
            <xdr:cNvSpPr txBox="1"/>
          </xdr:nvSpPr>
          <xdr:spPr>
            <a:xfrm>
              <a:off x="3276395" y="2706406"/>
              <a:ext cx="2536779" cy="1406262"/>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Fixed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Solar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Metering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small business</a:t>
              </a:r>
            </a:p>
          </xdr:txBody>
        </xdr:sp>
        <xdr:sp macro="" textlink="">
          <xdr:nvSpPr>
            <xdr:cNvPr id="33" name="TextBox 94">
              <a:extLst>
                <a:ext uri="{FF2B5EF4-FFF2-40B4-BE49-F238E27FC236}">
                  <a16:creationId xmlns:a16="http://schemas.microsoft.com/office/drawing/2014/main" id="{661FD5E0-9EEE-4B46-9684-7CFAD3BD60AE}"/>
                </a:ext>
              </a:extLst>
            </xdr:cNvPr>
            <xdr:cNvSpPr txBox="1"/>
          </xdr:nvSpPr>
          <xdr:spPr>
            <a:xfrm>
              <a:off x="3280469" y="4195697"/>
              <a:ext cx="2529781" cy="1069678"/>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Non-Cost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Distribution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Marginal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 margin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Electricity consumption</a:t>
              </a:r>
            </a:p>
          </xdr:txBody>
        </xdr:sp>
        <xdr:sp macro="" textlink="">
          <xdr:nvSpPr>
            <xdr:cNvPr id="34" name="TextBox 95">
              <a:extLst>
                <a:ext uri="{FF2B5EF4-FFF2-40B4-BE49-F238E27FC236}">
                  <a16:creationId xmlns:a16="http://schemas.microsoft.com/office/drawing/2014/main" id="{E1E9623C-D5D8-4BB4-8CA5-24BD19492BC2}"/>
                </a:ext>
              </a:extLst>
            </xdr:cNvPr>
            <xdr:cNvSpPr txBox="1"/>
          </xdr:nvSpPr>
          <xdr:spPr>
            <a:xfrm>
              <a:off x="6715124" y="4793986"/>
              <a:ext cx="3946071" cy="1644571"/>
            </a:xfrm>
            <a:prstGeom prst="rect">
              <a:avLst/>
            </a:prstGeom>
            <a:noFill/>
            <a:ln w="9525" cmpd="sng">
              <a:no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grpSp>
      <xdr:sp macro="" textlink="">
        <xdr:nvSpPr>
          <xdr:cNvPr id="35" name="TextBox 85">
            <a:extLst>
              <a:ext uri="{FF2B5EF4-FFF2-40B4-BE49-F238E27FC236}">
                <a16:creationId xmlns:a16="http://schemas.microsoft.com/office/drawing/2014/main" id="{D6FCE240-7C14-42C4-950E-108A20ECC6FF}"/>
              </a:ext>
            </a:extLst>
          </xdr:cNvPr>
          <xdr:cNvSpPr txBox="1"/>
        </xdr:nvSpPr>
        <xdr:spPr>
          <a:xfrm>
            <a:off x="6969713" y="4798063"/>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AusNet</a:t>
            </a:r>
          </a:p>
        </xdr:txBody>
      </xdr:sp>
      <xdr:sp macro="" textlink="">
        <xdr:nvSpPr>
          <xdr:cNvPr id="36" name="TextBox 86">
            <a:extLst>
              <a:ext uri="{FF2B5EF4-FFF2-40B4-BE49-F238E27FC236}">
                <a16:creationId xmlns:a16="http://schemas.microsoft.com/office/drawing/2014/main" id="{6C6F8D72-B31D-49E4-A863-5AD31A6EF591}"/>
              </a:ext>
            </a:extLst>
          </xdr:cNvPr>
          <xdr:cNvSpPr txBox="1"/>
        </xdr:nvSpPr>
        <xdr:spPr>
          <a:xfrm>
            <a:off x="8212506" y="4798064"/>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CitiPower</a:t>
            </a:r>
          </a:p>
        </xdr:txBody>
      </xdr:sp>
      <xdr:sp macro="" textlink="">
        <xdr:nvSpPr>
          <xdr:cNvPr id="37" name="TextBox 87">
            <a:extLst>
              <a:ext uri="{FF2B5EF4-FFF2-40B4-BE49-F238E27FC236}">
                <a16:creationId xmlns:a16="http://schemas.microsoft.com/office/drawing/2014/main" id="{40939CEF-2A9E-4B02-8904-35FC1B76B88A}"/>
              </a:ext>
            </a:extLst>
          </xdr:cNvPr>
          <xdr:cNvSpPr txBox="1"/>
        </xdr:nvSpPr>
        <xdr:spPr>
          <a:xfrm>
            <a:off x="9466168" y="4803925"/>
            <a:ext cx="1100985" cy="608199"/>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Jemena</a:t>
            </a:r>
          </a:p>
        </xdr:txBody>
      </xdr:sp>
      <xdr:sp macro="" textlink="">
        <xdr:nvSpPr>
          <xdr:cNvPr id="38" name="TextBox 88">
            <a:extLst>
              <a:ext uri="{FF2B5EF4-FFF2-40B4-BE49-F238E27FC236}">
                <a16:creationId xmlns:a16="http://schemas.microsoft.com/office/drawing/2014/main" id="{15BB24D6-E6C2-4591-8373-937E75ECD2D2}"/>
              </a:ext>
            </a:extLst>
          </xdr:cNvPr>
          <xdr:cNvSpPr txBox="1"/>
        </xdr:nvSpPr>
        <xdr:spPr>
          <a:xfrm>
            <a:off x="7606970" y="5488923"/>
            <a:ext cx="1100985" cy="61933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Powercor</a:t>
            </a:r>
          </a:p>
        </xdr:txBody>
      </xdr:sp>
      <xdr:sp macro="" textlink="">
        <xdr:nvSpPr>
          <xdr:cNvPr id="39" name="TextBox 89">
            <a:extLst>
              <a:ext uri="{FF2B5EF4-FFF2-40B4-BE49-F238E27FC236}">
                <a16:creationId xmlns:a16="http://schemas.microsoft.com/office/drawing/2014/main" id="{12391A71-E691-402F-9D47-53D2C2E7EA81}"/>
              </a:ext>
            </a:extLst>
          </xdr:cNvPr>
          <xdr:cNvSpPr txBox="1"/>
        </xdr:nvSpPr>
        <xdr:spPr>
          <a:xfrm>
            <a:off x="8841144" y="5475229"/>
            <a:ext cx="1100985" cy="631026"/>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United Energy</a:t>
            </a:r>
          </a:p>
        </xdr:txBody>
      </xdr:sp>
    </xdr:grpSp>
    <xdr:clientData/>
  </xdr:twoCellAnchor>
  <xdr:twoCellAnchor>
    <xdr:from>
      <xdr:col>2</xdr:col>
      <xdr:colOff>2286000</xdr:colOff>
      <xdr:row>44</xdr:row>
      <xdr:rowOff>76726</xdr:rowOff>
    </xdr:from>
    <xdr:to>
      <xdr:col>7</xdr:col>
      <xdr:colOff>720011</xdr:colOff>
      <xdr:row>50</xdr:row>
      <xdr:rowOff>84125</xdr:rowOff>
    </xdr:to>
    <xdr:sp macro="" textlink="">
      <xdr:nvSpPr>
        <xdr:cNvPr id="47" name="Rectangle 46">
          <a:extLst>
            <a:ext uri="{FF2B5EF4-FFF2-40B4-BE49-F238E27FC236}">
              <a16:creationId xmlns:a16="http://schemas.microsoft.com/office/drawing/2014/main" id="{B8F92B5F-585B-437F-B6E7-120814771D5A}"/>
            </a:ext>
          </a:extLst>
        </xdr:cNvPr>
        <xdr:cNvSpPr/>
      </xdr:nvSpPr>
      <xdr:spPr>
        <a:xfrm>
          <a:off x="3003176" y="9702579"/>
          <a:ext cx="8676188"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Total Fixed Cost ($)</a:t>
          </a:r>
        </a:p>
      </xdr:txBody>
    </xdr:sp>
    <xdr:clientData/>
  </xdr:twoCellAnchor>
  <xdr:twoCellAnchor>
    <xdr:from>
      <xdr:col>2</xdr:col>
      <xdr:colOff>2496111</xdr:colOff>
      <xdr:row>45</xdr:row>
      <xdr:rowOff>173825</xdr:rowOff>
    </xdr:from>
    <xdr:to>
      <xdr:col>3</xdr:col>
      <xdr:colOff>507150</xdr:colOff>
      <xdr:row>49</xdr:row>
      <xdr:rowOff>130824</xdr:rowOff>
    </xdr:to>
    <xdr:sp macro="" textlink="">
      <xdr:nvSpPr>
        <xdr:cNvPr id="48" name="Rectangle 47">
          <a:extLst>
            <a:ext uri="{FF2B5EF4-FFF2-40B4-BE49-F238E27FC236}">
              <a16:creationId xmlns:a16="http://schemas.microsoft.com/office/drawing/2014/main" id="{C4A16E1A-B0AA-4DD8-8E3F-0E84D23F7AB1}"/>
            </a:ext>
          </a:extLst>
        </xdr:cNvPr>
        <xdr:cNvSpPr/>
      </xdr:nvSpPr>
      <xdr:spPr>
        <a:xfrm>
          <a:off x="3213287"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Retail operating cost ($)</a:t>
          </a:r>
        </a:p>
      </xdr:txBody>
    </xdr:sp>
    <xdr:clientData/>
  </xdr:twoCellAnchor>
  <xdr:twoCellAnchor>
    <xdr:from>
      <xdr:col>3</xdr:col>
      <xdr:colOff>819876</xdr:colOff>
      <xdr:row>45</xdr:row>
      <xdr:rowOff>173825</xdr:rowOff>
    </xdr:from>
    <xdr:to>
      <xdr:col>4</xdr:col>
      <xdr:colOff>500592</xdr:colOff>
      <xdr:row>49</xdr:row>
      <xdr:rowOff>130824</xdr:rowOff>
    </xdr:to>
    <xdr:sp macro="" textlink="">
      <xdr:nvSpPr>
        <xdr:cNvPr id="49" name="Rectangle 48">
          <a:extLst>
            <a:ext uri="{FF2B5EF4-FFF2-40B4-BE49-F238E27FC236}">
              <a16:creationId xmlns:a16="http://schemas.microsoft.com/office/drawing/2014/main" id="{D640DC63-9569-4F5C-B62C-88CC3B2A1C01}"/>
            </a:ext>
          </a:extLst>
        </xdr:cNvPr>
        <xdr:cNvSpPr/>
      </xdr:nvSpPr>
      <xdr:spPr>
        <a:xfrm>
          <a:off x="4921229"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charges ($)</a:t>
          </a:r>
        </a:p>
      </xdr:txBody>
    </xdr:sp>
    <xdr:clientData/>
  </xdr:twoCellAnchor>
  <xdr:twoCellAnchor>
    <xdr:from>
      <xdr:col>4</xdr:col>
      <xdr:colOff>796866</xdr:colOff>
      <xdr:row>45</xdr:row>
      <xdr:rowOff>173825</xdr:rowOff>
    </xdr:from>
    <xdr:to>
      <xdr:col>5</xdr:col>
      <xdr:colOff>470291</xdr:colOff>
      <xdr:row>49</xdr:row>
      <xdr:rowOff>130824</xdr:rowOff>
    </xdr:to>
    <xdr:sp macro="" textlink="">
      <xdr:nvSpPr>
        <xdr:cNvPr id="51" name="Rectangle 50">
          <a:extLst>
            <a:ext uri="{FF2B5EF4-FFF2-40B4-BE49-F238E27FC236}">
              <a16:creationId xmlns:a16="http://schemas.microsoft.com/office/drawing/2014/main" id="{57129EC0-1579-4619-B1E8-8F5C891ABD6B}"/>
            </a:ext>
          </a:extLst>
        </xdr:cNvPr>
        <xdr:cNvSpPr/>
      </xdr:nvSpPr>
      <xdr:spPr>
        <a:xfrm>
          <a:off x="6612719" y="9990178"/>
          <a:ext cx="1387925"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5</xdr:col>
      <xdr:colOff>795731</xdr:colOff>
      <xdr:row>45</xdr:row>
      <xdr:rowOff>173825</xdr:rowOff>
    </xdr:from>
    <xdr:to>
      <xdr:col>6</xdr:col>
      <xdr:colOff>476448</xdr:colOff>
      <xdr:row>49</xdr:row>
      <xdr:rowOff>130824</xdr:rowOff>
    </xdr:to>
    <xdr:sp macro="" textlink="">
      <xdr:nvSpPr>
        <xdr:cNvPr id="53" name="Rectangle 52">
          <a:extLst>
            <a:ext uri="{FF2B5EF4-FFF2-40B4-BE49-F238E27FC236}">
              <a16:creationId xmlns:a16="http://schemas.microsoft.com/office/drawing/2014/main" id="{EF13050F-BB06-4627-A30F-4E6E5A5269D6}"/>
            </a:ext>
          </a:extLst>
        </xdr:cNvPr>
        <xdr:cNvSpPr/>
      </xdr:nvSpPr>
      <xdr:spPr>
        <a:xfrm>
          <a:off x="8326084"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Feed-In Tariff</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6</xdr:col>
      <xdr:colOff>784112</xdr:colOff>
      <xdr:row>45</xdr:row>
      <xdr:rowOff>173825</xdr:rowOff>
    </xdr:from>
    <xdr:to>
      <xdr:col>7</xdr:col>
      <xdr:colOff>464829</xdr:colOff>
      <xdr:row>49</xdr:row>
      <xdr:rowOff>130824</xdr:rowOff>
    </xdr:to>
    <xdr:sp macro="" textlink="">
      <xdr:nvSpPr>
        <xdr:cNvPr id="55" name="Rectangle 54">
          <a:extLst>
            <a:ext uri="{FF2B5EF4-FFF2-40B4-BE49-F238E27FC236}">
              <a16:creationId xmlns:a16="http://schemas.microsoft.com/office/drawing/2014/main" id="{BE5A7782-3F56-48F4-91F7-ADA4041E7ADE}"/>
            </a:ext>
          </a:extLst>
        </xdr:cNvPr>
        <xdr:cNvSpPr/>
      </xdr:nvSpPr>
      <xdr:spPr>
        <a:xfrm>
          <a:off x="10028965"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CARC</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7</xdr:col>
      <xdr:colOff>1230377</xdr:colOff>
      <xdr:row>44</xdr:row>
      <xdr:rowOff>76726</xdr:rowOff>
    </xdr:from>
    <xdr:to>
      <xdr:col>8</xdr:col>
      <xdr:colOff>1046967</xdr:colOff>
      <xdr:row>50</xdr:row>
      <xdr:rowOff>84125</xdr:rowOff>
    </xdr:to>
    <xdr:sp macro="" textlink="">
      <xdr:nvSpPr>
        <xdr:cNvPr id="58" name="Rectangle 57">
          <a:extLst>
            <a:ext uri="{FF2B5EF4-FFF2-40B4-BE49-F238E27FC236}">
              <a16:creationId xmlns:a16="http://schemas.microsoft.com/office/drawing/2014/main" id="{3EE40249-264E-4B69-94D6-D70B2D457E50}"/>
            </a:ext>
          </a:extLst>
        </xdr:cNvPr>
        <xdr:cNvSpPr/>
      </xdr:nvSpPr>
      <xdr:spPr>
        <a:xfrm>
          <a:off x="12189730" y="9702579"/>
          <a:ext cx="1531090"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8</xdr:col>
      <xdr:colOff>1542749</xdr:colOff>
      <xdr:row>44</xdr:row>
      <xdr:rowOff>76726</xdr:rowOff>
    </xdr:from>
    <xdr:to>
      <xdr:col>9</xdr:col>
      <xdr:colOff>1349133</xdr:colOff>
      <xdr:row>50</xdr:row>
      <xdr:rowOff>84125</xdr:rowOff>
    </xdr:to>
    <xdr:sp macro="" textlink="">
      <xdr:nvSpPr>
        <xdr:cNvPr id="59" name="Rectangle 58">
          <a:extLst>
            <a:ext uri="{FF2B5EF4-FFF2-40B4-BE49-F238E27FC236}">
              <a16:creationId xmlns:a16="http://schemas.microsoft.com/office/drawing/2014/main" id="{024C6063-DDEF-47D7-9310-7238581E51D1}"/>
            </a:ext>
          </a:extLst>
        </xdr:cNvPr>
        <xdr:cNvSpPr/>
      </xdr:nvSpPr>
      <xdr:spPr>
        <a:xfrm>
          <a:off x="14216602" y="9702579"/>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1882784</xdr:colOff>
      <xdr:row>47</xdr:row>
      <xdr:rowOff>121511</xdr:rowOff>
    </xdr:from>
    <xdr:to>
      <xdr:col>2</xdr:col>
      <xdr:colOff>2142340</xdr:colOff>
      <xdr:row>47</xdr:row>
      <xdr:rowOff>121511</xdr:rowOff>
    </xdr:to>
    <xdr:cxnSp macro="">
      <xdr:nvCxnSpPr>
        <xdr:cNvPr id="61" name="Straight Arrow Connector 60">
          <a:extLst>
            <a:ext uri="{FF2B5EF4-FFF2-40B4-BE49-F238E27FC236}">
              <a16:creationId xmlns:a16="http://schemas.microsoft.com/office/drawing/2014/main" id="{502AFFC0-C715-48D6-8339-E7746624C3BE}"/>
            </a:ext>
          </a:extLst>
        </xdr:cNvPr>
        <xdr:cNvCxnSpPr/>
      </xdr:nvCxnSpPr>
      <xdr:spPr>
        <a:xfrm>
          <a:off x="2599960" y="10318864"/>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42157</xdr:colOff>
      <xdr:row>42</xdr:row>
      <xdr:rowOff>186565</xdr:rowOff>
    </xdr:from>
    <xdr:to>
      <xdr:col>2</xdr:col>
      <xdr:colOff>1739460</xdr:colOff>
      <xdr:row>58</xdr:row>
      <xdr:rowOff>84402</xdr:rowOff>
    </xdr:to>
    <xdr:grpSp>
      <xdr:nvGrpSpPr>
        <xdr:cNvPr id="86" name="Group 85">
          <a:extLst>
            <a:ext uri="{FF2B5EF4-FFF2-40B4-BE49-F238E27FC236}">
              <a16:creationId xmlns:a16="http://schemas.microsoft.com/office/drawing/2014/main" id="{240DFC70-0083-48CF-A91E-F37FC970CF5A}"/>
            </a:ext>
          </a:extLst>
        </xdr:cNvPr>
        <xdr:cNvGrpSpPr/>
      </xdr:nvGrpSpPr>
      <xdr:grpSpPr>
        <a:xfrm>
          <a:off x="775935" y="8603843"/>
          <a:ext cx="1697303" cy="2832948"/>
          <a:chOff x="13982274" y="9016796"/>
          <a:chExt cx="1697303" cy="2945837"/>
        </a:xfrm>
      </xdr:grpSpPr>
      <xdr:sp macro="" textlink="">
        <xdr:nvSpPr>
          <xdr:cNvPr id="45" name="Rectangle 44">
            <a:extLst>
              <a:ext uri="{FF2B5EF4-FFF2-40B4-BE49-F238E27FC236}">
                <a16:creationId xmlns:a16="http://schemas.microsoft.com/office/drawing/2014/main" id="{744A0365-E213-49D5-B239-43037B7A516A}"/>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Tariffs</a:t>
            </a:r>
            <a:endParaRPr lang="en-AU" sz="1050" b="0">
              <a:solidFill>
                <a:sysClr val="windowText" lastClr="000000"/>
              </a:solidFill>
              <a:latin typeface="+mj-lt"/>
            </a:endParaRPr>
          </a:p>
        </xdr:txBody>
      </xdr:sp>
      <xdr:sp macro="" textlink="">
        <xdr:nvSpPr>
          <xdr:cNvPr id="62" name="Rectangle 61">
            <a:extLst>
              <a:ext uri="{FF2B5EF4-FFF2-40B4-BE49-F238E27FC236}">
                <a16:creationId xmlns:a16="http://schemas.microsoft.com/office/drawing/2014/main" id="{34156727-E535-422B-BCAB-DEADED5EAE66}"/>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sp macro="" textlink="">
        <xdr:nvSpPr>
          <xdr:cNvPr id="67" name="Rectangle 66">
            <a:extLst>
              <a:ext uri="{FF2B5EF4-FFF2-40B4-BE49-F238E27FC236}">
                <a16:creationId xmlns:a16="http://schemas.microsoft.com/office/drawing/2014/main" id="{0A8D12B2-1227-4702-9394-634DFDAEE286}"/>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grpSp>
    <xdr:clientData/>
  </xdr:twoCellAnchor>
  <xdr:twoCellAnchor>
    <xdr:from>
      <xdr:col>2</xdr:col>
      <xdr:colOff>1879703</xdr:colOff>
      <xdr:row>55</xdr:row>
      <xdr:rowOff>35510</xdr:rowOff>
    </xdr:from>
    <xdr:to>
      <xdr:col>2</xdr:col>
      <xdr:colOff>2149467</xdr:colOff>
      <xdr:row>55</xdr:row>
      <xdr:rowOff>35510</xdr:rowOff>
    </xdr:to>
    <xdr:cxnSp macro="">
      <xdr:nvCxnSpPr>
        <xdr:cNvPr id="66" name="Straight Arrow Connector 65">
          <a:extLst>
            <a:ext uri="{FF2B5EF4-FFF2-40B4-BE49-F238E27FC236}">
              <a16:creationId xmlns:a16="http://schemas.microsoft.com/office/drawing/2014/main" id="{AAF23852-BB2B-464B-BD21-C14D75F66A7F}"/>
            </a:ext>
          </a:extLst>
        </xdr:cNvPr>
        <xdr:cNvCxnSpPr/>
      </xdr:nvCxnSpPr>
      <xdr:spPr>
        <a:xfrm>
          <a:off x="2596879" y="11756863"/>
          <a:ext cx="26976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1542749</xdr:colOff>
      <xdr:row>51</xdr:row>
      <xdr:rowOff>181225</xdr:rowOff>
    </xdr:from>
    <xdr:to>
      <xdr:col>9</xdr:col>
      <xdr:colOff>1349133</xdr:colOff>
      <xdr:row>57</xdr:row>
      <xdr:rowOff>188623</xdr:rowOff>
    </xdr:to>
    <xdr:sp macro="" textlink="">
      <xdr:nvSpPr>
        <xdr:cNvPr id="63" name="Rectangle 62">
          <a:extLst>
            <a:ext uri="{FF2B5EF4-FFF2-40B4-BE49-F238E27FC236}">
              <a16:creationId xmlns:a16="http://schemas.microsoft.com/office/drawing/2014/main" id="{0A837E26-BE0D-4BFD-AAD0-0DD7D9A4B95F}"/>
            </a:ext>
          </a:extLst>
        </xdr:cNvPr>
        <xdr:cNvSpPr/>
      </xdr:nvSpPr>
      <xdr:spPr>
        <a:xfrm>
          <a:off x="14216602" y="11140578"/>
          <a:ext cx="1520884"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7</xdr:col>
      <xdr:colOff>1218561</xdr:colOff>
      <xdr:row>51</xdr:row>
      <xdr:rowOff>181225</xdr:rowOff>
    </xdr:from>
    <xdr:to>
      <xdr:col>8</xdr:col>
      <xdr:colOff>1035151</xdr:colOff>
      <xdr:row>57</xdr:row>
      <xdr:rowOff>188623</xdr:rowOff>
    </xdr:to>
    <xdr:sp macro="" textlink="">
      <xdr:nvSpPr>
        <xdr:cNvPr id="64" name="Rectangle 63">
          <a:extLst>
            <a:ext uri="{FF2B5EF4-FFF2-40B4-BE49-F238E27FC236}">
              <a16:creationId xmlns:a16="http://schemas.microsoft.com/office/drawing/2014/main" id="{DC0CA793-CBE6-41EF-8E38-2CE1FCD090EA}"/>
            </a:ext>
          </a:extLst>
        </xdr:cNvPr>
        <xdr:cNvSpPr/>
      </xdr:nvSpPr>
      <xdr:spPr>
        <a:xfrm>
          <a:off x="12177914" y="11140578"/>
          <a:ext cx="1531090"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2286001</xdr:colOff>
      <xdr:row>51</xdr:row>
      <xdr:rowOff>181225</xdr:rowOff>
    </xdr:from>
    <xdr:to>
      <xdr:col>7</xdr:col>
      <xdr:colOff>720011</xdr:colOff>
      <xdr:row>57</xdr:row>
      <xdr:rowOff>188623</xdr:rowOff>
    </xdr:to>
    <xdr:sp macro="" textlink="">
      <xdr:nvSpPr>
        <xdr:cNvPr id="44" name="Rectangle 43">
          <a:extLst>
            <a:ext uri="{FF2B5EF4-FFF2-40B4-BE49-F238E27FC236}">
              <a16:creationId xmlns:a16="http://schemas.microsoft.com/office/drawing/2014/main" id="{8ED4813D-5AD1-4425-AB07-F425155D0634}"/>
            </a:ext>
          </a:extLst>
        </xdr:cNvPr>
        <xdr:cNvSpPr/>
      </xdr:nvSpPr>
      <xdr:spPr>
        <a:xfrm>
          <a:off x="3003177" y="11140578"/>
          <a:ext cx="8676187"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2409574</xdr:colOff>
      <xdr:row>53</xdr:row>
      <xdr:rowOff>115221</xdr:rowOff>
    </xdr:from>
    <xdr:to>
      <xdr:col>3</xdr:col>
      <xdr:colOff>413322</xdr:colOff>
      <xdr:row>57</xdr:row>
      <xdr:rowOff>72221</xdr:rowOff>
    </xdr:to>
    <xdr:sp macro="" textlink="">
      <xdr:nvSpPr>
        <xdr:cNvPr id="68" name="Rectangle 67">
          <a:extLst>
            <a:ext uri="{FF2B5EF4-FFF2-40B4-BE49-F238E27FC236}">
              <a16:creationId xmlns:a16="http://schemas.microsoft.com/office/drawing/2014/main" id="{5EE9393B-E0C5-4BF4-A5EE-14EE9BBB7569}"/>
            </a:ext>
          </a:extLst>
        </xdr:cNvPr>
        <xdr:cNvSpPr/>
      </xdr:nvSpPr>
      <xdr:spPr>
        <a:xfrm>
          <a:off x="3126750" y="11455574"/>
          <a:ext cx="1387925"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usage charge ($/kWh)</a:t>
          </a:r>
        </a:p>
      </xdr:txBody>
    </xdr:sp>
    <xdr:clientData/>
  </xdr:twoCellAnchor>
  <xdr:twoCellAnchor>
    <xdr:from>
      <xdr:col>6</xdr:col>
      <xdr:colOff>964626</xdr:colOff>
      <xdr:row>53</xdr:row>
      <xdr:rowOff>110304</xdr:rowOff>
    </xdr:from>
    <xdr:to>
      <xdr:col>7</xdr:col>
      <xdr:colOff>648259</xdr:colOff>
      <xdr:row>57</xdr:row>
      <xdr:rowOff>57715</xdr:rowOff>
    </xdr:to>
    <xdr:sp macro="" textlink="">
      <xdr:nvSpPr>
        <xdr:cNvPr id="126" name="Rectangle 125">
          <a:extLst>
            <a:ext uri="{FF2B5EF4-FFF2-40B4-BE49-F238E27FC236}">
              <a16:creationId xmlns:a16="http://schemas.microsoft.com/office/drawing/2014/main" id="{DEE7485D-98FD-4A33-A500-ACB93DDF8F30}"/>
            </a:ext>
          </a:extLst>
        </xdr:cNvPr>
        <xdr:cNvSpPr/>
      </xdr:nvSpPr>
      <xdr:spPr>
        <a:xfrm>
          <a:off x="10209479" y="11450657"/>
          <a:ext cx="1398133" cy="709411"/>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Loss Factor</a:t>
          </a:r>
        </a:p>
      </xdr:txBody>
    </xdr:sp>
    <xdr:clientData/>
  </xdr:twoCellAnchor>
  <xdr:twoCellAnchor>
    <xdr:from>
      <xdr:col>3</xdr:col>
      <xdr:colOff>821696</xdr:colOff>
      <xdr:row>53</xdr:row>
      <xdr:rowOff>49135</xdr:rowOff>
    </xdr:from>
    <xdr:to>
      <xdr:col>6</xdr:col>
      <xdr:colOff>613671</xdr:colOff>
      <xdr:row>57</xdr:row>
      <xdr:rowOff>133088</xdr:rowOff>
    </xdr:to>
    <xdr:sp macro="" textlink="">
      <xdr:nvSpPr>
        <xdr:cNvPr id="121" name="TextBox 120">
          <a:extLst>
            <a:ext uri="{FF2B5EF4-FFF2-40B4-BE49-F238E27FC236}">
              <a16:creationId xmlns:a16="http://schemas.microsoft.com/office/drawing/2014/main" id="{B1028FD0-65F0-42E7-9921-FFF259D744A0}"/>
            </a:ext>
          </a:extLst>
        </xdr:cNvPr>
        <xdr:cNvSpPr txBox="1"/>
      </xdr:nvSpPr>
      <xdr:spPr>
        <a:xfrm>
          <a:off x="4923049" y="11389488"/>
          <a:ext cx="4935475" cy="845953"/>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tx1"/>
            </a:solidFill>
            <a:latin typeface="+mj-lt"/>
            <a:ea typeface="+mn-ea"/>
            <a:cs typeface="Arial" panose="020B0604020202020204" pitchFamily="34" charset="0"/>
          </a:endParaRPr>
        </a:p>
      </xdr:txBody>
    </xdr:sp>
    <xdr:clientData/>
  </xdr:twoCellAnchor>
  <xdr:twoCellAnchor>
    <xdr:from>
      <xdr:col>3</xdr:col>
      <xdr:colOff>889326</xdr:colOff>
      <xdr:row>53</xdr:row>
      <xdr:rowOff>111113</xdr:rowOff>
    </xdr:from>
    <xdr:to>
      <xdr:col>4</xdr:col>
      <xdr:colOff>580249</xdr:colOff>
      <xdr:row>57</xdr:row>
      <xdr:rowOff>68113</xdr:rowOff>
    </xdr:to>
    <xdr:sp macro="" textlink="">
      <xdr:nvSpPr>
        <xdr:cNvPr id="122" name="Rectangle 121">
          <a:extLst>
            <a:ext uri="{FF2B5EF4-FFF2-40B4-BE49-F238E27FC236}">
              <a16:creationId xmlns:a16="http://schemas.microsoft.com/office/drawing/2014/main" id="{7E0C1AFE-72A4-4346-A6A6-02ABB8B703BB}"/>
            </a:ext>
          </a:extLst>
        </xdr:cNvPr>
        <xdr:cNvSpPr/>
      </xdr:nvSpPr>
      <xdr:spPr>
        <a:xfrm>
          <a:off x="4990679" y="11451466"/>
          <a:ext cx="140542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Wholesale electricity ($/kWh)</a:t>
          </a:r>
        </a:p>
      </xdr:txBody>
    </xdr:sp>
    <xdr:clientData/>
  </xdr:twoCellAnchor>
  <xdr:twoCellAnchor>
    <xdr:from>
      <xdr:col>4</xdr:col>
      <xdr:colOff>862144</xdr:colOff>
      <xdr:row>53</xdr:row>
      <xdr:rowOff>111113</xdr:rowOff>
    </xdr:from>
    <xdr:to>
      <xdr:col>5</xdr:col>
      <xdr:colOff>588141</xdr:colOff>
      <xdr:row>57</xdr:row>
      <xdr:rowOff>68113</xdr:rowOff>
    </xdr:to>
    <xdr:sp macro="" textlink="">
      <xdr:nvSpPr>
        <xdr:cNvPr id="123" name="Rectangle 122">
          <a:extLst>
            <a:ext uri="{FF2B5EF4-FFF2-40B4-BE49-F238E27FC236}">
              <a16:creationId xmlns:a16="http://schemas.microsoft.com/office/drawing/2014/main" id="{39191141-DB64-4417-BA07-FB6DB5492625}"/>
            </a:ext>
          </a:extLst>
        </xdr:cNvPr>
        <xdr:cNvSpPr/>
      </xdr:nvSpPr>
      <xdr:spPr>
        <a:xfrm>
          <a:off x="6677997" y="11451466"/>
          <a:ext cx="1440497"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Environmental cost</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5</xdr:col>
      <xdr:colOff>865181</xdr:colOff>
      <xdr:row>53</xdr:row>
      <xdr:rowOff>111113</xdr:rowOff>
    </xdr:from>
    <xdr:to>
      <xdr:col>6</xdr:col>
      <xdr:colOff>548814</xdr:colOff>
      <xdr:row>57</xdr:row>
      <xdr:rowOff>68113</xdr:rowOff>
    </xdr:to>
    <xdr:sp macro="" textlink="">
      <xdr:nvSpPr>
        <xdr:cNvPr id="125" name="Rectangle 124">
          <a:extLst>
            <a:ext uri="{FF2B5EF4-FFF2-40B4-BE49-F238E27FC236}">
              <a16:creationId xmlns:a16="http://schemas.microsoft.com/office/drawing/2014/main" id="{9EA64B14-EBE3-4427-8DC9-6A44536BE635}"/>
            </a:ext>
          </a:extLst>
        </xdr:cNvPr>
        <xdr:cNvSpPr/>
      </xdr:nvSpPr>
      <xdr:spPr>
        <a:xfrm>
          <a:off x="8395534" y="11451466"/>
          <a:ext cx="139813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2</xdr:col>
      <xdr:colOff>2496111</xdr:colOff>
      <xdr:row>63</xdr:row>
      <xdr:rowOff>119515</xdr:rowOff>
    </xdr:from>
    <xdr:to>
      <xdr:col>3</xdr:col>
      <xdr:colOff>507150</xdr:colOff>
      <xdr:row>67</xdr:row>
      <xdr:rowOff>76514</xdr:rowOff>
    </xdr:to>
    <xdr:sp macro="" textlink="">
      <xdr:nvSpPr>
        <xdr:cNvPr id="170" name="Rectangle 169">
          <a:extLst>
            <a:ext uri="{FF2B5EF4-FFF2-40B4-BE49-F238E27FC236}">
              <a16:creationId xmlns:a16="http://schemas.microsoft.com/office/drawing/2014/main" id="{73020FE8-6D46-427D-AD5C-413B154F7461}"/>
            </a:ext>
          </a:extLst>
        </xdr:cNvPr>
        <xdr:cNvSpPr/>
      </xdr:nvSpPr>
      <xdr:spPr>
        <a:xfrm>
          <a:off x="3213287"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63</xdr:row>
      <xdr:rowOff>119515</xdr:rowOff>
    </xdr:from>
    <xdr:to>
      <xdr:col>4</xdr:col>
      <xdr:colOff>500592</xdr:colOff>
      <xdr:row>67</xdr:row>
      <xdr:rowOff>76514</xdr:rowOff>
    </xdr:to>
    <xdr:sp macro="" textlink="">
      <xdr:nvSpPr>
        <xdr:cNvPr id="171" name="Rectangle 170">
          <a:extLst>
            <a:ext uri="{FF2B5EF4-FFF2-40B4-BE49-F238E27FC236}">
              <a16:creationId xmlns:a16="http://schemas.microsoft.com/office/drawing/2014/main" id="{03F884A1-F438-4436-B98F-7FA2422AC375}"/>
            </a:ext>
          </a:extLst>
        </xdr:cNvPr>
        <xdr:cNvSpPr/>
      </xdr:nvSpPr>
      <xdr:spPr>
        <a:xfrm>
          <a:off x="4921229"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6</xdr:col>
      <xdr:colOff>1488113</xdr:colOff>
      <xdr:row>61</xdr:row>
      <xdr:rowOff>100854</xdr:rowOff>
    </xdr:from>
    <xdr:to>
      <xdr:col>7</xdr:col>
      <xdr:colOff>1304703</xdr:colOff>
      <xdr:row>68</xdr:row>
      <xdr:rowOff>29816</xdr:rowOff>
    </xdr:to>
    <xdr:sp macro="" textlink="">
      <xdr:nvSpPr>
        <xdr:cNvPr id="161" name="Rectangle 160">
          <a:extLst>
            <a:ext uri="{FF2B5EF4-FFF2-40B4-BE49-F238E27FC236}">
              <a16:creationId xmlns:a16="http://schemas.microsoft.com/office/drawing/2014/main" id="{C4CAC0B5-E078-4F24-AC13-09A87A8B9525}"/>
            </a:ext>
          </a:extLst>
        </xdr:cNvPr>
        <xdr:cNvSpPr/>
      </xdr:nvSpPr>
      <xdr:spPr>
        <a:xfrm>
          <a:off x="10732966" y="13917707"/>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8</xdr:col>
      <xdr:colOff>85985</xdr:colOff>
      <xdr:row>61</xdr:row>
      <xdr:rowOff>100854</xdr:rowOff>
    </xdr:from>
    <xdr:to>
      <xdr:col>8</xdr:col>
      <xdr:colOff>1606869</xdr:colOff>
      <xdr:row>68</xdr:row>
      <xdr:rowOff>29816</xdr:rowOff>
    </xdr:to>
    <xdr:sp macro="" textlink="">
      <xdr:nvSpPr>
        <xdr:cNvPr id="162" name="Rectangle 161">
          <a:extLst>
            <a:ext uri="{FF2B5EF4-FFF2-40B4-BE49-F238E27FC236}">
              <a16:creationId xmlns:a16="http://schemas.microsoft.com/office/drawing/2014/main" id="{21A4DC95-7096-4AD2-9AA7-F00D940C64D4}"/>
            </a:ext>
          </a:extLst>
        </xdr:cNvPr>
        <xdr:cNvSpPr/>
      </xdr:nvSpPr>
      <xdr:spPr>
        <a:xfrm>
          <a:off x="12759838" y="13917707"/>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63</xdr:row>
      <xdr:rowOff>119515</xdr:rowOff>
    </xdr:from>
    <xdr:to>
      <xdr:col>5</xdr:col>
      <xdr:colOff>944179</xdr:colOff>
      <xdr:row>67</xdr:row>
      <xdr:rowOff>76514</xdr:rowOff>
    </xdr:to>
    <xdr:sp macro="" textlink="">
      <xdr:nvSpPr>
        <xdr:cNvPr id="192" name="Rectangle 191">
          <a:extLst>
            <a:ext uri="{FF2B5EF4-FFF2-40B4-BE49-F238E27FC236}">
              <a16:creationId xmlns:a16="http://schemas.microsoft.com/office/drawing/2014/main" id="{2B4DDC14-61DC-49A5-9A2D-4FC457FA5832}"/>
            </a:ext>
          </a:extLst>
        </xdr:cNvPr>
        <xdr:cNvSpPr/>
      </xdr:nvSpPr>
      <xdr:spPr>
        <a:xfrm>
          <a:off x="7079316"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63</xdr:row>
      <xdr:rowOff>119515</xdr:rowOff>
    </xdr:from>
    <xdr:to>
      <xdr:col>6</xdr:col>
      <xdr:colOff>937621</xdr:colOff>
      <xdr:row>67</xdr:row>
      <xdr:rowOff>76514</xdr:rowOff>
    </xdr:to>
    <xdr:sp macro="" textlink="">
      <xdr:nvSpPr>
        <xdr:cNvPr id="193" name="Rectangle 192">
          <a:extLst>
            <a:ext uri="{FF2B5EF4-FFF2-40B4-BE49-F238E27FC236}">
              <a16:creationId xmlns:a16="http://schemas.microsoft.com/office/drawing/2014/main" id="{DCEB23C5-93EA-4DFC-A6C3-0549A63615D7}"/>
            </a:ext>
          </a:extLst>
        </xdr:cNvPr>
        <xdr:cNvSpPr/>
      </xdr:nvSpPr>
      <xdr:spPr>
        <a:xfrm>
          <a:off x="8787258"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64</xdr:row>
      <xdr:rowOff>156847</xdr:rowOff>
    </xdr:from>
    <xdr:to>
      <xdr:col>2</xdr:col>
      <xdr:colOff>2063899</xdr:colOff>
      <xdr:row>64</xdr:row>
      <xdr:rowOff>156847</xdr:rowOff>
    </xdr:to>
    <xdr:cxnSp macro="">
      <xdr:nvCxnSpPr>
        <xdr:cNvPr id="202" name="Straight Arrow Connector 201">
          <a:extLst>
            <a:ext uri="{FF2B5EF4-FFF2-40B4-BE49-F238E27FC236}">
              <a16:creationId xmlns:a16="http://schemas.microsoft.com/office/drawing/2014/main" id="{7D858B78-A01C-476D-8C85-171CD011917C}"/>
            </a:ext>
          </a:extLst>
        </xdr:cNvPr>
        <xdr:cNvCxnSpPr/>
      </xdr:nvCxnSpPr>
      <xdr:spPr>
        <a:xfrm>
          <a:off x="2521519" y="14545200"/>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61</xdr:row>
      <xdr:rowOff>123265</xdr:rowOff>
    </xdr:from>
    <xdr:to>
      <xdr:col>2</xdr:col>
      <xdr:colOff>1650110</xdr:colOff>
      <xdr:row>68</xdr:row>
      <xdr:rowOff>26418</xdr:rowOff>
    </xdr:to>
    <xdr:sp macro="" textlink="">
      <xdr:nvSpPr>
        <xdr:cNvPr id="203" name="Rectangle 202">
          <a:extLst>
            <a:ext uri="{FF2B5EF4-FFF2-40B4-BE49-F238E27FC236}">
              <a16:creationId xmlns:a16="http://schemas.microsoft.com/office/drawing/2014/main" id="{1678BC32-2903-477E-B2A2-F772F04A3279}"/>
            </a:ext>
          </a:extLst>
        </xdr:cNvPr>
        <xdr:cNvSpPr/>
      </xdr:nvSpPr>
      <xdr:spPr>
        <a:xfrm>
          <a:off x="846402" y="13940118"/>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2</xdr:col>
      <xdr:colOff>33617</xdr:colOff>
      <xdr:row>77</xdr:row>
      <xdr:rowOff>89647</xdr:rowOff>
    </xdr:from>
    <xdr:to>
      <xdr:col>2</xdr:col>
      <xdr:colOff>1730920</xdr:colOff>
      <xdr:row>92</xdr:row>
      <xdr:rowOff>177984</xdr:rowOff>
    </xdr:to>
    <xdr:grpSp>
      <xdr:nvGrpSpPr>
        <xdr:cNvPr id="209" name="Group 208">
          <a:extLst>
            <a:ext uri="{FF2B5EF4-FFF2-40B4-BE49-F238E27FC236}">
              <a16:creationId xmlns:a16="http://schemas.microsoft.com/office/drawing/2014/main" id="{80413A40-E748-4AE1-AC91-84D10A232C57}"/>
            </a:ext>
          </a:extLst>
        </xdr:cNvPr>
        <xdr:cNvGrpSpPr/>
      </xdr:nvGrpSpPr>
      <xdr:grpSpPr>
        <a:xfrm>
          <a:off x="767395" y="14941591"/>
          <a:ext cx="1697303" cy="2840004"/>
          <a:chOff x="13982274" y="9016796"/>
          <a:chExt cx="1697303" cy="2945837"/>
        </a:xfrm>
      </xdr:grpSpPr>
      <xdr:sp macro="" textlink="">
        <xdr:nvSpPr>
          <xdr:cNvPr id="210" name="Rectangle 209">
            <a:extLst>
              <a:ext uri="{FF2B5EF4-FFF2-40B4-BE49-F238E27FC236}">
                <a16:creationId xmlns:a16="http://schemas.microsoft.com/office/drawing/2014/main" id="{3D4785E9-97CD-4DA7-87B1-8A52D8EB7B66}"/>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True up tariffs</a:t>
            </a:r>
            <a:endParaRPr lang="en-AU" sz="1050" b="0">
              <a:solidFill>
                <a:sysClr val="windowText" lastClr="000000"/>
              </a:solidFill>
              <a:latin typeface="+mj-lt"/>
            </a:endParaRPr>
          </a:p>
        </xdr:txBody>
      </xdr:sp>
      <xdr:sp macro="" textlink="">
        <xdr:nvSpPr>
          <xdr:cNvPr id="211" name="Rectangle 210">
            <a:extLst>
              <a:ext uri="{FF2B5EF4-FFF2-40B4-BE49-F238E27FC236}">
                <a16:creationId xmlns:a16="http://schemas.microsoft.com/office/drawing/2014/main" id="{E9B499BA-FCCE-4A15-9D41-73E32C0464AE}"/>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sp macro="" textlink="">
        <xdr:nvSpPr>
          <xdr:cNvPr id="212" name="Rectangle 211">
            <a:extLst>
              <a:ext uri="{FF2B5EF4-FFF2-40B4-BE49-F238E27FC236}">
                <a16:creationId xmlns:a16="http://schemas.microsoft.com/office/drawing/2014/main" id="{9F19BB92-99BC-4072-84C0-645CAB64F228}"/>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Variable Charge ($/kWh)</a:t>
            </a:r>
          </a:p>
        </xdr:txBody>
      </xdr:sp>
    </xdr:grpSp>
    <xdr:clientData/>
  </xdr:twoCellAnchor>
  <xdr:twoCellAnchor>
    <xdr:from>
      <xdr:col>2</xdr:col>
      <xdr:colOff>1804343</xdr:colOff>
      <xdr:row>81</xdr:row>
      <xdr:rowOff>179259</xdr:rowOff>
    </xdr:from>
    <xdr:to>
      <xdr:col>2</xdr:col>
      <xdr:colOff>2063899</xdr:colOff>
      <xdr:row>81</xdr:row>
      <xdr:rowOff>179259</xdr:rowOff>
    </xdr:to>
    <xdr:cxnSp macro="">
      <xdr:nvCxnSpPr>
        <xdr:cNvPr id="213" name="Straight Arrow Connector 212">
          <a:extLst>
            <a:ext uri="{FF2B5EF4-FFF2-40B4-BE49-F238E27FC236}">
              <a16:creationId xmlns:a16="http://schemas.microsoft.com/office/drawing/2014/main" id="{48C79257-BB51-4949-A2EF-350E6CFFE9D3}"/>
            </a:ext>
          </a:extLst>
        </xdr:cNvPr>
        <xdr:cNvCxnSpPr/>
      </xdr:nvCxnSpPr>
      <xdr:spPr>
        <a:xfrm>
          <a:off x="2521519" y="16282112"/>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1804343</xdr:colOff>
      <xdr:row>89</xdr:row>
      <xdr:rowOff>78406</xdr:rowOff>
    </xdr:from>
    <xdr:to>
      <xdr:col>2</xdr:col>
      <xdr:colOff>2063899</xdr:colOff>
      <xdr:row>89</xdr:row>
      <xdr:rowOff>78406</xdr:rowOff>
    </xdr:to>
    <xdr:cxnSp macro="">
      <xdr:nvCxnSpPr>
        <xdr:cNvPr id="214" name="Straight Arrow Connector 213">
          <a:extLst>
            <a:ext uri="{FF2B5EF4-FFF2-40B4-BE49-F238E27FC236}">
              <a16:creationId xmlns:a16="http://schemas.microsoft.com/office/drawing/2014/main" id="{F9E0149B-DBCC-4118-ABED-1F56402FE422}"/>
            </a:ext>
          </a:extLst>
        </xdr:cNvPr>
        <xdr:cNvCxnSpPr/>
      </xdr:nvCxnSpPr>
      <xdr:spPr>
        <a:xfrm>
          <a:off x="2521519" y="17705259"/>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2386853</xdr:colOff>
      <xdr:row>80</xdr:row>
      <xdr:rowOff>44824</xdr:rowOff>
    </xdr:from>
    <xdr:to>
      <xdr:col>3</xdr:col>
      <xdr:colOff>356188</xdr:colOff>
      <xdr:row>83</xdr:row>
      <xdr:rowOff>127272</xdr:rowOff>
    </xdr:to>
    <xdr:sp macro="" textlink="">
      <xdr:nvSpPr>
        <xdr:cNvPr id="274" name="Rectangle 273">
          <a:extLst>
            <a:ext uri="{FF2B5EF4-FFF2-40B4-BE49-F238E27FC236}">
              <a16:creationId xmlns:a16="http://schemas.microsoft.com/office/drawing/2014/main" id="{D1CEA11A-E9E9-42B8-BA42-83FF4CA5B5EF}"/>
            </a:ext>
          </a:extLst>
        </xdr:cNvPr>
        <xdr:cNvSpPr/>
      </xdr:nvSpPr>
      <xdr:spPr>
        <a:xfrm>
          <a:off x="3104029" y="15957177"/>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3</xdr:col>
      <xdr:colOff>470647</xdr:colOff>
      <xdr:row>80</xdr:row>
      <xdr:rowOff>112060</xdr:rowOff>
    </xdr:from>
    <xdr:to>
      <xdr:col>3</xdr:col>
      <xdr:colOff>784412</xdr:colOff>
      <xdr:row>83</xdr:row>
      <xdr:rowOff>100853</xdr:rowOff>
    </xdr:to>
    <xdr:sp macro="" textlink="">
      <xdr:nvSpPr>
        <xdr:cNvPr id="100" name="Division Sign 99">
          <a:extLst>
            <a:ext uri="{FF2B5EF4-FFF2-40B4-BE49-F238E27FC236}">
              <a16:creationId xmlns:a16="http://schemas.microsoft.com/office/drawing/2014/main" id="{2E2343FF-69EA-44B0-9917-B5450728EAA1}"/>
            </a:ext>
          </a:extLst>
        </xdr:cNvPr>
        <xdr:cNvSpPr/>
      </xdr:nvSpPr>
      <xdr:spPr>
        <a:xfrm>
          <a:off x="4572000" y="16024413"/>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493059</xdr:colOff>
      <xdr:row>64</xdr:row>
      <xdr:rowOff>112057</xdr:rowOff>
    </xdr:from>
    <xdr:to>
      <xdr:col>3</xdr:col>
      <xdr:colOff>853059</xdr:colOff>
      <xdr:row>66</xdr:row>
      <xdr:rowOff>91057</xdr:rowOff>
    </xdr:to>
    <xdr:sp macro="" textlink="">
      <xdr:nvSpPr>
        <xdr:cNvPr id="104" name="Multiplication Sign 103">
          <a:extLst>
            <a:ext uri="{FF2B5EF4-FFF2-40B4-BE49-F238E27FC236}">
              <a16:creationId xmlns:a16="http://schemas.microsoft.com/office/drawing/2014/main" id="{397DAF89-FB2F-43C5-B383-FDA5BAA75243}"/>
            </a:ext>
          </a:extLst>
        </xdr:cNvPr>
        <xdr:cNvSpPr/>
      </xdr:nvSpPr>
      <xdr:spPr>
        <a:xfrm>
          <a:off x="4594412"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64</xdr:row>
      <xdr:rowOff>112057</xdr:rowOff>
    </xdr:from>
    <xdr:to>
      <xdr:col>5</xdr:col>
      <xdr:colOff>1290088</xdr:colOff>
      <xdr:row>66</xdr:row>
      <xdr:rowOff>91057</xdr:rowOff>
    </xdr:to>
    <xdr:sp macro="" textlink="">
      <xdr:nvSpPr>
        <xdr:cNvPr id="275" name="Multiplication Sign 274">
          <a:extLst>
            <a:ext uri="{FF2B5EF4-FFF2-40B4-BE49-F238E27FC236}">
              <a16:creationId xmlns:a16="http://schemas.microsoft.com/office/drawing/2014/main" id="{1DE5BEB6-DF5B-42DA-8606-ACBF9B3DD9D5}"/>
            </a:ext>
          </a:extLst>
        </xdr:cNvPr>
        <xdr:cNvSpPr/>
      </xdr:nvSpPr>
      <xdr:spPr>
        <a:xfrm>
          <a:off x="8460441"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65</xdr:row>
      <xdr:rowOff>22412</xdr:rowOff>
    </xdr:from>
    <xdr:to>
      <xdr:col>4</xdr:col>
      <xdr:colOff>1088382</xdr:colOff>
      <xdr:row>65</xdr:row>
      <xdr:rowOff>166412</xdr:rowOff>
    </xdr:to>
    <xdr:sp macro="" textlink="">
      <xdr:nvSpPr>
        <xdr:cNvPr id="105" name="Minus Sign 104">
          <a:extLst>
            <a:ext uri="{FF2B5EF4-FFF2-40B4-BE49-F238E27FC236}">
              <a16:creationId xmlns:a16="http://schemas.microsoft.com/office/drawing/2014/main" id="{67074131-39EA-43DE-89A7-7D89D3B412FD}"/>
            </a:ext>
          </a:extLst>
        </xdr:cNvPr>
        <xdr:cNvSpPr/>
      </xdr:nvSpPr>
      <xdr:spPr>
        <a:xfrm>
          <a:off x="6544235" y="14601265"/>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459440</xdr:colOff>
      <xdr:row>54</xdr:row>
      <xdr:rowOff>112060</xdr:rowOff>
    </xdr:from>
    <xdr:to>
      <xdr:col>3</xdr:col>
      <xdr:colOff>819440</xdr:colOff>
      <xdr:row>56</xdr:row>
      <xdr:rowOff>89648</xdr:rowOff>
    </xdr:to>
    <xdr:sp macro="" textlink="">
      <xdr:nvSpPr>
        <xdr:cNvPr id="106" name="Plus Sign 105">
          <a:extLst>
            <a:ext uri="{FF2B5EF4-FFF2-40B4-BE49-F238E27FC236}">
              <a16:creationId xmlns:a16="http://schemas.microsoft.com/office/drawing/2014/main" id="{D43FC991-9A44-43DE-A68F-E527684CF17A}"/>
            </a:ext>
          </a:extLst>
        </xdr:cNvPr>
        <xdr:cNvSpPr/>
      </xdr:nvSpPr>
      <xdr:spPr>
        <a:xfrm>
          <a:off x="4560793" y="11642913"/>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1400735</xdr:colOff>
      <xdr:row>64</xdr:row>
      <xdr:rowOff>22409</xdr:rowOff>
    </xdr:from>
    <xdr:to>
      <xdr:col>8</xdr:col>
      <xdr:colOff>10235</xdr:colOff>
      <xdr:row>66</xdr:row>
      <xdr:rowOff>1409</xdr:rowOff>
    </xdr:to>
    <xdr:sp macro="" textlink="">
      <xdr:nvSpPr>
        <xdr:cNvPr id="277" name="Multiplication Sign 276">
          <a:extLst>
            <a:ext uri="{FF2B5EF4-FFF2-40B4-BE49-F238E27FC236}">
              <a16:creationId xmlns:a16="http://schemas.microsoft.com/office/drawing/2014/main" id="{6C0A3F39-7700-4670-954C-977E7A41874E}"/>
            </a:ext>
          </a:extLst>
        </xdr:cNvPr>
        <xdr:cNvSpPr/>
      </xdr:nvSpPr>
      <xdr:spPr>
        <a:xfrm>
          <a:off x="12360088"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582705</xdr:colOff>
      <xdr:row>54</xdr:row>
      <xdr:rowOff>112060</xdr:rowOff>
    </xdr:from>
    <xdr:to>
      <xdr:col>4</xdr:col>
      <xdr:colOff>870705</xdr:colOff>
      <xdr:row>56</xdr:row>
      <xdr:rowOff>19060</xdr:rowOff>
    </xdr:to>
    <xdr:sp macro="" textlink="">
      <xdr:nvSpPr>
        <xdr:cNvPr id="280" name="Plus Sign 279">
          <a:extLst>
            <a:ext uri="{FF2B5EF4-FFF2-40B4-BE49-F238E27FC236}">
              <a16:creationId xmlns:a16="http://schemas.microsoft.com/office/drawing/2014/main" id="{D5DE4DFF-5F9E-46BF-97E3-D71C66505D71}"/>
            </a:ext>
          </a:extLst>
        </xdr:cNvPr>
        <xdr:cNvSpPr/>
      </xdr:nvSpPr>
      <xdr:spPr>
        <a:xfrm>
          <a:off x="6398558"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571499</xdr:colOff>
      <xdr:row>54</xdr:row>
      <xdr:rowOff>112060</xdr:rowOff>
    </xdr:from>
    <xdr:to>
      <xdr:col>5</xdr:col>
      <xdr:colOff>859499</xdr:colOff>
      <xdr:row>56</xdr:row>
      <xdr:rowOff>19060</xdr:rowOff>
    </xdr:to>
    <xdr:sp macro="" textlink="">
      <xdr:nvSpPr>
        <xdr:cNvPr id="281" name="Plus Sign 280">
          <a:extLst>
            <a:ext uri="{FF2B5EF4-FFF2-40B4-BE49-F238E27FC236}">
              <a16:creationId xmlns:a16="http://schemas.microsoft.com/office/drawing/2014/main" id="{2E256C17-3C2B-4992-9D76-F26FDD355EDD}"/>
            </a:ext>
          </a:extLst>
        </xdr:cNvPr>
        <xdr:cNvSpPr/>
      </xdr:nvSpPr>
      <xdr:spPr>
        <a:xfrm>
          <a:off x="8101852"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54</xdr:row>
      <xdr:rowOff>22409</xdr:rowOff>
    </xdr:from>
    <xdr:to>
      <xdr:col>8</xdr:col>
      <xdr:colOff>1455794</xdr:colOff>
      <xdr:row>56</xdr:row>
      <xdr:rowOff>1409</xdr:rowOff>
    </xdr:to>
    <xdr:sp macro="" textlink="">
      <xdr:nvSpPr>
        <xdr:cNvPr id="282" name="Multiplication Sign 281">
          <a:extLst>
            <a:ext uri="{FF2B5EF4-FFF2-40B4-BE49-F238E27FC236}">
              <a16:creationId xmlns:a16="http://schemas.microsoft.com/office/drawing/2014/main" id="{05287BFC-CCA1-4DEA-B930-083F7ED76691}"/>
            </a:ext>
          </a:extLst>
        </xdr:cNvPr>
        <xdr:cNvSpPr/>
      </xdr:nvSpPr>
      <xdr:spPr>
        <a:xfrm>
          <a:off x="13805647"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54</xdr:row>
      <xdr:rowOff>22409</xdr:rowOff>
    </xdr:from>
    <xdr:to>
      <xdr:col>7</xdr:col>
      <xdr:colOff>1119618</xdr:colOff>
      <xdr:row>56</xdr:row>
      <xdr:rowOff>1409</xdr:rowOff>
    </xdr:to>
    <xdr:sp macro="" textlink="">
      <xdr:nvSpPr>
        <xdr:cNvPr id="283" name="Multiplication Sign 282">
          <a:extLst>
            <a:ext uri="{FF2B5EF4-FFF2-40B4-BE49-F238E27FC236}">
              <a16:creationId xmlns:a16="http://schemas.microsoft.com/office/drawing/2014/main" id="{75AE752A-C358-46E8-B414-C76805CBBE3F}"/>
            </a:ext>
          </a:extLst>
        </xdr:cNvPr>
        <xdr:cNvSpPr/>
      </xdr:nvSpPr>
      <xdr:spPr>
        <a:xfrm>
          <a:off x="11754971"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627530</xdr:colOff>
      <xdr:row>54</xdr:row>
      <xdr:rowOff>100851</xdr:rowOff>
    </xdr:from>
    <xdr:to>
      <xdr:col>6</xdr:col>
      <xdr:colOff>987530</xdr:colOff>
      <xdr:row>56</xdr:row>
      <xdr:rowOff>79851</xdr:rowOff>
    </xdr:to>
    <xdr:sp macro="" textlink="">
      <xdr:nvSpPr>
        <xdr:cNvPr id="285" name="Multiplication Sign 284">
          <a:extLst>
            <a:ext uri="{FF2B5EF4-FFF2-40B4-BE49-F238E27FC236}">
              <a16:creationId xmlns:a16="http://schemas.microsoft.com/office/drawing/2014/main" id="{8A71F486-3ED0-43AE-AC30-14D6E309853B}"/>
            </a:ext>
          </a:extLst>
        </xdr:cNvPr>
        <xdr:cNvSpPr/>
      </xdr:nvSpPr>
      <xdr:spPr>
        <a:xfrm>
          <a:off x="9872383" y="1163170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526676</xdr:colOff>
      <xdr:row>47</xdr:row>
      <xdr:rowOff>33619</xdr:rowOff>
    </xdr:from>
    <xdr:to>
      <xdr:col>3</xdr:col>
      <xdr:colOff>814676</xdr:colOff>
      <xdr:row>48</xdr:row>
      <xdr:rowOff>131119</xdr:rowOff>
    </xdr:to>
    <xdr:sp macro="" textlink="">
      <xdr:nvSpPr>
        <xdr:cNvPr id="286" name="Plus Sign 285">
          <a:extLst>
            <a:ext uri="{FF2B5EF4-FFF2-40B4-BE49-F238E27FC236}">
              <a16:creationId xmlns:a16="http://schemas.microsoft.com/office/drawing/2014/main" id="{E706994B-F91B-4C43-887D-C0E19947D45D}"/>
            </a:ext>
          </a:extLst>
        </xdr:cNvPr>
        <xdr:cNvSpPr/>
      </xdr:nvSpPr>
      <xdr:spPr>
        <a:xfrm>
          <a:off x="4628029"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515470</xdr:colOff>
      <xdr:row>47</xdr:row>
      <xdr:rowOff>33619</xdr:rowOff>
    </xdr:from>
    <xdr:to>
      <xdr:col>4</xdr:col>
      <xdr:colOff>803470</xdr:colOff>
      <xdr:row>48</xdr:row>
      <xdr:rowOff>131119</xdr:rowOff>
    </xdr:to>
    <xdr:sp macro="" textlink="">
      <xdr:nvSpPr>
        <xdr:cNvPr id="287" name="Plus Sign 286">
          <a:extLst>
            <a:ext uri="{FF2B5EF4-FFF2-40B4-BE49-F238E27FC236}">
              <a16:creationId xmlns:a16="http://schemas.microsoft.com/office/drawing/2014/main" id="{5C1D854E-3BC8-4465-B239-5012951F781E}"/>
            </a:ext>
          </a:extLst>
        </xdr:cNvPr>
        <xdr:cNvSpPr/>
      </xdr:nvSpPr>
      <xdr:spPr>
        <a:xfrm>
          <a:off x="6331323"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481852</xdr:colOff>
      <xdr:row>47</xdr:row>
      <xdr:rowOff>33619</xdr:rowOff>
    </xdr:from>
    <xdr:to>
      <xdr:col>5</xdr:col>
      <xdr:colOff>769852</xdr:colOff>
      <xdr:row>48</xdr:row>
      <xdr:rowOff>131119</xdr:rowOff>
    </xdr:to>
    <xdr:sp macro="" textlink="">
      <xdr:nvSpPr>
        <xdr:cNvPr id="288" name="Plus Sign 287">
          <a:extLst>
            <a:ext uri="{FF2B5EF4-FFF2-40B4-BE49-F238E27FC236}">
              <a16:creationId xmlns:a16="http://schemas.microsoft.com/office/drawing/2014/main" id="{EE6A69B9-818D-4685-BFE9-7D7591E545AF}"/>
            </a:ext>
          </a:extLst>
        </xdr:cNvPr>
        <xdr:cNvSpPr/>
      </xdr:nvSpPr>
      <xdr:spPr>
        <a:xfrm>
          <a:off x="8012205"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493058</xdr:colOff>
      <xdr:row>47</xdr:row>
      <xdr:rowOff>33619</xdr:rowOff>
    </xdr:from>
    <xdr:to>
      <xdr:col>6</xdr:col>
      <xdr:colOff>781058</xdr:colOff>
      <xdr:row>48</xdr:row>
      <xdr:rowOff>131119</xdr:rowOff>
    </xdr:to>
    <xdr:sp macro="" textlink="">
      <xdr:nvSpPr>
        <xdr:cNvPr id="289" name="Plus Sign 288">
          <a:extLst>
            <a:ext uri="{FF2B5EF4-FFF2-40B4-BE49-F238E27FC236}">
              <a16:creationId xmlns:a16="http://schemas.microsoft.com/office/drawing/2014/main" id="{CC1A0D76-69AB-486D-9DEA-A23861356424}"/>
            </a:ext>
          </a:extLst>
        </xdr:cNvPr>
        <xdr:cNvSpPr/>
      </xdr:nvSpPr>
      <xdr:spPr>
        <a:xfrm>
          <a:off x="9737911"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46</xdr:row>
      <xdr:rowOff>100850</xdr:rowOff>
    </xdr:from>
    <xdr:to>
      <xdr:col>8</xdr:col>
      <xdr:colOff>1455794</xdr:colOff>
      <xdr:row>48</xdr:row>
      <xdr:rowOff>79850</xdr:rowOff>
    </xdr:to>
    <xdr:sp macro="" textlink="">
      <xdr:nvSpPr>
        <xdr:cNvPr id="291" name="Multiplication Sign 290">
          <a:extLst>
            <a:ext uri="{FF2B5EF4-FFF2-40B4-BE49-F238E27FC236}">
              <a16:creationId xmlns:a16="http://schemas.microsoft.com/office/drawing/2014/main" id="{C35CE687-770D-4340-BD05-D4C2E0CE745A}"/>
            </a:ext>
          </a:extLst>
        </xdr:cNvPr>
        <xdr:cNvSpPr/>
      </xdr:nvSpPr>
      <xdr:spPr>
        <a:xfrm>
          <a:off x="13805647"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46</xdr:row>
      <xdr:rowOff>100850</xdr:rowOff>
    </xdr:from>
    <xdr:to>
      <xdr:col>7</xdr:col>
      <xdr:colOff>1119618</xdr:colOff>
      <xdr:row>48</xdr:row>
      <xdr:rowOff>79850</xdr:rowOff>
    </xdr:to>
    <xdr:sp macro="" textlink="">
      <xdr:nvSpPr>
        <xdr:cNvPr id="292" name="Multiplication Sign 291">
          <a:extLst>
            <a:ext uri="{FF2B5EF4-FFF2-40B4-BE49-F238E27FC236}">
              <a16:creationId xmlns:a16="http://schemas.microsoft.com/office/drawing/2014/main" id="{2B138E9A-EE55-4976-BC53-5A68B25A837C}"/>
            </a:ext>
          </a:extLst>
        </xdr:cNvPr>
        <xdr:cNvSpPr/>
      </xdr:nvSpPr>
      <xdr:spPr>
        <a:xfrm>
          <a:off x="11754971"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819876</xdr:colOff>
      <xdr:row>80</xdr:row>
      <xdr:rowOff>18662</xdr:rowOff>
    </xdr:from>
    <xdr:to>
      <xdr:col>4</xdr:col>
      <xdr:colOff>500592</xdr:colOff>
      <xdr:row>83</xdr:row>
      <xdr:rowOff>166161</xdr:rowOff>
    </xdr:to>
    <xdr:sp macro="" textlink="">
      <xdr:nvSpPr>
        <xdr:cNvPr id="300" name="Rectangle 299">
          <a:extLst>
            <a:ext uri="{FF2B5EF4-FFF2-40B4-BE49-F238E27FC236}">
              <a16:creationId xmlns:a16="http://schemas.microsoft.com/office/drawing/2014/main" id="{BB4CA80F-C795-4111-AA71-2615B422CC16}"/>
            </a:ext>
          </a:extLst>
        </xdr:cNvPr>
        <xdr:cNvSpPr/>
      </xdr:nvSpPr>
      <xdr:spPr>
        <a:xfrm>
          <a:off x="4921229" y="15931015"/>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2</xdr:col>
      <xdr:colOff>2386853</xdr:colOff>
      <xdr:row>87</xdr:row>
      <xdr:rowOff>145677</xdr:rowOff>
    </xdr:from>
    <xdr:to>
      <xdr:col>3</xdr:col>
      <xdr:colOff>356188</xdr:colOff>
      <xdr:row>91</xdr:row>
      <xdr:rowOff>37625</xdr:rowOff>
    </xdr:to>
    <xdr:sp macro="" textlink="">
      <xdr:nvSpPr>
        <xdr:cNvPr id="302" name="Rectangle 301">
          <a:extLst>
            <a:ext uri="{FF2B5EF4-FFF2-40B4-BE49-F238E27FC236}">
              <a16:creationId xmlns:a16="http://schemas.microsoft.com/office/drawing/2014/main" id="{5F2D075C-ADFB-467A-8064-7F8B578C4606}"/>
            </a:ext>
          </a:extLst>
        </xdr:cNvPr>
        <xdr:cNvSpPr/>
      </xdr:nvSpPr>
      <xdr:spPr>
        <a:xfrm>
          <a:off x="3104029" y="17391530"/>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470647</xdr:colOff>
      <xdr:row>88</xdr:row>
      <xdr:rowOff>22413</xdr:rowOff>
    </xdr:from>
    <xdr:to>
      <xdr:col>3</xdr:col>
      <xdr:colOff>784412</xdr:colOff>
      <xdr:row>91</xdr:row>
      <xdr:rowOff>11206</xdr:rowOff>
    </xdr:to>
    <xdr:sp macro="" textlink="">
      <xdr:nvSpPr>
        <xdr:cNvPr id="303" name="Division Sign 302">
          <a:extLst>
            <a:ext uri="{FF2B5EF4-FFF2-40B4-BE49-F238E27FC236}">
              <a16:creationId xmlns:a16="http://schemas.microsoft.com/office/drawing/2014/main" id="{4648D8B4-ED86-4C71-831B-394B783852C2}"/>
            </a:ext>
          </a:extLst>
        </xdr:cNvPr>
        <xdr:cNvSpPr/>
      </xdr:nvSpPr>
      <xdr:spPr>
        <a:xfrm>
          <a:off x="4572000" y="17458766"/>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874059</xdr:colOff>
      <xdr:row>86</xdr:row>
      <xdr:rowOff>91578</xdr:rowOff>
    </xdr:from>
    <xdr:to>
      <xdr:col>6</xdr:col>
      <xdr:colOff>1064558</xdr:colOff>
      <xdr:row>92</xdr:row>
      <xdr:rowOff>98976</xdr:rowOff>
    </xdr:to>
    <xdr:sp macro="" textlink="">
      <xdr:nvSpPr>
        <xdr:cNvPr id="305" name="Rectangle 304">
          <a:extLst>
            <a:ext uri="{FF2B5EF4-FFF2-40B4-BE49-F238E27FC236}">
              <a16:creationId xmlns:a16="http://schemas.microsoft.com/office/drawing/2014/main" id="{5739D8DD-16EC-463A-BF8E-4084B893CB86}"/>
            </a:ext>
          </a:extLst>
        </xdr:cNvPr>
        <xdr:cNvSpPr/>
      </xdr:nvSpPr>
      <xdr:spPr>
        <a:xfrm>
          <a:off x="4975412" y="17146931"/>
          <a:ext cx="5333999"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Electricity consumption in the decision period</a:t>
          </a:r>
        </a:p>
      </xdr:txBody>
    </xdr:sp>
    <xdr:clientData/>
  </xdr:twoCellAnchor>
  <xdr:twoCellAnchor>
    <xdr:from>
      <xdr:col>5</xdr:col>
      <xdr:colOff>1252261</xdr:colOff>
      <xdr:row>87</xdr:row>
      <xdr:rowOff>175544</xdr:rowOff>
    </xdr:from>
    <xdr:to>
      <xdr:col>6</xdr:col>
      <xdr:colOff>932977</xdr:colOff>
      <xdr:row>91</xdr:row>
      <xdr:rowOff>132543</xdr:rowOff>
    </xdr:to>
    <xdr:sp macro="" textlink="">
      <xdr:nvSpPr>
        <xdr:cNvPr id="306" name="Rectangle 305">
          <a:extLst>
            <a:ext uri="{FF2B5EF4-FFF2-40B4-BE49-F238E27FC236}">
              <a16:creationId xmlns:a16="http://schemas.microsoft.com/office/drawing/2014/main" id="{6146A29A-734B-4F50-BC17-C28F8AC84447}"/>
            </a:ext>
          </a:extLst>
        </xdr:cNvPr>
        <xdr:cNvSpPr/>
      </xdr:nvSpPr>
      <xdr:spPr>
        <a:xfrm>
          <a:off x="8782614"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Days in year</a:t>
          </a:r>
        </a:p>
      </xdr:txBody>
    </xdr:sp>
    <xdr:clientData/>
  </xdr:twoCellAnchor>
  <xdr:twoCellAnchor>
    <xdr:from>
      <xdr:col>4</xdr:col>
      <xdr:colOff>1156056</xdr:colOff>
      <xdr:row>87</xdr:row>
      <xdr:rowOff>175544</xdr:rowOff>
    </xdr:from>
    <xdr:to>
      <xdr:col>5</xdr:col>
      <xdr:colOff>836772</xdr:colOff>
      <xdr:row>91</xdr:row>
      <xdr:rowOff>132543</xdr:rowOff>
    </xdr:to>
    <xdr:sp macro="" textlink="">
      <xdr:nvSpPr>
        <xdr:cNvPr id="307" name="Rectangle 306">
          <a:extLst>
            <a:ext uri="{FF2B5EF4-FFF2-40B4-BE49-F238E27FC236}">
              <a16:creationId xmlns:a16="http://schemas.microsoft.com/office/drawing/2014/main" id="{A7BD6ACE-A101-4C27-8769-F08FCFEB08E4}"/>
            </a:ext>
          </a:extLst>
        </xdr:cNvPr>
        <xdr:cNvSpPr/>
      </xdr:nvSpPr>
      <xdr:spPr>
        <a:xfrm>
          <a:off x="6971909"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5</xdr:col>
      <xdr:colOff>896476</xdr:colOff>
      <xdr:row>88</xdr:row>
      <xdr:rowOff>100854</xdr:rowOff>
    </xdr:from>
    <xdr:to>
      <xdr:col>5</xdr:col>
      <xdr:colOff>1210241</xdr:colOff>
      <xdr:row>91</xdr:row>
      <xdr:rowOff>89647</xdr:rowOff>
    </xdr:to>
    <xdr:sp macro="" textlink="">
      <xdr:nvSpPr>
        <xdr:cNvPr id="308" name="Division Sign 307">
          <a:extLst>
            <a:ext uri="{FF2B5EF4-FFF2-40B4-BE49-F238E27FC236}">
              <a16:creationId xmlns:a16="http://schemas.microsoft.com/office/drawing/2014/main" id="{F1FD4628-552A-4D2A-81EF-137B9B835502}"/>
            </a:ext>
          </a:extLst>
        </xdr:cNvPr>
        <xdr:cNvSpPr/>
      </xdr:nvSpPr>
      <xdr:spPr>
        <a:xfrm>
          <a:off x="8426829" y="17537207"/>
          <a:ext cx="313765" cy="560293"/>
        </a:xfrm>
        <a:prstGeom prst="mathDivide">
          <a:avLst>
            <a:gd name="adj1" fmla="val 5502"/>
            <a:gd name="adj2" fmla="val 7682"/>
            <a:gd name="adj3" fmla="val 582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1088818</xdr:colOff>
      <xdr:row>87</xdr:row>
      <xdr:rowOff>164339</xdr:rowOff>
    </xdr:from>
    <xdr:to>
      <xdr:col>4</xdr:col>
      <xdr:colOff>769534</xdr:colOff>
      <xdr:row>91</xdr:row>
      <xdr:rowOff>121338</xdr:rowOff>
    </xdr:to>
    <xdr:sp macro="" textlink="">
      <xdr:nvSpPr>
        <xdr:cNvPr id="309" name="Rectangle 308">
          <a:extLst>
            <a:ext uri="{FF2B5EF4-FFF2-40B4-BE49-F238E27FC236}">
              <a16:creationId xmlns:a16="http://schemas.microsoft.com/office/drawing/2014/main" id="{705EBDF4-0060-441D-9397-CBE79E9CBF9F}"/>
            </a:ext>
          </a:extLst>
        </xdr:cNvPr>
        <xdr:cNvSpPr/>
      </xdr:nvSpPr>
      <xdr:spPr>
        <a:xfrm>
          <a:off x="5190171" y="17410192"/>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4</xdr:col>
      <xdr:colOff>795618</xdr:colOff>
      <xdr:row>88</xdr:row>
      <xdr:rowOff>190497</xdr:rowOff>
    </xdr:from>
    <xdr:to>
      <xdr:col>4</xdr:col>
      <xdr:colOff>1155618</xdr:colOff>
      <xdr:row>90</xdr:row>
      <xdr:rowOff>169497</xdr:rowOff>
    </xdr:to>
    <xdr:sp macro="" textlink="">
      <xdr:nvSpPr>
        <xdr:cNvPr id="315" name="Multiplication Sign 314">
          <a:extLst>
            <a:ext uri="{FF2B5EF4-FFF2-40B4-BE49-F238E27FC236}">
              <a16:creationId xmlns:a16="http://schemas.microsoft.com/office/drawing/2014/main" id="{BF25BBD1-7480-4007-A6C1-15063B30BB84}"/>
            </a:ext>
          </a:extLst>
        </xdr:cNvPr>
        <xdr:cNvSpPr/>
      </xdr:nvSpPr>
      <xdr:spPr>
        <a:xfrm>
          <a:off x="6611471" y="1762685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1131794</xdr:colOff>
      <xdr:row>64</xdr:row>
      <xdr:rowOff>22409</xdr:rowOff>
    </xdr:from>
    <xdr:to>
      <xdr:col>6</xdr:col>
      <xdr:colOff>1455794</xdr:colOff>
      <xdr:row>66</xdr:row>
      <xdr:rowOff>1409</xdr:rowOff>
    </xdr:to>
    <xdr:sp macro="" textlink="">
      <xdr:nvSpPr>
        <xdr:cNvPr id="316" name="Multiplication Sign 315">
          <a:extLst>
            <a:ext uri="{FF2B5EF4-FFF2-40B4-BE49-F238E27FC236}">
              <a16:creationId xmlns:a16="http://schemas.microsoft.com/office/drawing/2014/main" id="{EFE8E95F-CB71-4152-8093-E492D58B34F6}"/>
            </a:ext>
          </a:extLst>
        </xdr:cNvPr>
        <xdr:cNvSpPr/>
      </xdr:nvSpPr>
      <xdr:spPr>
        <a:xfrm>
          <a:off x="10376647"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1187823</xdr:colOff>
      <xdr:row>70</xdr:row>
      <xdr:rowOff>67236</xdr:rowOff>
    </xdr:from>
    <xdr:to>
      <xdr:col>6</xdr:col>
      <xdr:colOff>1008531</xdr:colOff>
      <xdr:row>75</xdr:row>
      <xdr:rowOff>61546</xdr:rowOff>
    </xdr:to>
    <xdr:sp macro="" textlink="">
      <xdr:nvSpPr>
        <xdr:cNvPr id="317" name="TextBox 316">
          <a:extLst>
            <a:ext uri="{FF2B5EF4-FFF2-40B4-BE49-F238E27FC236}">
              <a16:creationId xmlns:a16="http://schemas.microsoft.com/office/drawing/2014/main" id="{F1AF5684-43AE-4D70-9C07-EC17F6AFF7C1}"/>
            </a:ext>
          </a:extLst>
        </xdr:cNvPr>
        <xdr:cNvSpPr txBox="1"/>
      </xdr:nvSpPr>
      <xdr:spPr>
        <a:xfrm>
          <a:off x="7003676"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70</xdr:row>
      <xdr:rowOff>67236</xdr:rowOff>
    </xdr:from>
    <xdr:to>
      <xdr:col>4</xdr:col>
      <xdr:colOff>593913</xdr:colOff>
      <xdr:row>75</xdr:row>
      <xdr:rowOff>61546</xdr:rowOff>
    </xdr:to>
    <xdr:sp macro="" textlink="">
      <xdr:nvSpPr>
        <xdr:cNvPr id="318" name="TextBox 317">
          <a:extLst>
            <a:ext uri="{FF2B5EF4-FFF2-40B4-BE49-F238E27FC236}">
              <a16:creationId xmlns:a16="http://schemas.microsoft.com/office/drawing/2014/main" id="{202740BD-B50D-4A73-8C33-3F9DCE6117D4}"/>
            </a:ext>
          </a:extLst>
        </xdr:cNvPr>
        <xdr:cNvSpPr txBox="1"/>
      </xdr:nvSpPr>
      <xdr:spPr>
        <a:xfrm>
          <a:off x="3160058"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2496111</xdr:colOff>
      <xdr:row>71</xdr:row>
      <xdr:rowOff>29868</xdr:rowOff>
    </xdr:from>
    <xdr:to>
      <xdr:col>3</xdr:col>
      <xdr:colOff>507150</xdr:colOff>
      <xdr:row>74</xdr:row>
      <xdr:rowOff>177367</xdr:rowOff>
    </xdr:to>
    <xdr:sp macro="" textlink="">
      <xdr:nvSpPr>
        <xdr:cNvPr id="319" name="Rectangle 318">
          <a:extLst>
            <a:ext uri="{FF2B5EF4-FFF2-40B4-BE49-F238E27FC236}">
              <a16:creationId xmlns:a16="http://schemas.microsoft.com/office/drawing/2014/main" id="{B2EDC7DB-8586-45E6-A9A1-9C24D02EA727}"/>
            </a:ext>
          </a:extLst>
        </xdr:cNvPr>
        <xdr:cNvSpPr/>
      </xdr:nvSpPr>
      <xdr:spPr>
        <a:xfrm>
          <a:off x="3213287"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71</xdr:row>
      <xdr:rowOff>29868</xdr:rowOff>
    </xdr:from>
    <xdr:to>
      <xdr:col>4</xdr:col>
      <xdr:colOff>500592</xdr:colOff>
      <xdr:row>74</xdr:row>
      <xdr:rowOff>177367</xdr:rowOff>
    </xdr:to>
    <xdr:sp macro="" textlink="">
      <xdr:nvSpPr>
        <xdr:cNvPr id="320" name="Rectangle 319">
          <a:extLst>
            <a:ext uri="{FF2B5EF4-FFF2-40B4-BE49-F238E27FC236}">
              <a16:creationId xmlns:a16="http://schemas.microsoft.com/office/drawing/2014/main" id="{26546092-F699-4524-9B96-7019E70CF5FE}"/>
            </a:ext>
          </a:extLst>
        </xdr:cNvPr>
        <xdr:cNvSpPr/>
      </xdr:nvSpPr>
      <xdr:spPr>
        <a:xfrm>
          <a:off x="4921229"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8</xdr:col>
      <xdr:colOff>98584</xdr:colOff>
      <xdr:row>69</xdr:row>
      <xdr:rowOff>11207</xdr:rowOff>
    </xdr:from>
    <xdr:to>
      <xdr:col>8</xdr:col>
      <xdr:colOff>1629674</xdr:colOff>
      <xdr:row>75</xdr:row>
      <xdr:rowOff>130669</xdr:rowOff>
    </xdr:to>
    <xdr:sp macro="" textlink="">
      <xdr:nvSpPr>
        <xdr:cNvPr id="321" name="Rectangle 320">
          <a:extLst>
            <a:ext uri="{FF2B5EF4-FFF2-40B4-BE49-F238E27FC236}">
              <a16:creationId xmlns:a16="http://schemas.microsoft.com/office/drawing/2014/main" id="{607C5251-B08D-44F7-A4C7-70A024AF66EA}"/>
            </a:ext>
          </a:extLst>
        </xdr:cNvPr>
        <xdr:cNvSpPr/>
      </xdr:nvSpPr>
      <xdr:spPr>
        <a:xfrm>
          <a:off x="12772437" y="15352060"/>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9</xdr:col>
      <xdr:colOff>410956</xdr:colOff>
      <xdr:row>69</xdr:row>
      <xdr:rowOff>11207</xdr:rowOff>
    </xdr:from>
    <xdr:to>
      <xdr:col>10</xdr:col>
      <xdr:colOff>217340</xdr:colOff>
      <xdr:row>75</xdr:row>
      <xdr:rowOff>130669</xdr:rowOff>
    </xdr:to>
    <xdr:sp macro="" textlink="">
      <xdr:nvSpPr>
        <xdr:cNvPr id="322" name="Rectangle 321">
          <a:extLst>
            <a:ext uri="{FF2B5EF4-FFF2-40B4-BE49-F238E27FC236}">
              <a16:creationId xmlns:a16="http://schemas.microsoft.com/office/drawing/2014/main" id="{FFCD3DC8-D4F8-4A59-9C3D-9F849D4ECFCE}"/>
            </a:ext>
          </a:extLst>
        </xdr:cNvPr>
        <xdr:cNvSpPr/>
      </xdr:nvSpPr>
      <xdr:spPr>
        <a:xfrm>
          <a:off x="14799309" y="15352060"/>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71</xdr:row>
      <xdr:rowOff>29868</xdr:rowOff>
    </xdr:from>
    <xdr:to>
      <xdr:col>5</xdr:col>
      <xdr:colOff>944179</xdr:colOff>
      <xdr:row>74</xdr:row>
      <xdr:rowOff>177367</xdr:rowOff>
    </xdr:to>
    <xdr:sp macro="" textlink="">
      <xdr:nvSpPr>
        <xdr:cNvPr id="323" name="Rectangle 322">
          <a:extLst>
            <a:ext uri="{FF2B5EF4-FFF2-40B4-BE49-F238E27FC236}">
              <a16:creationId xmlns:a16="http://schemas.microsoft.com/office/drawing/2014/main" id="{E03D2B5C-E66C-4C58-A0EF-14FCCB22A3F0}"/>
            </a:ext>
          </a:extLst>
        </xdr:cNvPr>
        <xdr:cNvSpPr/>
      </xdr:nvSpPr>
      <xdr:spPr>
        <a:xfrm>
          <a:off x="7079316"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71</xdr:row>
      <xdr:rowOff>29868</xdr:rowOff>
    </xdr:from>
    <xdr:to>
      <xdr:col>6</xdr:col>
      <xdr:colOff>937621</xdr:colOff>
      <xdr:row>74</xdr:row>
      <xdr:rowOff>177367</xdr:rowOff>
    </xdr:to>
    <xdr:sp macro="" textlink="">
      <xdr:nvSpPr>
        <xdr:cNvPr id="324" name="Rectangle 323">
          <a:extLst>
            <a:ext uri="{FF2B5EF4-FFF2-40B4-BE49-F238E27FC236}">
              <a16:creationId xmlns:a16="http://schemas.microsoft.com/office/drawing/2014/main" id="{B63587B3-27B9-49E6-A7E0-0169DDBCB3EC}"/>
            </a:ext>
          </a:extLst>
        </xdr:cNvPr>
        <xdr:cNvSpPr/>
      </xdr:nvSpPr>
      <xdr:spPr>
        <a:xfrm>
          <a:off x="8787258"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72</xdr:row>
      <xdr:rowOff>67200</xdr:rowOff>
    </xdr:from>
    <xdr:to>
      <xdr:col>2</xdr:col>
      <xdr:colOff>2063899</xdr:colOff>
      <xdr:row>72</xdr:row>
      <xdr:rowOff>67200</xdr:rowOff>
    </xdr:to>
    <xdr:cxnSp macro="">
      <xdr:nvCxnSpPr>
        <xdr:cNvPr id="325" name="Straight Arrow Connector 324">
          <a:extLst>
            <a:ext uri="{FF2B5EF4-FFF2-40B4-BE49-F238E27FC236}">
              <a16:creationId xmlns:a16="http://schemas.microsoft.com/office/drawing/2014/main" id="{4BB9DD29-C5EE-42D0-9AA0-0789090C66BE}"/>
            </a:ext>
          </a:extLst>
        </xdr:cNvPr>
        <xdr:cNvCxnSpPr/>
      </xdr:nvCxnSpPr>
      <xdr:spPr>
        <a:xfrm>
          <a:off x="2521519" y="15979553"/>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69</xdr:row>
      <xdr:rowOff>33618</xdr:rowOff>
    </xdr:from>
    <xdr:to>
      <xdr:col>2</xdr:col>
      <xdr:colOff>1650110</xdr:colOff>
      <xdr:row>75</xdr:row>
      <xdr:rowOff>127271</xdr:rowOff>
    </xdr:to>
    <xdr:sp macro="" textlink="">
      <xdr:nvSpPr>
        <xdr:cNvPr id="326" name="Rectangle 325">
          <a:extLst>
            <a:ext uri="{FF2B5EF4-FFF2-40B4-BE49-F238E27FC236}">
              <a16:creationId xmlns:a16="http://schemas.microsoft.com/office/drawing/2014/main" id="{F73402EF-4DFF-46EC-B706-25404FBE1292}"/>
            </a:ext>
          </a:extLst>
        </xdr:cNvPr>
        <xdr:cNvSpPr/>
      </xdr:nvSpPr>
      <xdr:spPr>
        <a:xfrm>
          <a:off x="846402" y="15374471"/>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493059</xdr:colOff>
      <xdr:row>72</xdr:row>
      <xdr:rowOff>22410</xdr:rowOff>
    </xdr:from>
    <xdr:to>
      <xdr:col>3</xdr:col>
      <xdr:colOff>853059</xdr:colOff>
      <xdr:row>74</xdr:row>
      <xdr:rowOff>1410</xdr:rowOff>
    </xdr:to>
    <xdr:sp macro="" textlink="">
      <xdr:nvSpPr>
        <xdr:cNvPr id="327" name="Multiplication Sign 326">
          <a:extLst>
            <a:ext uri="{FF2B5EF4-FFF2-40B4-BE49-F238E27FC236}">
              <a16:creationId xmlns:a16="http://schemas.microsoft.com/office/drawing/2014/main" id="{890B365D-FA48-487A-84FB-17A726CD3177}"/>
            </a:ext>
          </a:extLst>
        </xdr:cNvPr>
        <xdr:cNvSpPr/>
      </xdr:nvSpPr>
      <xdr:spPr>
        <a:xfrm>
          <a:off x="4594412"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72</xdr:row>
      <xdr:rowOff>22410</xdr:rowOff>
    </xdr:from>
    <xdr:to>
      <xdr:col>5</xdr:col>
      <xdr:colOff>1290088</xdr:colOff>
      <xdr:row>74</xdr:row>
      <xdr:rowOff>1410</xdr:rowOff>
    </xdr:to>
    <xdr:sp macro="" textlink="">
      <xdr:nvSpPr>
        <xdr:cNvPr id="328" name="Multiplication Sign 327">
          <a:extLst>
            <a:ext uri="{FF2B5EF4-FFF2-40B4-BE49-F238E27FC236}">
              <a16:creationId xmlns:a16="http://schemas.microsoft.com/office/drawing/2014/main" id="{1EA75FA3-31FC-4620-BD1C-B5A785BFB343}"/>
            </a:ext>
          </a:extLst>
        </xdr:cNvPr>
        <xdr:cNvSpPr/>
      </xdr:nvSpPr>
      <xdr:spPr>
        <a:xfrm>
          <a:off x="8460441"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72</xdr:row>
      <xdr:rowOff>123265</xdr:rowOff>
    </xdr:from>
    <xdr:to>
      <xdr:col>4</xdr:col>
      <xdr:colOff>1088382</xdr:colOff>
      <xdr:row>73</xdr:row>
      <xdr:rowOff>76765</xdr:rowOff>
    </xdr:to>
    <xdr:sp macro="" textlink="">
      <xdr:nvSpPr>
        <xdr:cNvPr id="329" name="Minus Sign 328">
          <a:extLst>
            <a:ext uri="{FF2B5EF4-FFF2-40B4-BE49-F238E27FC236}">
              <a16:creationId xmlns:a16="http://schemas.microsoft.com/office/drawing/2014/main" id="{27344D81-3B2C-49BD-83E6-73908FD2F21F}"/>
            </a:ext>
          </a:extLst>
        </xdr:cNvPr>
        <xdr:cNvSpPr/>
      </xdr:nvSpPr>
      <xdr:spPr>
        <a:xfrm>
          <a:off x="6544235" y="16035618"/>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11206</xdr:colOff>
      <xdr:row>71</xdr:row>
      <xdr:rowOff>123262</xdr:rowOff>
    </xdr:from>
    <xdr:to>
      <xdr:col>9</xdr:col>
      <xdr:colOff>335206</xdr:colOff>
      <xdr:row>73</xdr:row>
      <xdr:rowOff>102262</xdr:rowOff>
    </xdr:to>
    <xdr:sp macro="" textlink="">
      <xdr:nvSpPr>
        <xdr:cNvPr id="330" name="Multiplication Sign 329">
          <a:extLst>
            <a:ext uri="{FF2B5EF4-FFF2-40B4-BE49-F238E27FC236}">
              <a16:creationId xmlns:a16="http://schemas.microsoft.com/office/drawing/2014/main" id="{778AFF1D-23F7-4ABD-B445-A954DF652578}"/>
            </a:ext>
          </a:extLst>
        </xdr:cNvPr>
        <xdr:cNvSpPr/>
      </xdr:nvSpPr>
      <xdr:spPr>
        <a:xfrm>
          <a:off x="14399559"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1456765</xdr:colOff>
      <xdr:row>71</xdr:row>
      <xdr:rowOff>123262</xdr:rowOff>
    </xdr:from>
    <xdr:to>
      <xdr:col>8</xdr:col>
      <xdr:colOff>66265</xdr:colOff>
      <xdr:row>73</xdr:row>
      <xdr:rowOff>102262</xdr:rowOff>
    </xdr:to>
    <xdr:sp macro="" textlink="">
      <xdr:nvSpPr>
        <xdr:cNvPr id="331" name="Multiplication Sign 330">
          <a:extLst>
            <a:ext uri="{FF2B5EF4-FFF2-40B4-BE49-F238E27FC236}">
              <a16:creationId xmlns:a16="http://schemas.microsoft.com/office/drawing/2014/main" id="{D17A4420-0A7F-4015-A5D5-690D5B39D37F}"/>
            </a:ext>
          </a:extLst>
        </xdr:cNvPr>
        <xdr:cNvSpPr/>
      </xdr:nvSpPr>
      <xdr:spPr>
        <a:xfrm>
          <a:off x="12416118"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1488113</xdr:colOff>
      <xdr:row>69</xdr:row>
      <xdr:rowOff>33619</xdr:rowOff>
    </xdr:from>
    <xdr:to>
      <xdr:col>7</xdr:col>
      <xdr:colOff>1304703</xdr:colOff>
      <xdr:row>75</xdr:row>
      <xdr:rowOff>153081</xdr:rowOff>
    </xdr:to>
    <xdr:sp macro="" textlink="">
      <xdr:nvSpPr>
        <xdr:cNvPr id="333" name="Rectangle 332">
          <a:extLst>
            <a:ext uri="{FF2B5EF4-FFF2-40B4-BE49-F238E27FC236}">
              <a16:creationId xmlns:a16="http://schemas.microsoft.com/office/drawing/2014/main" id="{15A0D768-84A2-4AB3-84EF-63A7BDF208BD}"/>
            </a:ext>
          </a:extLst>
        </xdr:cNvPr>
        <xdr:cNvSpPr/>
      </xdr:nvSpPr>
      <xdr:spPr>
        <a:xfrm>
          <a:off x="10732966" y="14634884"/>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Network loss factor (previous decision) excluding  for network true up costs </a:t>
          </a:r>
        </a:p>
      </xdr:txBody>
    </xdr:sp>
    <xdr:clientData/>
  </xdr:twoCellAnchor>
  <xdr:twoCellAnchor>
    <xdr:from>
      <xdr:col>6</xdr:col>
      <xdr:colOff>1131794</xdr:colOff>
      <xdr:row>71</xdr:row>
      <xdr:rowOff>145674</xdr:rowOff>
    </xdr:from>
    <xdr:to>
      <xdr:col>6</xdr:col>
      <xdr:colOff>1455794</xdr:colOff>
      <xdr:row>73</xdr:row>
      <xdr:rowOff>124674</xdr:rowOff>
    </xdr:to>
    <xdr:sp macro="" textlink="">
      <xdr:nvSpPr>
        <xdr:cNvPr id="334" name="Multiplication Sign 333">
          <a:extLst>
            <a:ext uri="{FF2B5EF4-FFF2-40B4-BE49-F238E27FC236}">
              <a16:creationId xmlns:a16="http://schemas.microsoft.com/office/drawing/2014/main" id="{55E610D7-52AC-415E-A3C2-05225874195B}"/>
            </a:ext>
          </a:extLst>
        </xdr:cNvPr>
        <xdr:cNvSpPr/>
      </xdr:nvSpPr>
      <xdr:spPr>
        <a:xfrm>
          <a:off x="10376647" y="15867527"/>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1796798</xdr:colOff>
      <xdr:row>100</xdr:row>
      <xdr:rowOff>120739</xdr:rowOff>
    </xdr:from>
    <xdr:to>
      <xdr:col>2</xdr:col>
      <xdr:colOff>2069478</xdr:colOff>
      <xdr:row>100</xdr:row>
      <xdr:rowOff>120739</xdr:rowOff>
    </xdr:to>
    <xdr:cxnSp macro="">
      <xdr:nvCxnSpPr>
        <xdr:cNvPr id="339" name="Straight Arrow Connector 338">
          <a:extLst>
            <a:ext uri="{FF2B5EF4-FFF2-40B4-BE49-F238E27FC236}">
              <a16:creationId xmlns:a16="http://schemas.microsoft.com/office/drawing/2014/main" id="{42EBF84B-F7CD-4EAA-8F43-9D669C8130C7}"/>
            </a:ext>
          </a:extLst>
        </xdr:cNvPr>
        <xdr:cNvCxnSpPr/>
      </xdr:nvCxnSpPr>
      <xdr:spPr>
        <a:xfrm>
          <a:off x="2513974" y="22129092"/>
          <a:ext cx="27268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67235</xdr:colOff>
      <xdr:row>97</xdr:row>
      <xdr:rowOff>11205</xdr:rowOff>
    </xdr:from>
    <xdr:to>
      <xdr:col>2</xdr:col>
      <xdr:colOff>1588119</xdr:colOff>
      <xdr:row>103</xdr:row>
      <xdr:rowOff>110742</xdr:rowOff>
    </xdr:to>
    <xdr:sp macro="" textlink="">
      <xdr:nvSpPr>
        <xdr:cNvPr id="340" name="Rectangle 339">
          <a:extLst>
            <a:ext uri="{FF2B5EF4-FFF2-40B4-BE49-F238E27FC236}">
              <a16:creationId xmlns:a16="http://schemas.microsoft.com/office/drawing/2014/main" id="{61C19F47-ABCF-4B81-9BBE-1875EAFDC2FC}"/>
            </a:ext>
          </a:extLst>
        </xdr:cNvPr>
        <xdr:cNvSpPr/>
      </xdr:nvSpPr>
      <xdr:spPr>
        <a:xfrm>
          <a:off x="784411" y="19767176"/>
          <a:ext cx="1520884" cy="1242537"/>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Annual bill ($/year)</a:t>
          </a:r>
        </a:p>
      </xdr:txBody>
    </xdr:sp>
    <xdr:clientData/>
  </xdr:twoCellAnchor>
  <xdr:twoCellAnchor>
    <xdr:from>
      <xdr:col>3</xdr:col>
      <xdr:colOff>666390</xdr:colOff>
      <xdr:row>100</xdr:row>
      <xdr:rowOff>5884</xdr:rowOff>
    </xdr:from>
    <xdr:to>
      <xdr:col>3</xdr:col>
      <xdr:colOff>1026390</xdr:colOff>
      <xdr:row>101</xdr:row>
      <xdr:rowOff>173972</xdr:rowOff>
    </xdr:to>
    <xdr:sp macro="" textlink="">
      <xdr:nvSpPr>
        <xdr:cNvPr id="342" name="Plus Sign 341">
          <a:extLst>
            <a:ext uri="{FF2B5EF4-FFF2-40B4-BE49-F238E27FC236}">
              <a16:creationId xmlns:a16="http://schemas.microsoft.com/office/drawing/2014/main" id="{E8AD6C28-C4D1-4706-A285-5A68CF21D22B}"/>
            </a:ext>
          </a:extLst>
        </xdr:cNvPr>
        <xdr:cNvSpPr/>
      </xdr:nvSpPr>
      <xdr:spPr>
        <a:xfrm>
          <a:off x="4767743"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530629</xdr:colOff>
      <xdr:row>99</xdr:row>
      <xdr:rowOff>5552</xdr:rowOff>
    </xdr:from>
    <xdr:to>
      <xdr:col>8</xdr:col>
      <xdr:colOff>337013</xdr:colOff>
      <xdr:row>102</xdr:row>
      <xdr:rowOff>148135</xdr:rowOff>
    </xdr:to>
    <xdr:sp macro="" textlink="">
      <xdr:nvSpPr>
        <xdr:cNvPr id="350" name="Rectangle 349">
          <a:extLst>
            <a:ext uri="{FF2B5EF4-FFF2-40B4-BE49-F238E27FC236}">
              <a16:creationId xmlns:a16="http://schemas.microsoft.com/office/drawing/2014/main" id="{BA757D6B-BFEF-43A6-B459-38D08FF93059}"/>
            </a:ext>
          </a:extLst>
        </xdr:cNvPr>
        <xdr:cNvSpPr/>
      </xdr:nvSpPr>
      <xdr:spPr>
        <a:xfrm>
          <a:off x="11489982"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clientData/>
  </xdr:twoCellAnchor>
  <xdr:twoCellAnchor>
    <xdr:from>
      <xdr:col>8</xdr:col>
      <xdr:colOff>776338</xdr:colOff>
      <xdr:row>99</xdr:row>
      <xdr:rowOff>19244</xdr:rowOff>
    </xdr:from>
    <xdr:to>
      <xdr:col>9</xdr:col>
      <xdr:colOff>582721</xdr:colOff>
      <xdr:row>102</xdr:row>
      <xdr:rowOff>161827</xdr:rowOff>
    </xdr:to>
    <xdr:sp macro="" textlink="">
      <xdr:nvSpPr>
        <xdr:cNvPr id="351" name="Rectangle 350">
          <a:extLst>
            <a:ext uri="{FF2B5EF4-FFF2-40B4-BE49-F238E27FC236}">
              <a16:creationId xmlns:a16="http://schemas.microsoft.com/office/drawing/2014/main" id="{E92FC365-1B30-4065-A80B-9CDF521397BF}"/>
            </a:ext>
          </a:extLst>
        </xdr:cNvPr>
        <xdr:cNvSpPr/>
      </xdr:nvSpPr>
      <xdr:spPr>
        <a:xfrm>
          <a:off x="13450191"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8</xdr:col>
      <xdr:colOff>397448</xdr:colOff>
      <xdr:row>99</xdr:row>
      <xdr:rowOff>162763</xdr:rowOff>
    </xdr:from>
    <xdr:to>
      <xdr:col>8</xdr:col>
      <xdr:colOff>757448</xdr:colOff>
      <xdr:row>101</xdr:row>
      <xdr:rowOff>141763</xdr:rowOff>
    </xdr:to>
    <xdr:sp macro="" textlink="">
      <xdr:nvSpPr>
        <xdr:cNvPr id="352" name="Multiplication Sign 351">
          <a:extLst>
            <a:ext uri="{FF2B5EF4-FFF2-40B4-BE49-F238E27FC236}">
              <a16:creationId xmlns:a16="http://schemas.microsoft.com/office/drawing/2014/main" id="{4472E3C1-46DE-4F68-B86E-F93CEBFD1182}"/>
            </a:ext>
          </a:extLst>
        </xdr:cNvPr>
        <xdr:cNvSpPr/>
      </xdr:nvSpPr>
      <xdr:spPr>
        <a:xfrm>
          <a:off x="13071301"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85984</xdr:colOff>
      <xdr:row>44</xdr:row>
      <xdr:rowOff>76726</xdr:rowOff>
    </xdr:from>
    <xdr:to>
      <xdr:col>10</xdr:col>
      <xdr:colOff>1606868</xdr:colOff>
      <xdr:row>50</xdr:row>
      <xdr:rowOff>84125</xdr:rowOff>
    </xdr:to>
    <xdr:sp macro="" textlink="">
      <xdr:nvSpPr>
        <xdr:cNvPr id="354" name="Rectangle 353">
          <a:extLst>
            <a:ext uri="{FF2B5EF4-FFF2-40B4-BE49-F238E27FC236}">
              <a16:creationId xmlns:a16="http://schemas.microsoft.com/office/drawing/2014/main" id="{C416DD5E-C7B5-46FB-8C33-EAD81808BC98}"/>
            </a:ext>
          </a:extLst>
        </xdr:cNvPr>
        <xdr:cNvSpPr/>
      </xdr:nvSpPr>
      <xdr:spPr>
        <a:xfrm>
          <a:off x="16188837" y="9904285"/>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No of days in</a:t>
          </a:r>
          <a:r>
            <a:rPr lang="en-AU" sz="900" b="1" baseline="0">
              <a:solidFill>
                <a:schemeClr val="bg1"/>
              </a:solidFill>
              <a:latin typeface="+mj-lt"/>
              <a:ea typeface="+mn-ea"/>
              <a:cs typeface="Arial" panose="020B0604020202020204" pitchFamily="34" charset="0"/>
            </a:rPr>
            <a:t> decision period</a:t>
          </a:r>
          <a:endParaRPr lang="en-AU" sz="900" b="1">
            <a:solidFill>
              <a:schemeClr val="bg1"/>
            </a:solidFill>
            <a:latin typeface="+mj-lt"/>
            <a:ea typeface="+mn-ea"/>
            <a:cs typeface="Arial" panose="020B0604020202020204" pitchFamily="34" charset="0"/>
          </a:endParaRPr>
        </a:p>
      </xdr:txBody>
    </xdr:sp>
    <xdr:clientData/>
  </xdr:twoCellAnchor>
  <xdr:twoCellAnchor>
    <xdr:from>
      <xdr:col>9</xdr:col>
      <xdr:colOff>1423146</xdr:colOff>
      <xdr:row>46</xdr:row>
      <xdr:rowOff>56026</xdr:rowOff>
    </xdr:from>
    <xdr:to>
      <xdr:col>10</xdr:col>
      <xdr:colOff>22411</xdr:colOff>
      <xdr:row>49</xdr:row>
      <xdr:rowOff>44819</xdr:rowOff>
    </xdr:to>
    <xdr:sp macro="" textlink="">
      <xdr:nvSpPr>
        <xdr:cNvPr id="356" name="Division Sign 355">
          <a:extLst>
            <a:ext uri="{FF2B5EF4-FFF2-40B4-BE49-F238E27FC236}">
              <a16:creationId xmlns:a16="http://schemas.microsoft.com/office/drawing/2014/main" id="{77997CB6-18A5-4B2A-B909-150F1D3DCB7F}"/>
            </a:ext>
          </a:extLst>
        </xdr:cNvPr>
        <xdr:cNvSpPr/>
      </xdr:nvSpPr>
      <xdr:spPr>
        <a:xfrm>
          <a:off x="15811499" y="10264585"/>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2525279</xdr:colOff>
      <xdr:row>99</xdr:row>
      <xdr:rowOff>5552</xdr:rowOff>
    </xdr:from>
    <xdr:to>
      <xdr:col>3</xdr:col>
      <xdr:colOff>661986</xdr:colOff>
      <xdr:row>102</xdr:row>
      <xdr:rowOff>148135</xdr:rowOff>
    </xdr:to>
    <xdr:sp macro="" textlink="">
      <xdr:nvSpPr>
        <xdr:cNvPr id="364" name="Rectangle 363">
          <a:extLst>
            <a:ext uri="{FF2B5EF4-FFF2-40B4-BE49-F238E27FC236}">
              <a16:creationId xmlns:a16="http://schemas.microsoft.com/office/drawing/2014/main" id="{ABAE0765-9D58-4D91-B609-09EC0F85A1F4}"/>
            </a:ext>
          </a:extLst>
        </xdr:cNvPr>
        <xdr:cNvSpPr/>
      </xdr:nvSpPr>
      <xdr:spPr>
        <a:xfrm>
          <a:off x="3242455"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clientData/>
  </xdr:twoCellAnchor>
  <xdr:twoCellAnchor>
    <xdr:from>
      <xdr:col>6</xdr:col>
      <xdr:colOff>328923</xdr:colOff>
      <xdr:row>99</xdr:row>
      <xdr:rowOff>5552</xdr:rowOff>
    </xdr:from>
    <xdr:to>
      <xdr:col>7</xdr:col>
      <xdr:colOff>135307</xdr:colOff>
      <xdr:row>102</xdr:row>
      <xdr:rowOff>148135</xdr:rowOff>
    </xdr:to>
    <xdr:sp macro="" textlink="">
      <xdr:nvSpPr>
        <xdr:cNvPr id="367" name="Rectangle 366">
          <a:extLst>
            <a:ext uri="{FF2B5EF4-FFF2-40B4-BE49-F238E27FC236}">
              <a16:creationId xmlns:a16="http://schemas.microsoft.com/office/drawing/2014/main" id="{629DA65D-668C-4222-A214-C1E35F7FF5D8}"/>
            </a:ext>
          </a:extLst>
        </xdr:cNvPr>
        <xdr:cNvSpPr/>
      </xdr:nvSpPr>
      <xdr:spPr>
        <a:xfrm>
          <a:off x="9573776"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($/day)</a:t>
          </a:r>
        </a:p>
      </xdr:txBody>
    </xdr:sp>
    <xdr:clientData/>
  </xdr:twoCellAnchor>
  <xdr:twoCellAnchor>
    <xdr:from>
      <xdr:col>3</xdr:col>
      <xdr:colOff>1057308</xdr:colOff>
      <xdr:row>99</xdr:row>
      <xdr:rowOff>5552</xdr:rowOff>
    </xdr:from>
    <xdr:to>
      <xdr:col>4</xdr:col>
      <xdr:colOff>863692</xdr:colOff>
      <xdr:row>102</xdr:row>
      <xdr:rowOff>148135</xdr:rowOff>
    </xdr:to>
    <xdr:sp macro="" textlink="">
      <xdr:nvSpPr>
        <xdr:cNvPr id="370" name="Rectangle 369">
          <a:extLst>
            <a:ext uri="{FF2B5EF4-FFF2-40B4-BE49-F238E27FC236}">
              <a16:creationId xmlns:a16="http://schemas.microsoft.com/office/drawing/2014/main" id="{D66FB4B1-21D5-4228-AD4A-D16B253E9D3F}"/>
            </a:ext>
          </a:extLst>
        </xdr:cNvPr>
        <xdr:cNvSpPr/>
      </xdr:nvSpPr>
      <xdr:spPr>
        <a:xfrm>
          <a:off x="5158661"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clientData/>
  </xdr:twoCellAnchor>
  <xdr:twoCellAnchor>
    <xdr:from>
      <xdr:col>4</xdr:col>
      <xdr:colOff>1325429</xdr:colOff>
      <xdr:row>99</xdr:row>
      <xdr:rowOff>19244</xdr:rowOff>
    </xdr:from>
    <xdr:to>
      <xdr:col>5</xdr:col>
      <xdr:colOff>1131812</xdr:colOff>
      <xdr:row>102</xdr:row>
      <xdr:rowOff>161827</xdr:rowOff>
    </xdr:to>
    <xdr:sp macro="" textlink="">
      <xdr:nvSpPr>
        <xdr:cNvPr id="371" name="Rectangle 370">
          <a:extLst>
            <a:ext uri="{FF2B5EF4-FFF2-40B4-BE49-F238E27FC236}">
              <a16:creationId xmlns:a16="http://schemas.microsoft.com/office/drawing/2014/main" id="{760A07A7-CBB2-4C1D-9A7D-2CCA155F9119}"/>
            </a:ext>
          </a:extLst>
        </xdr:cNvPr>
        <xdr:cNvSpPr/>
      </xdr:nvSpPr>
      <xdr:spPr>
        <a:xfrm>
          <a:off x="7141282"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4</xdr:col>
      <xdr:colOff>946540</xdr:colOff>
      <xdr:row>99</xdr:row>
      <xdr:rowOff>162763</xdr:rowOff>
    </xdr:from>
    <xdr:to>
      <xdr:col>4</xdr:col>
      <xdr:colOff>1306540</xdr:colOff>
      <xdr:row>101</xdr:row>
      <xdr:rowOff>141763</xdr:rowOff>
    </xdr:to>
    <xdr:sp macro="" textlink="">
      <xdr:nvSpPr>
        <xdr:cNvPr id="372" name="Multiplication Sign 371">
          <a:extLst>
            <a:ext uri="{FF2B5EF4-FFF2-40B4-BE49-F238E27FC236}">
              <a16:creationId xmlns:a16="http://schemas.microsoft.com/office/drawing/2014/main" id="{81691C69-885B-4970-81E0-D1A92355878E}"/>
            </a:ext>
          </a:extLst>
        </xdr:cNvPr>
        <xdr:cNvSpPr/>
      </xdr:nvSpPr>
      <xdr:spPr>
        <a:xfrm>
          <a:off x="6762393"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1338743</xdr:colOff>
      <xdr:row>99</xdr:row>
      <xdr:rowOff>162767</xdr:rowOff>
    </xdr:from>
    <xdr:to>
      <xdr:col>5</xdr:col>
      <xdr:colOff>1698743</xdr:colOff>
      <xdr:row>101</xdr:row>
      <xdr:rowOff>140355</xdr:rowOff>
    </xdr:to>
    <xdr:sp macro="" textlink="">
      <xdr:nvSpPr>
        <xdr:cNvPr id="373" name="Plus Sign 372">
          <a:extLst>
            <a:ext uri="{FF2B5EF4-FFF2-40B4-BE49-F238E27FC236}">
              <a16:creationId xmlns:a16="http://schemas.microsoft.com/office/drawing/2014/main" id="{FB16B03C-08EC-47A8-B710-6BA0DB9795FC}"/>
            </a:ext>
          </a:extLst>
        </xdr:cNvPr>
        <xdr:cNvSpPr/>
      </xdr:nvSpPr>
      <xdr:spPr>
        <a:xfrm>
          <a:off x="8869096" y="20299738"/>
          <a:ext cx="360000" cy="358588"/>
        </a:xfrm>
        <a:prstGeom prst="mathPlus">
          <a:avLst>
            <a:gd name="adj1" fmla="val 1399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139712</xdr:colOff>
      <xdr:row>100</xdr:row>
      <xdr:rowOff>5884</xdr:rowOff>
    </xdr:from>
    <xdr:to>
      <xdr:col>7</xdr:col>
      <xdr:colOff>499712</xdr:colOff>
      <xdr:row>101</xdr:row>
      <xdr:rowOff>173972</xdr:rowOff>
    </xdr:to>
    <xdr:sp macro="" textlink="">
      <xdr:nvSpPr>
        <xdr:cNvPr id="374" name="Plus Sign 373">
          <a:extLst>
            <a:ext uri="{FF2B5EF4-FFF2-40B4-BE49-F238E27FC236}">
              <a16:creationId xmlns:a16="http://schemas.microsoft.com/office/drawing/2014/main" id="{C84484D9-A829-4589-8B06-7978E8EC4943}"/>
            </a:ext>
          </a:extLst>
        </xdr:cNvPr>
        <xdr:cNvSpPr/>
      </xdr:nvSpPr>
      <xdr:spPr>
        <a:xfrm>
          <a:off x="11099065"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DC2785A7-50BF-44FA-AECD-966B1F214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672353</xdr:colOff>
      <xdr:row>7</xdr:row>
      <xdr:rowOff>22412</xdr:rowOff>
    </xdr:from>
    <xdr:to>
      <xdr:col>10</xdr:col>
      <xdr:colOff>1288676</xdr:colOff>
      <xdr:row>8</xdr:row>
      <xdr:rowOff>33617</xdr:rowOff>
    </xdr:to>
    <xdr:sp macro="" textlink="">
      <xdr:nvSpPr>
        <xdr:cNvPr id="3" name="TextBox 2">
          <a:hlinkClick xmlns:r="http://schemas.openxmlformats.org/officeDocument/2006/relationships" r:id="rId2"/>
          <a:extLst>
            <a:ext uri="{FF2B5EF4-FFF2-40B4-BE49-F238E27FC236}">
              <a16:creationId xmlns:a16="http://schemas.microsoft.com/office/drawing/2014/main" id="{1FA4CCD3-0307-4323-8759-3FC294720910}"/>
            </a:ext>
          </a:extLst>
        </xdr:cNvPr>
        <xdr:cNvSpPr txBox="1"/>
      </xdr:nvSpPr>
      <xdr:spPr>
        <a:xfrm>
          <a:off x="15017003" y="2003612"/>
          <a:ext cx="616323" cy="20170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7382EA9D-0C26-44F4-98DB-58F47A178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46C12BC7-3352-4DC7-A249-4525BE8C4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104320</xdr:colOff>
      <xdr:row>5</xdr:row>
      <xdr:rowOff>70757</xdr:rowOff>
    </xdr:from>
    <xdr:to>
      <xdr:col>14</xdr:col>
      <xdr:colOff>22463</xdr:colOff>
      <xdr:row>45</xdr:row>
      <xdr:rowOff>13614</xdr:rowOff>
    </xdr:to>
    <xdr:graphicFrame macro="">
      <xdr:nvGraphicFramePr>
        <xdr:cNvPr id="6" name="Chart 2">
          <a:extLst>
            <a:ext uri="{FF2B5EF4-FFF2-40B4-BE49-F238E27FC236}">
              <a16:creationId xmlns:a16="http://schemas.microsoft.com/office/drawing/2014/main" id="{36181057-C480-4A8B-B881-B2553151CA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717177</xdr:colOff>
      <xdr:row>12</xdr:row>
      <xdr:rowOff>73960</xdr:rowOff>
    </xdr:from>
    <xdr:to>
      <xdr:col>5</xdr:col>
      <xdr:colOff>625929</xdr:colOff>
      <xdr:row>34</xdr:row>
      <xdr:rowOff>145676</xdr:rowOff>
    </xdr:to>
    <xdr:graphicFrame macro="">
      <xdr:nvGraphicFramePr>
        <xdr:cNvPr id="2" name="Chart 1">
          <a:extLst>
            <a:ext uri="{FF2B5EF4-FFF2-40B4-BE49-F238E27FC236}">
              <a16:creationId xmlns:a16="http://schemas.microsoft.com/office/drawing/2014/main" id="{FAE0B418-C133-4EAF-820D-358181041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0.00724</cdr:x>
      <cdr:y>0.01179</cdr:y>
    </cdr:from>
    <cdr:to>
      <cdr:x>0.0951</cdr:x>
      <cdr:y>0.06903</cdr:y>
    </cdr:to>
    <cdr:sp macro="" textlink="">
      <cdr:nvSpPr>
        <cdr:cNvPr id="4" name="TextBox 1">
          <a:extLst xmlns:a="http://schemas.openxmlformats.org/drawingml/2006/main">
            <a:ext uri="{FF2B5EF4-FFF2-40B4-BE49-F238E27FC236}">
              <a16:creationId xmlns:a16="http://schemas.microsoft.com/office/drawing/2014/main" id="{6E61DDEB-99BE-4D9A-8D5F-C3F1E0F1CFDB}"/>
            </a:ext>
          </a:extLst>
        </cdr:cNvPr>
        <cdr:cNvSpPr txBox="1"/>
      </cdr:nvSpPr>
      <cdr:spPr>
        <a:xfrm xmlns:a="http://schemas.openxmlformats.org/drawingml/2006/main">
          <a:off x="50800" y="50800"/>
          <a:ext cx="616324" cy="246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100"/>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717177</xdr:colOff>
      <xdr:row>12</xdr:row>
      <xdr:rowOff>73960</xdr:rowOff>
    </xdr:from>
    <xdr:to>
      <xdr:col>5</xdr:col>
      <xdr:colOff>625929</xdr:colOff>
      <xdr:row>34</xdr:row>
      <xdr:rowOff>145676</xdr:rowOff>
    </xdr:to>
    <xdr:graphicFrame macro="">
      <xdr:nvGraphicFramePr>
        <xdr:cNvPr id="2" name="Chart 1">
          <a:extLst>
            <a:ext uri="{FF2B5EF4-FFF2-40B4-BE49-F238E27FC236}">
              <a16:creationId xmlns:a16="http://schemas.microsoft.com/office/drawing/2014/main" id="{2EAC6F5D-E309-45D0-8A92-839EBE70A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0.00724</cdr:x>
      <cdr:y>0.01179</cdr:y>
    </cdr:from>
    <cdr:to>
      <cdr:x>0.0951</cdr:x>
      <cdr:y>0.06903</cdr:y>
    </cdr:to>
    <cdr:sp macro="" textlink="">
      <cdr:nvSpPr>
        <cdr:cNvPr id="4" name="TextBox 1">
          <a:extLst xmlns:a="http://schemas.openxmlformats.org/drawingml/2006/main">
            <a:ext uri="{FF2B5EF4-FFF2-40B4-BE49-F238E27FC236}">
              <a16:creationId xmlns:a16="http://schemas.microsoft.com/office/drawing/2014/main" id="{6E61DDEB-99BE-4D9A-8D5F-C3F1E0F1CFDB}"/>
            </a:ext>
          </a:extLst>
        </cdr:cNvPr>
        <cdr:cNvSpPr txBox="1"/>
      </cdr:nvSpPr>
      <cdr:spPr>
        <a:xfrm xmlns:a="http://schemas.openxmlformats.org/drawingml/2006/main">
          <a:off x="50800" y="50800"/>
          <a:ext cx="616324" cy="246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rover\AppData\Local\Micro%20Focus\Content%20Manager\TEMP\HPTRIM.12604\C%2023%208054%20%20SS%20-%20VDO%202023-24%20-%20FDP%20-%20VDO%20calculation%20model%20-%20V1.0(8).XLSX" TargetMode="External"/><Relationship Id="rId1" Type="http://schemas.openxmlformats.org/officeDocument/2006/relationships/externalLinkPath" Target="file:///C:\Users\MGrover\AppData\Local\Micro%20Focus\Content%20Manager\TEMP\HPTRIM.12604\C%2023%208054%20%20SS%20-%20VDO%202023-24%20-%20FDP%20-%20VDO%20calculation%20model%20-%20V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claimer"/>
      <sheetName val="Contents"/>
      <sheetName val="User Guide"/>
      <sheetName val="Information"/>
      <sheetName val="Sources (public)"/>
      <sheetName val="Version control"/>
      <sheetName val="Checks"/>
      <sheetName val="OP_Rates"/>
      <sheetName val="OP_CMAB"/>
      <sheetName val="Inputs"/>
      <sheetName val="Sources"/>
      <sheetName val="General Assumptions"/>
      <sheetName val="Calc_Rates"/>
      <sheetName val="Calc_TU_values"/>
      <sheetName val="Calc_TU_rates"/>
      <sheetName val="CPI"/>
      <sheetName val="CH_CostStack_RES"/>
      <sheetName val="CH_CostStack_SME"/>
      <sheetName val="CH_CostStack_SME 10k"/>
      <sheetName val="CH_CostDrivers_RES"/>
      <sheetName val="CH_CostDrivers_SME"/>
      <sheetName val="CH_Bill impacts"/>
      <sheetName val="CH_CostItems_Anytime"/>
      <sheetName val="TBL_Comparison"/>
      <sheetName val="CH_CostElements_Anytime"/>
      <sheetName val="Pre-VDO MSO vs cost stack_RES"/>
      <sheetName val="Pre-VDO MSO vs cost stack_SME"/>
      <sheetName val="Decision papers tables QA"/>
      <sheetName val="Determination tables QA"/>
      <sheetName val="Lookup refs"/>
      <sheetName val="Blank_WkSheet"/>
    </sheetNames>
    <sheetDataSet>
      <sheetData sheetId="0"/>
      <sheetData sheetId="1">
        <row r="1">
          <cell r="B1" t="str">
            <v>VDO calculation model</v>
          </cell>
        </row>
      </sheetData>
      <sheetData sheetId="2"/>
      <sheetData sheetId="3"/>
      <sheetData sheetId="4"/>
      <sheetData sheetId="5"/>
      <sheetData sheetId="6"/>
      <sheetData sheetId="7"/>
      <sheetData sheetId="8">
        <row r="9">
          <cell r="G9">
            <v>1.3250999999999999</v>
          </cell>
        </row>
      </sheetData>
      <sheetData sheetId="9"/>
      <sheetData sheetId="10">
        <row r="8">
          <cell r="G8" t="str">
            <v>VDO decision</v>
          </cell>
          <cell r="H8" t="str">
            <v>VDO 2021 - Final - Input Date</v>
          </cell>
          <cell r="I8" t="str">
            <v>VDO 2021 - Final</v>
          </cell>
          <cell r="J8" t="str">
            <v>VDO 2021 - Variation draft - Input Date</v>
          </cell>
          <cell r="K8" t="str">
            <v>VDO 2021 - Variation draft</v>
          </cell>
          <cell r="L8" t="str">
            <v>VDO 2021 - Variation final - Input Date</v>
          </cell>
          <cell r="M8" t="str">
            <v>VDO 2021 - Variation final</v>
          </cell>
          <cell r="N8" t="str">
            <v>VDO 2022 - Draft - Input Date</v>
          </cell>
          <cell r="O8" t="str">
            <v>VDO 2022 - Draft</v>
          </cell>
          <cell r="P8" t="str">
            <v>VDO 2022 - Final - Input Date</v>
          </cell>
          <cell r="Q8" t="str">
            <v>VDO 2022 - Final</v>
          </cell>
          <cell r="R8" t="str">
            <v>VDO 2022-23 - Draft - Input Date</v>
          </cell>
          <cell r="S8" t="str">
            <v>VDO 2022-23 - Draft</v>
          </cell>
          <cell r="T8" t="str">
            <v>VDO 2022-23 - Final - Input Date</v>
          </cell>
          <cell r="U8" t="str">
            <v>VDO 2022-23 - Final</v>
          </cell>
          <cell r="V8" t="str">
            <v>VDO 2023-24 - Draft - Input Date</v>
          </cell>
          <cell r="W8" t="str">
            <v>VDO 2023-24 - Draft</v>
          </cell>
          <cell r="X8" t="str">
            <v>VDO 2023-24 - Final - Input Date</v>
          </cell>
          <cell r="Y8" t="str">
            <v>VDO 2023-24 - Final</v>
          </cell>
        </row>
        <row r="140">
          <cell r="H140" t="str">
            <v>VDO decision</v>
          </cell>
          <cell r="I140" t="str">
            <v>VDO 2021 - Final</v>
          </cell>
          <cell r="J140" t="str">
            <v>VDO 2021 - Variation draft</v>
          </cell>
          <cell r="K140" t="str">
            <v>VDO 2021 - Variation final</v>
          </cell>
          <cell r="L140" t="str">
            <v>VDO 2022 - Draft</v>
          </cell>
          <cell r="M140" t="str">
            <v>VDO 2022 - Final</v>
          </cell>
          <cell r="N140" t="str">
            <v>VDO 2022-23 - Draft</v>
          </cell>
          <cell r="O140" t="str">
            <v>VDO 2022-23 - Final</v>
          </cell>
          <cell r="P140" t="str">
            <v>VDO 2023-24 - Draft</v>
          </cell>
          <cell r="Q140" t="str">
            <v>VDO 2023-24 - Final</v>
          </cell>
        </row>
        <row r="244">
          <cell r="E244" t="str">
            <v>VDO decision</v>
          </cell>
          <cell r="F244" t="str">
            <v>VDO 2021 - Final</v>
          </cell>
          <cell r="G244" t="str">
            <v>VDO 2021 - Variation draft</v>
          </cell>
          <cell r="H244" t="str">
            <v>VDO 2021 - Variation final</v>
          </cell>
          <cell r="I244" t="str">
            <v>VDO 2022 - Draft</v>
          </cell>
          <cell r="J244" t="str">
            <v>VDO 2022 - Final</v>
          </cell>
          <cell r="K244" t="str">
            <v>VDO 2022-23 - Draft</v>
          </cell>
          <cell r="L244" t="str">
            <v>VDO 2022-23 - Final</v>
          </cell>
          <cell r="M244" t="str">
            <v>VDO 2023-24 - Draft</v>
          </cell>
          <cell r="N244" t="str">
            <v>VDO 2023-24 - Final</v>
          </cell>
        </row>
        <row r="252">
          <cell r="D252">
            <v>6.5500000000000003E-2</v>
          </cell>
        </row>
      </sheetData>
      <sheetData sheetId="11"/>
      <sheetData sheetId="12">
        <row r="7">
          <cell r="D7">
            <v>365</v>
          </cell>
        </row>
        <row r="8">
          <cell r="D8">
            <v>366</v>
          </cell>
        </row>
        <row r="9">
          <cell r="D9">
            <v>12</v>
          </cell>
        </row>
        <row r="11">
          <cell r="D11">
            <v>52</v>
          </cell>
        </row>
        <row r="12">
          <cell r="D12">
            <v>52.285714285714285</v>
          </cell>
        </row>
        <row r="17">
          <cell r="D17">
            <v>0.1</v>
          </cell>
        </row>
      </sheetData>
      <sheetData sheetId="13">
        <row r="5">
          <cell r="D5" t="str">
            <v>VDO 2023-24 - Final</v>
          </cell>
        </row>
        <row r="266">
          <cell r="D266" t="str">
            <v>VDO 2022-23 - Final</v>
          </cell>
        </row>
      </sheetData>
      <sheetData sheetId="14">
        <row r="79">
          <cell r="D79">
            <v>0</v>
          </cell>
        </row>
        <row r="81">
          <cell r="D81">
            <v>3.2230594392551382E-2</v>
          </cell>
        </row>
        <row r="310">
          <cell r="D310" t="str">
            <v>-</v>
          </cell>
        </row>
        <row r="312">
          <cell r="D312">
            <v>3.2230594392551382E-2</v>
          </cell>
        </row>
        <row r="322">
          <cell r="F322" t="str">
            <v>-</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AC8A96D-5314-4AAF-BE7C-9A6F933F5E1C}" autoFormatId="16" applyNumberFormats="0" applyBorderFormats="0" applyFontFormats="0" applyPatternFormats="0" applyAlignmentFormats="0" applyWidthHeightFormats="0">
  <queryTableRefresh nextId="3">
    <queryTableFields count="2">
      <queryTableField id="1" name="VDO decision" tableColumnId="1"/>
      <queryTableField id="2" name="Index" tableColumnId="2"/>
    </queryTableFields>
  </queryTableRefresh>
</queryTable>
</file>

<file path=xl/tables/_rels/table3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9DC0A2-AC8F-4B3C-9546-BB458AD3C7A6}" name="OP_Rates_RES_1" displayName="OP_Rates_RES_1" ref="C19:K27" totalsRowShown="0" headerRowDxfId="787" headerRowBorderDxfId="786" tableBorderDxfId="785" headerRowCellStyle="Table col heading" dataCellStyle="Internal link/lookup">
  <tableColumns count="9">
    <tableColumn id="1" xr3:uid="{E78C1163-A3DD-48CF-86C4-4713E427B63D}" name="Rate name" dataCellStyle="Table cell"/>
    <tableColumn id="3" xr3:uid="{31ACDE4B-AAB5-4640-BE08-6E125BC844E4}" name="Unit" dataCellStyle="Table cell"/>
    <tableColumn id="4" xr3:uid="{B95AFB37-8599-48CB-B375-2E0E5F80DCD9}" name="Customer type" dataCellStyle="Table cell"/>
    <tableColumn id="2" xr3:uid="{F2682DF7-9005-4C15-A85A-9FA6E5E76CD8}" name="-" dataCellStyle="Table cell"/>
    <tableColumn id="5" xr3:uid="{9CB4A5E8-F8B3-45A6-9942-EC4FC685C94A}" name="Ausnet" dataDxfId="784" dataCellStyle="Internal link/lookup">
      <calculatedColumnFormula>IF(SUMIFS(Calc_Rates!G$63:G$139,Calc_Rates!$C$63:$C$139,OP_Rates!$C20,Calc_Rates!$F$63:$F$139,OP_Rates!$E20)=0,"-",SUMIFS(Calc_Rates!G$63:G$139,Calc_Rates!$C$63:$C$139,OP_Rates!$C20,Calc_Rates!$F$63:$F$139,OP_Rates!$E20))</calculatedColumnFormula>
    </tableColumn>
    <tableColumn id="6" xr3:uid="{669EA234-B896-4973-A45B-9E0DF7CF06BA}" name="Citipower" dataDxfId="783" dataCellStyle="Internal link/lookup">
      <calculatedColumnFormula>IF(SUMIFS(Calc_Rates!H$63:H$139,Calc_Rates!$C$63:$C$139,OP_Rates!$C20,Calc_Rates!$F$63:$F$139,OP_Rates!$E20)=0,"-",SUMIFS(Calc_Rates!H$63:H$139,Calc_Rates!$C$63:$C$139,OP_Rates!$C20,Calc_Rates!$F$63:$F$139,OP_Rates!$E20))</calculatedColumnFormula>
    </tableColumn>
    <tableColumn id="7" xr3:uid="{B77A7A81-62E1-4C8C-AE91-1162A78C6068}" name="Jemena" dataDxfId="782" dataCellStyle="Internal link/lookup">
      <calculatedColumnFormula>IF(SUMIFS(Calc_Rates!I$63:I$139,Calc_Rates!$C$63:$C$139,OP_Rates!$C20,Calc_Rates!$F$63:$F$139,OP_Rates!$E20)=0,"-",SUMIFS(Calc_Rates!I$63:I$139,Calc_Rates!$C$63:$C$139,OP_Rates!$C20,Calc_Rates!$F$63:$F$139,OP_Rates!$E20))</calculatedColumnFormula>
    </tableColumn>
    <tableColumn id="8" xr3:uid="{A1C2027B-3C88-4875-88CB-ACD29E96093E}" name="Powercor" dataDxfId="781" dataCellStyle="Internal link/lookup">
      <calculatedColumnFormula>IF(SUMIFS(Calc_Rates!J$63:J$139,Calc_Rates!$C$63:$C$139,OP_Rates!$C20,Calc_Rates!$F$63:$F$139,OP_Rates!$E20)=0,"-",SUMIFS(Calc_Rates!J$63:J$139,Calc_Rates!$C$63:$C$139,OP_Rates!$C20,Calc_Rates!$F$63:$F$139,OP_Rates!$E20))</calculatedColumnFormula>
    </tableColumn>
    <tableColumn id="9" xr3:uid="{FD9385BF-8187-449D-8F2C-5C88233245B6}" name="United Energy" dataDxfId="780" dataCellStyle="Internal link/lookup">
      <calculatedColumnFormula>IF(SUMIFS(Calc_Rates!K$63:K$139,Calc_Rates!$C$63:$C$139,OP_Rates!$C20,Calc_Rates!$F$63:$F$139,OP_Rates!$E20)=0,"-",SUMIFS(Calc_Rates!K$63:K$139,Calc_Rates!$C$63:$C$139,OP_Rates!$C20,Calc_Rates!$F$63:$F$139,OP_Rates!$E20))</calculatedColumnFormula>
    </tableColumn>
  </tableColumns>
  <tableStyleInfo name="Default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4CE869-0C56-420A-9C47-EF4446BA5787}" name="OP_Rates_SME_1" displayName="OP_Rates_SME_1" ref="M19:U27" totalsRowShown="0" headerRowDxfId="779" headerRowBorderDxfId="778" tableBorderDxfId="777" headerRowCellStyle="Table col heading" dataCellStyle="Internal link/lookup">
  <tableColumns count="9">
    <tableColumn id="1" xr3:uid="{D27CB02D-C880-42BA-8A91-6A1E16B41704}" name="Rate name" dataCellStyle="Table cell"/>
    <tableColumn id="3" xr3:uid="{8D3D4CDE-7941-453F-A7D2-1DCF4C88CBE2}" name="Unit" dataCellStyle="Table cell"/>
    <tableColumn id="4" xr3:uid="{6B4BCB35-90DC-4E06-A680-4545F6EFC0EF}" name="Customer type" dataCellStyle="Table cell"/>
    <tableColumn id="2" xr3:uid="{E9424C30-CDA0-432E-B849-6901BA45511B}" name="-" dataCellStyle="Table cell"/>
    <tableColumn id="5" xr3:uid="{F1DF3EB2-65A6-4DE4-95FA-10252DB899BE}" name="Ausnet" dataDxfId="776" dataCellStyle="Internal link/lookup"/>
    <tableColumn id="6" xr3:uid="{D03672B6-E990-42AC-A5B0-852970523C84}" name="Citipower" dataDxfId="775" dataCellStyle="Internal link/lookup"/>
    <tableColumn id="7" xr3:uid="{0963EA57-64B0-42D0-8E54-91364C6BB07D}" name="Jemena" dataDxfId="774" dataCellStyle="Internal link/lookup"/>
    <tableColumn id="8" xr3:uid="{FA086775-EDB3-437E-98E2-743CF43E2CD6}" name="Powercor" dataDxfId="773" dataCellStyle="Internal link/lookup"/>
    <tableColumn id="9" xr3:uid="{BD89ACA8-91CC-445D-A6A8-D18D25F8F791}" name="United Energy" dataDxfId="772" dataCellStyle="Internal link/lookup"/>
  </tableColumns>
  <tableStyleInfo name="Defaul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62F88B8-AD2B-48D5-B9A0-A6F8233392FC}" name="OP_Rates_RES_2" displayName="OP_Rates_RES_2" ref="C92:K100" totalsRowShown="0" headerRowDxfId="771" headerRowBorderDxfId="770" tableBorderDxfId="769" headerRowCellStyle="Table col heading" dataCellStyle="Internal link/lookup">
  <tableColumns count="9">
    <tableColumn id="1" xr3:uid="{E12D8BB7-7DC5-4C01-A1DF-2C5092D6D281}" name="Rate name" dataCellStyle="Table cell"/>
    <tableColumn id="3" xr3:uid="{9B50B068-A20B-4598-8290-BF3F0B0D57EC}" name="Unit" dataCellStyle="Table cell"/>
    <tableColumn id="4" xr3:uid="{A745D100-FCD8-4948-BAE1-379CE68563D2}" name="Customer type" dataCellStyle="Table cell"/>
    <tableColumn id="2" xr3:uid="{036C2A5D-6065-4DF0-AAB3-E8921DA08FC2}" name="-" dataCellStyle="Table cell"/>
    <tableColumn id="5" xr3:uid="{A01E3015-10DD-4402-9C8C-004F533C0307}" name="Ausnet" dataDxfId="768" dataCellStyle="Internal link/lookup">
      <calculatedColumnFormula>IF(SUMIFS(Calc_Rates!G$63:G$139,Calc_Rates!$C$63:$C$139,OP_Rates!$C93,Calc_Rates!$F$63:$F$139,OP_Rates!$E93)=0,"-",SUMIFS(Calc_Rates!G$63:G$139,Calc_Rates!$C$63:$C$139,OP_Rates!$C93,Calc_Rates!$F$63:$F$139,OP_Rates!$E93))</calculatedColumnFormula>
    </tableColumn>
    <tableColumn id="6" xr3:uid="{DCD1340B-8D59-43A1-99C0-DAB67D15E969}" name="Citipower" dataDxfId="767" dataCellStyle="Internal link/lookup"/>
    <tableColumn id="7" xr3:uid="{B04CCA25-39DB-491F-BEA7-EFA7273E728A}" name="Jemena" dataDxfId="766" dataCellStyle="Internal link/lookup"/>
    <tableColumn id="8" xr3:uid="{C71DCC1C-CCB0-40E6-96E6-F5CDADD8B122}" name="Powercor" dataDxfId="765" dataCellStyle="Internal link/lookup"/>
    <tableColumn id="9" xr3:uid="{0B2E8CE8-F4F9-4846-83C4-FD2DFABC3C97}" name="United Energy" dataDxfId="764" dataCellStyle="Internal link/lookup"/>
  </tableColumns>
  <tableStyleInfo name="Defaul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148602-7459-4803-87B6-C831DEC44EC0}" name="OP_Rates_SME_2" displayName="OP_Rates_SME_2" ref="M92:U100" totalsRowShown="0" headerRowDxfId="763" headerRowBorderDxfId="762" tableBorderDxfId="761" headerRowCellStyle="Table col heading" dataCellStyle="Internal link/lookup">
  <tableColumns count="9">
    <tableColumn id="1" xr3:uid="{97447A12-70C5-49D9-A9E5-AEA25F884FA1}" name="Rate name" dataCellStyle="Table cell"/>
    <tableColumn id="3" xr3:uid="{2E2D66FB-47ED-43DF-A9CB-A2A955515374}" name="Unit" dataCellStyle="Table cell"/>
    <tableColumn id="4" xr3:uid="{3F2FC573-2AD7-4D41-8610-CC1693F433D0}" name="Customer type" dataCellStyle="Table cell"/>
    <tableColumn id="2" xr3:uid="{0923915D-2DEA-4E2B-98A9-C7D61F13E764}" name="-" dataCellStyle="Table cell"/>
    <tableColumn id="5" xr3:uid="{E1BD715C-539D-44A0-B07A-26372BFE7814}" name="Ausnet" dataDxfId="760" dataCellStyle="Internal link/lookup"/>
    <tableColumn id="6" xr3:uid="{DD804863-CB84-4F97-A3F4-DA8AA3710A39}" name="Citipower" dataDxfId="759" dataCellStyle="Internal link/lookup"/>
    <tableColumn id="7" xr3:uid="{C21B25A8-D01D-48E4-9F05-9CE92DF68805}" name="Jemena" dataDxfId="758" dataCellStyle="Internal link/lookup"/>
    <tableColumn id="8" xr3:uid="{29D436D3-A10E-420D-BA0A-B4F3748975DA}" name="Powercor" dataDxfId="757" dataCellStyle="Internal link/lookup"/>
    <tableColumn id="9" xr3:uid="{1952C4E9-7E24-444C-A20B-0F52828AE40D}" name="United Energy" dataDxfId="756" dataCellStyle="Internal link/lookup"/>
  </tableColumns>
  <tableStyleInfo name="Defaul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DAC482D-F423-4BB1-8E59-F00A38D3CBB1}" name="OP_RatesTU_RES_2" displayName="OP_RatesTU_RES_2" ref="C103:K112" totalsRowShown="0" headerRowDxfId="755" headerRowBorderDxfId="754" tableBorderDxfId="753" headerRowCellStyle="Table col heading" dataCellStyle="Internal link/lookup">
  <tableColumns count="9">
    <tableColumn id="1" xr3:uid="{E6DACF48-AAD3-4B44-8D3A-458714AA3224}" name="Rate name" dataDxfId="752" dataCellStyle="Table cell"/>
    <tableColumn id="2" xr3:uid="{811FF1AC-CED0-4823-AEE8-4CD78F706245}" name="Unit" dataDxfId="751" dataCellStyle="Table cell"/>
    <tableColumn id="3" xr3:uid="{BC4BC08A-6590-4549-AE2B-11F5B4196FEC}" name="Customer type" dataDxfId="750" dataCellStyle="Table cell"/>
    <tableColumn id="4" xr3:uid="{F70B0783-4C97-416B-A3FA-83DEEC36DD93}" name="Cost element" dataDxfId="749" dataCellStyle="Table cell"/>
    <tableColumn id="5" xr3:uid="{D6B56A29-DEAB-4BAF-9917-AEABCE4AAD1E}" name="Ausnet" dataDxfId="748"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calculatedColumnFormula>
    </tableColumn>
    <tableColumn id="6" xr3:uid="{EA6FD84F-66D4-4F51-A153-F8802F930F0F}" name="Citipower" dataDxfId="747"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calculatedColumnFormula>
    </tableColumn>
    <tableColumn id="7" xr3:uid="{2E9A544A-3531-4E17-9996-F185A676A58E}" name="Jemena" dataDxfId="746"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calculatedColumnFormula>
    </tableColumn>
    <tableColumn id="8" xr3:uid="{B159A814-6932-40BB-8657-EE60FC7A8539}" name="Powercor" dataDxfId="745"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calculatedColumnFormula>
    </tableColumn>
    <tableColumn id="9" xr3:uid="{E5EFB52A-128C-463D-BA62-7C010A23850E}" name="United Energy" dataDxfId="744"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calculatedColumnFormula>
    </tableColumn>
  </tableColumns>
  <tableStyleInfo name="Defaul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43AF80E-DA00-49A0-A159-7CB4D1510410}" name="OP_RatesTU_SME_2" displayName="OP_RatesTU_SME_2" ref="M103:U112" totalsRowShown="0" headerRowDxfId="743" headerRowBorderDxfId="742" tableBorderDxfId="741" headerRowCellStyle="Table col heading" dataCellStyle="Internal link/lookup">
  <tableColumns count="9">
    <tableColumn id="1" xr3:uid="{D68FF8AE-5781-4255-BEA3-9E4E2B088DC9}" name="Rate name" dataDxfId="740" dataCellStyle="Table cell"/>
    <tableColumn id="2" xr3:uid="{050CECEC-B13D-445D-BECE-B28F63E59C08}" name="Unit" dataDxfId="739" dataCellStyle="Table cell"/>
    <tableColumn id="3" xr3:uid="{A450D655-A125-49C9-9A0F-3AA46242B60C}" name="Customer type" dataDxfId="738" dataCellStyle="Table cell"/>
    <tableColumn id="4" xr3:uid="{77C75CCA-D769-45F7-ACE7-23CCDD8A0810}" name="Cost element" dataDxfId="737" dataCellStyle="Table cell"/>
    <tableColumn id="5" xr3:uid="{F2725072-29B9-4CB3-887D-563B8DD59831}" name="Ausnet" dataDxfId="736"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calculatedColumnFormula>
    </tableColumn>
    <tableColumn id="6" xr3:uid="{E4A449F9-EA18-418F-BC67-AE1FCC5E9F1C}" name="Citipower" dataDxfId="735"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calculatedColumnFormula>
    </tableColumn>
    <tableColumn id="7" xr3:uid="{B402EAD2-D706-473C-BDA1-7A0E47075E01}" name="Jemena" dataDxfId="734"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calculatedColumnFormula>
    </tableColumn>
    <tableColumn id="8" xr3:uid="{97A3C1DD-56FB-4F27-AEE3-30EA5D428A98}" name="Powercor" dataDxfId="733"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calculatedColumnFormula>
    </tableColumn>
    <tableColumn id="9" xr3:uid="{561B1A63-A796-4486-9F20-06B3F749C9E3}" name="United Energy" dataDxfId="732"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calculatedColumnFormula>
    </tableColumn>
  </tableColumns>
  <tableStyleInfo name="Defaul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9EE597-E6A4-44E4-944B-CDA626B5424B}" name="OP_TotalRates_RES_2" displayName="OP_TotalRates_RES_2" ref="C81:K89" totalsRowShown="0" headerRowDxfId="731" headerRowBorderDxfId="730" tableBorderDxfId="729" headerRowCellStyle="Table col heading">
  <tableColumns count="9">
    <tableColumn id="1" xr3:uid="{B296EB3D-E1CD-4637-9283-577B47AFA9A8}" name="Rate name" dataCellStyle="Table cell"/>
    <tableColumn id="2" xr3:uid="{EA2CEDA9-E825-4F7B-B818-53C4D2298ACA}" name="Unit" dataCellStyle="Table cell"/>
    <tableColumn id="3" xr3:uid="{36EFECE8-C52B-4F8C-92EF-2B882EAD862E}" name="Customer type" dataCellStyle="Table cell"/>
    <tableColumn id="4" xr3:uid="{4C89433C-DBD0-484D-A453-D4B50CC1EA25}" name="-" dataDxfId="728" dataCellStyle="Table cell"/>
    <tableColumn id="5" xr3:uid="{4ACF9A4B-7DA7-4470-89DC-4E06ABC5E77E}" name="Ausnet" dataDxfId="727" dataCellStyle="Table cell">
      <calculatedColumnFormula array="1">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calculatedColumnFormula>
    </tableColumn>
    <tableColumn id="6" xr3:uid="{6259725D-7D50-451A-B378-89B6848CEA53}" name="Citipower" dataDxfId="726" dataCellStyle="Table cell">
      <calculatedColumnFormula array="1">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calculatedColumnFormula>
    </tableColumn>
    <tableColumn id="7" xr3:uid="{3CB60922-6057-4639-94B8-707474840F4B}" name="Jemena" dataDxfId="725" dataCellStyle="Table cell">
      <calculatedColumnFormula array="1">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calculatedColumnFormula>
    </tableColumn>
    <tableColumn id="8" xr3:uid="{826D1692-DC0C-4317-A6F5-9D4E7153FBC1}" name="Powercor" dataDxfId="724" dataCellStyle="Table cell">
      <calculatedColumnFormula array="1">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calculatedColumnFormula>
    </tableColumn>
    <tableColumn id="9" xr3:uid="{B5E44275-79B2-41BC-8097-33A90558A19F}" name="United Energy" dataDxfId="723" dataCellStyle="Table cell">
      <calculatedColumnFormula array="1">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calculatedColumnFormula>
    </tableColumn>
  </tableColumns>
  <tableStyleInfo name="Defaul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04AC9F5-FD18-4D06-A7AC-1599A20A14AB}" name="OP_TotalRates_SME_2" displayName="OP_TotalRates_SME_2" ref="M81:U89" totalsRowShown="0" headerRowDxfId="722" headerRowBorderDxfId="721" tableBorderDxfId="720" totalsRowBorderDxfId="719" headerRowCellStyle="Table col heading" dataCellStyle="Table cell">
  <tableColumns count="9">
    <tableColumn id="1" xr3:uid="{DC5AEBFC-A846-492A-9A3D-3C7B70A489D9}" name="Rate name" dataCellStyle="Table cell"/>
    <tableColumn id="2" xr3:uid="{61A248F6-55CA-4DCE-9C91-D6A9AED0FDC4}" name="Unit" dataCellStyle="Table cell"/>
    <tableColumn id="3" xr3:uid="{CBD751F5-C15F-4B12-80C4-7B799928ED9C}" name="Customer type" dataCellStyle="Table cell"/>
    <tableColumn id="4" xr3:uid="{5030C31E-5AD7-4F56-A84F-C30DC69E7E84}" name="-" dataCellStyle="Table cell"/>
    <tableColumn id="5" xr3:uid="{CB1F387B-FA11-477B-9107-645E6D46001E}" name="Ausnet" dataDxfId="718" dataCellStyle="Table cell">
      <calculatedColumnFormula array="1">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calculatedColumnFormula>
    </tableColumn>
    <tableColumn id="6" xr3:uid="{18B5BA61-65BA-4620-AB6C-9F9986211959}" name="Citipower" dataDxfId="717" dataCellStyle="Table cell">
      <calculatedColumnFormula array="1">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calculatedColumnFormula>
    </tableColumn>
    <tableColumn id="7" xr3:uid="{659B9969-5A85-4180-AA25-716A2E7F41B2}" name="Jemena" dataDxfId="716" dataCellStyle="Table cell">
      <calculatedColumnFormula array="1">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calculatedColumnFormula>
    </tableColumn>
    <tableColumn id="8" xr3:uid="{17A869EE-93CC-4116-83C5-BA1B6DD4154B}" name="Powercor" dataDxfId="715" dataCellStyle="Table cell">
      <calculatedColumnFormula array="1">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calculatedColumnFormula>
    </tableColumn>
    <tableColumn id="9" xr3:uid="{763A5092-A841-48AE-A61A-D58EAB0E4FA5}" name="United Energy" dataDxfId="714" dataCellStyle="Table cell">
      <calculatedColumnFormula array="1">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calculatedColumnFormula>
    </tableColumn>
  </tableColumns>
  <tableStyleInfo name="Defaul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C68F836F-BFAF-4D94-8E10-FB158016F93D}" name="OP_TotalRates_RES_1" displayName="OP_TotalRates_RES_1" ref="C8:K16" totalsRowShown="0" headerRowDxfId="713" headerRowBorderDxfId="712" tableBorderDxfId="711" headerRowCellStyle="Table col heading">
  <tableColumns count="9">
    <tableColumn id="1" xr3:uid="{EFBA7F8E-5702-4B5F-A24C-D58F32BECFFD}" name="Rate name" dataCellStyle="Table cell"/>
    <tableColumn id="2" xr3:uid="{24CBE57F-78AE-413E-88DE-E3AFD3FAC564}" name="Unit" dataCellStyle="Table cell"/>
    <tableColumn id="3" xr3:uid="{CC5F9EDC-12A7-4A47-87A8-B10E13AC49C0}" name="Customer type" dataCellStyle="Table cell"/>
    <tableColumn id="4" xr3:uid="{6028E8A5-6981-468F-8C25-5C3250F89BE4}" name="-" dataDxfId="710" dataCellStyle="Table cell"/>
    <tableColumn id="5" xr3:uid="{19AB9587-A48D-452C-A107-3AD3AECADD01}" name="Ausnet" dataDxfId="709" dataCellStyle="Table cell">
      <calculatedColumnFormula array="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6" xr3:uid="{5ADC659C-CDAF-412F-A469-5F305214C88F}" name="Citipower" dataDxfId="708" dataCellStyle="Table cell">
      <calculatedColumnFormula array="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7" xr3:uid="{A8D8F831-A0DC-4582-9262-C3C3BBD0BC92}" name="Jemena" dataDxfId="707" dataCellStyle="Table cell">
      <calculatedColumnFormula array="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8" xr3:uid="{64D6C646-6150-4639-ABF2-AE215E5A4B51}" name="Powercor" dataDxfId="706" dataCellStyle="Table cell">
      <calculatedColumnFormula array="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9" xr3:uid="{BC7F9AB5-3ED3-42A5-B1F1-C1AA07207FF4}" name="United Energy" dataDxfId="705" dataCellStyle="Table cell">
      <calculatedColumnFormula array="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s>
  <tableStyleInfo name="Defaul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25A8613-B156-4E18-B29B-6F0EDD6D2F86}" name="OP_TotalRates_SME_1" displayName="OP_TotalRates_SME_1" ref="M8:U16" totalsRowShown="0" headerRowDxfId="704" headerRowBorderDxfId="703" tableBorderDxfId="702" totalsRowBorderDxfId="701" headerRowCellStyle="Table col heading" dataCellStyle="Table cell">
  <tableColumns count="9">
    <tableColumn id="1" xr3:uid="{C1A5C6F0-D41E-4832-A0D0-06DD1D76E1EE}" name="Rate name" dataCellStyle="Table cell"/>
    <tableColumn id="2" xr3:uid="{845C0D52-D2ED-4E94-BAD9-3BC221A1B4D6}" name="Unit" dataCellStyle="Table cell"/>
    <tableColumn id="3" xr3:uid="{F7EC689D-02E3-4F6F-B915-FB8FE642570C}" name="Customer type" dataCellStyle="Table cell"/>
    <tableColumn id="4" xr3:uid="{C4F34141-B33C-47EB-964B-78FFC9127264}" name="-" dataCellStyle="Table cell"/>
    <tableColumn id="5" xr3:uid="{759561F8-C1F4-4740-BBC1-CD3BBC1A4B6D}" name="Ausnet" dataDxfId="700" dataCellStyle="Table cell">
      <calculatedColumnFormula array="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6" xr3:uid="{8DB3D203-F696-471E-A81B-2603227D4C1C}" name="Citipower" dataDxfId="699" dataCellStyle="Table cell">
      <calculatedColumnFormula array="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7" xr3:uid="{12599797-6DB1-4752-A91D-D4F5623A9C9B}" name="Jemena" dataDxfId="698" dataCellStyle="Table cell">
      <calculatedColumnFormula array="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8" xr3:uid="{38D6C70A-AEA2-4EE5-BB10-DC85E9F4FBEF}" name="Powercor" dataDxfId="697" dataCellStyle="Table cell">
      <calculatedColumnFormula array="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9" xr3:uid="{3266CD91-BF6F-45E4-999E-6CBA79B9C8E8}" name="United Energy" dataDxfId="696" dataCellStyle="Table cell">
      <calculatedColumnFormula array="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s>
  <tableStyleInfo name="Defaul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EB8D17F-5D68-4130-BFBB-1A43FBFC16A3}" name="OP_RatesTU_RES_1" displayName="OP_RatesTU_RES_1" ref="C30:K39" totalsRowShown="0" headerRowDxfId="695" headerRowBorderDxfId="694" tableBorderDxfId="693" headerRowCellStyle="Table col heading" dataCellStyle="Internal link/lookup">
  <tableColumns count="9">
    <tableColumn id="1" xr3:uid="{EDE28CA5-A06C-49F9-A068-256EFAE7F168}" name="Rate name" dataDxfId="692" dataCellStyle="Table cell"/>
    <tableColumn id="2" xr3:uid="{F8BA328E-C870-4835-A420-6C613706B330}" name="Unit" dataDxfId="691" dataCellStyle="Table cell"/>
    <tableColumn id="3" xr3:uid="{2848F034-ACD7-4EBD-8A6C-818F974EFF49}" name="Customer type" dataDxfId="690" dataCellStyle="Table cell"/>
    <tableColumn id="4" xr3:uid="{2962F910-A75B-405C-9C97-A0C617F4A661}" name="Cost element" dataCellStyle="Table cell"/>
    <tableColumn id="5" xr3:uid="{686EA705-D4CF-4833-A268-FE69EB04E7AF}" name="Ausnet" dataDxfId="689"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calculatedColumnFormula>
    </tableColumn>
    <tableColumn id="6" xr3:uid="{9B8ED77B-C08F-4D34-8E42-4A9655A90B4C}" name="Citipower" dataDxfId="688"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calculatedColumnFormula>
    </tableColumn>
    <tableColumn id="7" xr3:uid="{12E49AC4-261F-464A-AB58-F13487FE2360}" name="Jemena" dataDxfId="687"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calculatedColumnFormula>
    </tableColumn>
    <tableColumn id="8" xr3:uid="{5A3667C2-AFFE-442F-B9A7-EB8AEA384D28}" name="Powercor" dataDxfId="686"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calculatedColumnFormula>
    </tableColumn>
    <tableColumn id="9" xr3:uid="{B2228E7E-67E5-4ECB-BC40-E0E7E16BAD7E}" name="United Energy" dataDxfId="685"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calculatedColumnFormula>
    </tableColumn>
  </tableColumns>
  <tableStyleInfo name="Defaul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B81553BE-E008-47C5-AF75-1727F1702120}" name="OP_RatesTU_SME_1" displayName="OP_RatesTU_SME_1" ref="M30:U39" totalsRowShown="0" headerRowDxfId="684" headerRowBorderDxfId="683" tableBorderDxfId="682" headerRowCellStyle="Table col heading" dataCellStyle="Internal link/lookup">
  <tableColumns count="9">
    <tableColumn id="1" xr3:uid="{45406C57-34CB-4B65-8E2B-1D5152BD0A25}" name="Rate name" dataDxfId="681" dataCellStyle="Table cell"/>
    <tableColumn id="2" xr3:uid="{2FA43327-1E12-456B-A0E8-9000AD58FD7D}" name="Unit" dataDxfId="680" dataCellStyle="Table cell"/>
    <tableColumn id="3" xr3:uid="{4C2AA5BA-F3B5-45BE-85C2-C987C331A4BA}" name="Customer type" dataDxfId="679" dataCellStyle="Table cell"/>
    <tableColumn id="4" xr3:uid="{9DC50DAB-4D1C-4AC1-A5AF-E33DB96A5A0F}" name="Cost element" dataCellStyle="Table cell"/>
    <tableColumn id="5" xr3:uid="{A13D3C70-92AE-4F16-91DA-A2562019C4A7}" name="Ausnet" dataDxfId="678"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calculatedColumnFormula>
    </tableColumn>
    <tableColumn id="6" xr3:uid="{6C8D8A13-598E-4820-8EAC-0364F4D1FB1E}" name="Citipower" dataDxfId="677"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calculatedColumnFormula>
    </tableColumn>
    <tableColumn id="7" xr3:uid="{7DD7EBBA-DA06-49A8-AC07-9371903F86CD}" name="Jemena" dataDxfId="676"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calculatedColumnFormula>
    </tableColumn>
    <tableColumn id="8" xr3:uid="{F9EC145C-9D67-49B2-A213-5370F048104E}" name="Powercor" dataDxfId="675"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calculatedColumnFormula>
    </tableColumn>
    <tableColumn id="9" xr3:uid="{4EC1B886-E7FA-4600-BED1-B95F3DBB98F2}" name="United Energy" dataDxfId="674"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calculatedColumnFormula>
    </tableColumn>
  </tableColumns>
  <tableStyleInfo name="Defaul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1ECF00-A28C-4DAE-BCAD-B3F05BFD6430}" name="CMAB_RES_1" displayName="CMAB_RES_1" ref="C10:I13" totalsRowShown="0" headerRowDxfId="673" headerRowBorderDxfId="672" tableBorderDxfId="671" totalsRowBorderDxfId="670" headerRowCellStyle="Table col heading">
  <tableColumns count="7">
    <tableColumn id="1" xr3:uid="{84FEBB47-56AD-49B3-9311-BA71F8AEC495}" name="Customer type"/>
    <tableColumn id="2" xr3:uid="{AC9F98FB-8140-41C9-84B7-22980FC208CE}" name="Usage profile" dataDxfId="669"/>
    <tableColumn id="3" xr3:uid="{A389BDD1-8970-442A-9855-389673EB38C0}" name="Ausnet" dataDxfId="668" dataCellStyle="Table cell">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INDEX(Input_Usage[],MATCH($D11&amp;" - Block 1",Input_Usage[[Ref]:[Ref]],0),MATCH($D$7,Inputs!$C$140:$Q$140,0))),0)+
IFERROR((INDEX(OP_TotalRates_RES_1[[Ausnet]:[United Energy]],MATCH("Balance",OP_TotalRates_RES_1[[Rate name]:[Rate name]],0),MATCH(E$10,OP_TotalRates_RES_1[[#Headers],[Ausnet]:[United Energy]],0))*
INDEX(Input_Usage[],MATCH($D11&amp;" - Balance",Input_Usage[[Ref]:[Ref]],0),MATCH($D$7,Inputs!$C$140:$Q$140,0))),0)+
IFERROR((INDEX(OP_TotalRates_RES_1[[Ausnet]:[United Energy]],MATCH("Single rate",OP_TotalRates_RES_1[[Rate name]:[Rate name]],0),MATCH(E$10,OP_TotalRates_RES_1[[#Headers],[Ausnet]:[United Energy]],0))*
INDEX(Input_Usage[],MATCH($D11&amp;" - Annual",Input_Usage[[Ref]:[Ref]],0),MATCH($D$7,Inputs!$C$140:$Q$140,0))),0)),0),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INDEX(Input_Usage[],MATCH($D11&amp;" - Peak",Input_Usage[[Ref]:[Ref]],0),MATCH($D$7,Inputs!$C$140:$Q$140,0)))+
IFERROR((INDEX(OP_TotalRates_RES_1[[Ausnet]:[United Energy]],MATCH("TOU - Shoulder",OP_TotalRates_RES_1[[Rate name]:[Rate name]],0),MATCH(E$10,OP_TotalRates_RES_1[[#Headers],[Ausnet]:[United Energy]],0))*
INDEX(Input_Usage[],MATCH($D11&amp;" - Shoulder",Input_Usage[[Ref]:[Ref]],0),MATCH($D$7,Inputs!$C$140:$Q$140,0))),0)+
(INDEX(OP_TotalRates_RES_1[[Ausnet]:[United Energy]],MATCH("Off peak",OP_TotalRates_RES_1[[Rate name]:[Rate name]],0),MATCH(E$10,OP_TotalRates_RES_1[[#Headers],[Ausnet]:[United Energy]],0))*
INDEX(Input_Usage[],MATCH($D11&amp;" - Off peak",Input_Usage[[Ref]:[Ref]],0),MATCH($D$7,Inputs!$C$140:$Q$140,0))),0)),"-")</calculatedColumnFormula>
    </tableColumn>
    <tableColumn id="4" xr3:uid="{BA39D082-53B0-4996-8C75-52452724B87F}" name="Citipower" dataDxfId="667">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INDEX(Input_Usage[],MATCH($D11&amp;" - Block 1",Input_Usage[[Ref]:[Ref]],0),MATCH($D$7,Inputs!$C$140:$Q$140,0))),0)+
IFERROR((INDEX(OP_TotalRates_RES_1[[Ausnet]:[United Energy]],MATCH("Balance",OP_TotalRates_RES_1[[Rate name]:[Rate name]],0),MATCH(F$10,OP_TotalRates_RES_1[[#Headers],[Ausnet]:[United Energy]],0))*
INDEX(Input_Usage[],MATCH($D11&amp;" - Balance",Input_Usage[[Ref]:[Ref]],0),MATCH($D$7,Inputs!$C$140:$Q$140,0))),0)+
IFERROR((INDEX(OP_TotalRates_RES_1[[Ausnet]:[United Energy]],MATCH("Single rate",OP_TotalRates_RES_1[[Rate name]:[Rate name]],0),MATCH(F$10,OP_TotalRates_RES_1[[#Headers],[Ausnet]:[United Energy]],0))*
INDEX(Input_Usage[],MATCH($D11&amp;" - Annual",Input_Usage[[Ref]:[Ref]],0),MATCH($D$7,Inputs!$C$140:$Q$140,0))),0)),0),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INDEX(Input_Usage[],MATCH($D11&amp;" - Peak",Input_Usage[[Ref]:[Ref]],0),MATCH($D$7,Inputs!$C$140:$Q$140,0)))+
IFERROR((INDEX(OP_TotalRates_RES_1[[Ausnet]:[United Energy]],MATCH("TOU - Shoulder",OP_TotalRates_RES_1[[Rate name]:[Rate name]],0),MATCH(F$10,OP_TotalRates_RES_1[[#Headers],[Ausnet]:[United Energy]],0))*
INDEX(Input_Usage[],MATCH($D11&amp;" - Shoulder",Input_Usage[[Ref]:[Ref]],0),MATCH($D$7,Inputs!$C$140:$Q$140,0))),0)+
(INDEX(OP_TotalRates_RES_1[[Ausnet]:[United Energy]],MATCH("Off peak",OP_TotalRates_RES_1[[Rate name]:[Rate name]],0),MATCH(F$10,OP_TotalRates_RES_1[[#Headers],[Ausnet]:[United Energy]],0))*
INDEX(Input_Usage[],MATCH($D11&amp;" - Off peak",Input_Usage[[Ref]:[Ref]],0),MATCH($D$7,Inputs!$C$140:$Q$140,0))),0)),"-")</calculatedColumnFormula>
    </tableColumn>
    <tableColumn id="5" xr3:uid="{282AD3F8-3333-43B4-86C8-A1CA8ED95F00}" name="Jemena" dataDxfId="666">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INDEX(Input_Usage[],MATCH($D11&amp;" - Block 1",Input_Usage[[Ref]:[Ref]],0),MATCH($D$7,Inputs!$C$140:$Q$140,0))),0)+
IFERROR((INDEX(OP_TotalRates_RES_1[[Ausnet]:[United Energy]],MATCH("Balance",OP_TotalRates_RES_1[[Rate name]:[Rate name]],0),MATCH(G$10,OP_TotalRates_RES_1[[#Headers],[Ausnet]:[United Energy]],0))*
INDEX(Input_Usage[],MATCH($D11&amp;" - Balance",Input_Usage[[Ref]:[Ref]],0),MATCH($D$7,Inputs!$C$140:$Q$140,0))),0)+
IFERROR((INDEX(OP_TotalRates_RES_1[[Ausnet]:[United Energy]],MATCH("Single rate",OP_TotalRates_RES_1[[Rate name]:[Rate name]],0),MATCH(G$10,OP_TotalRates_RES_1[[#Headers],[Ausnet]:[United Energy]],0))*
INDEX(Input_Usage[],MATCH($D11&amp;" - Annual",Input_Usage[[Ref]:[Ref]],0),MATCH($D$7,Inputs!$C$140:$Q$140,0))),0)),0),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INDEX(Input_Usage[],MATCH($D11&amp;" - Peak",Input_Usage[[Ref]:[Ref]],0),MATCH($D$7,Inputs!$C$140:$Q$140,0)))+
IFERROR((INDEX(OP_TotalRates_RES_1[[Ausnet]:[United Energy]],MATCH("TOU - Shoulder",OP_TotalRates_RES_1[[Rate name]:[Rate name]],0),MATCH(G$10,OP_TotalRates_RES_1[[#Headers],[Ausnet]:[United Energy]],0))*
INDEX(Input_Usage[],MATCH($D11&amp;" - Shoulder",Input_Usage[[Ref]:[Ref]],0),MATCH($D$7,Inputs!$C$140:$Q$140,0))),0)+
(INDEX(OP_TotalRates_RES_1[[Ausnet]:[United Energy]],MATCH("Off peak",OP_TotalRates_RES_1[[Rate name]:[Rate name]],0),MATCH(G$10,OP_TotalRates_RES_1[[#Headers],[Ausnet]:[United Energy]],0))*
INDEX(Input_Usage[],MATCH($D11&amp;" - Off peak",Input_Usage[[Ref]:[Ref]],0),MATCH($D$7,Inputs!$C$140:$Q$140,0))),0)),"-")</calculatedColumnFormula>
    </tableColumn>
    <tableColumn id="6" xr3:uid="{8787BD47-D93F-4B34-86AA-1295F8CA6ECE}" name="Powercor" dataDxfId="665">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INDEX(Input_Usage[],MATCH($D11&amp;" - Block 1",Input_Usage[[Ref]:[Ref]],0),MATCH($D$7,Inputs!$C$140:$Q$140,0))),0)+
IFERROR((INDEX(OP_TotalRates_RES_1[[Ausnet]:[United Energy]],MATCH("Balance",OP_TotalRates_RES_1[[Rate name]:[Rate name]],0),MATCH(H$10,OP_TotalRates_RES_1[[#Headers],[Ausnet]:[United Energy]],0))*
INDEX(Input_Usage[],MATCH($D11&amp;" - Balance",Input_Usage[[Ref]:[Ref]],0),MATCH($D$7,Inputs!$C$140:$Q$140,0))),0)+
IFERROR((INDEX(OP_TotalRates_RES_1[[Ausnet]:[United Energy]],MATCH("Single rate",OP_TotalRates_RES_1[[Rate name]:[Rate name]],0),MATCH(H$10,OP_TotalRates_RES_1[[#Headers],[Ausnet]:[United Energy]],0))*
INDEX(Input_Usage[],MATCH($D11&amp;" - Annual",Input_Usage[[Ref]:[Ref]],0),MATCH($D$7,Inputs!$C$140:$Q$140,0))),0)),0),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INDEX(Input_Usage[],MATCH($D11&amp;" - Peak",Input_Usage[[Ref]:[Ref]],0),MATCH($D$7,Inputs!$C$140:$Q$140,0)))+
IFERROR((INDEX(OP_TotalRates_RES_1[[Ausnet]:[United Energy]],MATCH("TOU - Shoulder",OP_TotalRates_RES_1[[Rate name]:[Rate name]],0),MATCH(H$10,OP_TotalRates_RES_1[[#Headers],[Ausnet]:[United Energy]],0))*
INDEX(Input_Usage[],MATCH($D11&amp;" - Shoulder",Input_Usage[[Ref]:[Ref]],0),MATCH($D$7,Inputs!$C$140:$Q$140,0))),0)+
(INDEX(OP_TotalRates_RES_1[[Ausnet]:[United Energy]],MATCH("Off peak",OP_TotalRates_RES_1[[Rate name]:[Rate name]],0),MATCH(H$10,OP_TotalRates_RES_1[[#Headers],[Ausnet]:[United Energy]],0))*
INDEX(Input_Usage[],MATCH($D11&amp;" - Off peak",Input_Usage[[Ref]:[Ref]],0),MATCH($D$7,Inputs!$C$140:$Q$140,0))),0)),"-")</calculatedColumnFormula>
    </tableColumn>
    <tableColumn id="7" xr3:uid="{6DCB4D75-0C84-4A70-9F7B-3AA3F67D07AB}" name="United Energy" dataDxfId="664">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INDEX(Input_Usage[],MATCH($D11&amp;" - Block 1",Input_Usage[[Ref]:[Ref]],0),MATCH($D$7,Inputs!$C$140:$Q$140,0))),0)+
IFERROR((INDEX(OP_TotalRates_RES_1[[Ausnet]:[United Energy]],MATCH("Balance",OP_TotalRates_RES_1[[Rate name]:[Rate name]],0),MATCH(I$10,OP_TotalRates_RES_1[[#Headers],[Ausnet]:[United Energy]],0))*
INDEX(Input_Usage[],MATCH($D11&amp;" - Balance",Input_Usage[[Ref]:[Ref]],0),MATCH($D$7,Inputs!$C$140:$Q$140,0))),0)+
IFERROR((INDEX(OP_TotalRates_RES_1[[Ausnet]:[United Energy]],MATCH("Single rate",OP_TotalRates_RES_1[[Rate name]:[Rate name]],0),MATCH(I$10,OP_TotalRates_RES_1[[#Headers],[Ausnet]:[United Energy]],0))*
INDEX(Input_Usage[],MATCH($D11&amp;" - Annual",Input_Usage[[Ref]:[Ref]],0),MATCH($D$7,Inputs!$C$140:$Q$140,0))),0)),0),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INDEX(Input_Usage[],MATCH($D11&amp;" - Peak",Input_Usage[[Ref]:[Ref]],0),MATCH($D$7,Inputs!$C$140:$Q$140,0)))+
IFERROR((INDEX(OP_TotalRates_RES_1[[Ausnet]:[United Energy]],MATCH("TOU - Shoulder",OP_TotalRates_RES_1[[Rate name]:[Rate name]],0),MATCH(I$10,OP_TotalRates_RES_1[[#Headers],[Ausnet]:[United Energy]],0))*
INDEX(Input_Usage[],MATCH($D11&amp;" - Shoulder",Input_Usage[[Ref]:[Ref]],0),MATCH($D$7,Inputs!$C$140:$Q$140,0))),0)+
(INDEX(OP_TotalRates_RES_1[[Ausnet]:[United Energy]],MATCH("Off peak",OP_TotalRates_RES_1[[Rate name]:[Rate name]],0),MATCH(I$10,OP_TotalRates_RES_1[[#Headers],[Ausnet]:[United Energy]],0))*
INDEX(Input_Usage[],MATCH($D11&amp;" - Off peak",Input_Usage[[Ref]:[Ref]],0),MATCH($D$7,Inputs!$C$140:$Q$140,0))),0)),"-")</calculatedColumnFormula>
    </tableColumn>
  </tableColumns>
  <tableStyleInfo name="Defaul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8868BB8-B928-42FB-BADD-F5CE65D1A929}" name="CMAB_SME_1" displayName="CMAB_SME_1" ref="K10:Q13" totalsRowShown="0" headerRowDxfId="663" headerRowBorderDxfId="662" tableBorderDxfId="661" totalsRowBorderDxfId="660" headerRowCellStyle="Table col heading">
  <tableColumns count="7">
    <tableColumn id="1" xr3:uid="{CFE1BF38-F8D5-417C-B8B8-055440189F48}" name="Customer type"/>
    <tableColumn id="2" xr3:uid="{A1BFB354-68E7-422C-A85D-4EE75E8C112A}" name="Usage profile"/>
    <tableColumn id="3" xr3:uid="{5FC92D0D-723D-4278-A68D-731B046067B9}" name="Ausnet" dataDxfId="659" dataCellStyle="Table cell">
      <calculatedColumnFormula>IFERROR(
IF($D$7="VDO 2021 - Final",
ROUNDUP(
(INDEX(OP_TotalRates_RES_1[[Ausnet]:[United Energy]],MATCH("Anytime - supply",OP_TotalRates_RES_1[[Rate name]:[Rate name]],0),MATCH(M$10,OP_TotalRates_RES_1[[#Headers],[Ausnet]:[United Energy]],0))*DiY)+
(IFERROR((INDEX(OP_TotalRates_RES_1[[Ausnet]:[United Energy]],MATCH("Block 1",OP_TotalRates_RES_1[[Rate name]:[Rate name]],0),MATCH(M$10,OP_TotalRates_RES_1[[#Headers],[Ausnet]:[United Energy]],0))*
INDEX(Input_Usage[],MATCH($D11&amp;" - Block 1",Input_Usage[[Ref]:[Ref]],0),MATCH($D$7,Inputs!$C$140:$Q$140,0))),0)+
IFERROR((INDEX(OP_TotalRates_RES_1[[Ausnet]:[United Energy]],MATCH("Balance",OP_TotalRates_RES_1[[Rate name]:[Rate name]],0),MATCH(M$10,OP_TotalRates_RES_1[[#Headers],[Ausnet]:[United Energy]],0))*
INDEX(Input_Usage[],MATCH($D11&amp;" - Balance",Input_Usage[[Ref]:[Ref]],0),MATCH($D$7,Inputs!$C$140:$Q$140,0))),0)+
IFERROR((INDEX(OP_TotalRates_RES_1[[Ausnet]:[United Energy]],MATCH("Single rate",OP_TotalRates_RES_1[[Rate name]:[Rate name]],0),MATCH(M$10,OP_TotalRates_RES_1[[#Headers],[Ausnet]:[United Energy]],0))*
INDEX(Input_Usage[],MATCH($D11&amp;" - Annual",Input_Usage[[Ref]:[Ref]],0),MATCH($D$7,Inputs!$C$140:$Q$140,0))),0)),0),
ROUNDUP(
(INDEX(OP_TotalRates_RES_1[[Ausnet]:[United Energy]],MATCH("TOU - supply",OP_TotalRates_RES_1[[Rate name]:[Rate name]],0),MATCH(M$10,OP_TotalRates_RES_1[[#Headers],[Ausnet]:[United Energy]],0))*DiY)+
(INDEX(OP_TotalRates_RES_1[[Ausnet]:[United Energy]],MATCH("Peak",OP_TotalRates_RES_1[[Rate name]:[Rate name]],0),MATCH(M$10,OP_TotalRates_RES_1[[#Headers],[Ausnet]:[United Energy]],0))*
INDEX(Input_Usage[],MATCH($D11&amp;" - Peak",Input_Usage[[Ref]:[Ref]],0),MATCH($D$7,Inputs!$C$140:$Q$140,0)))+
IFERROR((INDEX(OP_TotalRates_RES_1[[Ausnet]:[United Energy]],MATCH("TOU - Shoulder",OP_TotalRates_RES_1[[Rate name]:[Rate name]],0),MATCH(M$10,OP_TotalRates_RES_1[[#Headers],[Ausnet]:[United Energy]],0))*
INDEX(Input_Usage[],MATCH($D11&amp;" - Shoulder",Input_Usage[[Ref]:[Ref]],0),MATCH($D$7,Inputs!$C$140:$Q$140,0))),0)+
(INDEX(OP_TotalRates_RES_1[[Ausnet]:[United Energy]],MATCH("Off peak",OP_TotalRates_RES_1[[Rate name]:[Rate name]],0),MATCH(M$10,OP_TotalRates_RES_1[[#Headers],[Ausnet]:[United Energy]],0))*
INDEX(Input_Usage[],MATCH($D11&amp;" - Off peak",Input_Usage[[Ref]:[Ref]],0),MATCH($D$7,Inputs!$C$140:$Q$140,0))),0)),"-")</calculatedColumnFormula>
    </tableColumn>
    <tableColumn id="4" xr3:uid="{A854BB72-10CE-41A2-BD33-3B9D4B05B42C}" name="Citipower" dataDxfId="658" dataCellStyle="Table cell">
      <calculatedColumnFormula>IFERROR(
IF($D$7="VDO 2021 - Final",
ROUNDUP(
(INDEX(OP_TotalRates_RES_1[[Ausnet]:[United Energy]],MATCH("Anytime - supply",OP_TotalRates_RES_1[[Rate name]:[Rate name]],0),MATCH(N$10,OP_TotalRates_RES_1[[#Headers],[Ausnet]:[United Energy]],0))*DiY)+
(IFERROR((INDEX(OP_TotalRates_RES_1[[Ausnet]:[United Energy]],MATCH("Block 1",OP_TotalRates_RES_1[[Rate name]:[Rate name]],0),MATCH(N$10,OP_TotalRates_RES_1[[#Headers],[Ausnet]:[United Energy]],0))*
INDEX(Input_Usage[],MATCH($D11&amp;" - Block 1",Input_Usage[[Ref]:[Ref]],0),MATCH($D$7,Inputs!$C$140:$Q$140,0))),0)+
IFERROR((INDEX(OP_TotalRates_RES_1[[Ausnet]:[United Energy]],MATCH("Balance",OP_TotalRates_RES_1[[Rate name]:[Rate name]],0),MATCH(N$10,OP_TotalRates_RES_1[[#Headers],[Ausnet]:[United Energy]],0))*
INDEX(Input_Usage[],MATCH($D11&amp;" - Balance",Input_Usage[[Ref]:[Ref]],0),MATCH($D$7,Inputs!$C$140:$Q$140,0))),0)+
IFERROR((INDEX(OP_TotalRates_RES_1[[Ausnet]:[United Energy]],MATCH("Single rate",OP_TotalRates_RES_1[[Rate name]:[Rate name]],0),MATCH(N$10,OP_TotalRates_RES_1[[#Headers],[Ausnet]:[United Energy]],0))*
INDEX(Input_Usage[],MATCH($D11&amp;" - Annual",Input_Usage[[Ref]:[Ref]],0),MATCH($D$7,Inputs!$C$140:$Q$140,0))),0)),0),
ROUNDUP(
(INDEX(OP_TotalRates_RES_1[[Ausnet]:[United Energy]],MATCH("TOU - supply",OP_TotalRates_RES_1[[Rate name]:[Rate name]],0),MATCH(N$10,OP_TotalRates_RES_1[[#Headers],[Ausnet]:[United Energy]],0))*DiY)+
(INDEX(OP_TotalRates_RES_1[[Ausnet]:[United Energy]],MATCH("Peak",OP_TotalRates_RES_1[[Rate name]:[Rate name]],0),MATCH(N$10,OP_TotalRates_RES_1[[#Headers],[Ausnet]:[United Energy]],0))*
INDEX(Input_Usage[],MATCH($D11&amp;" - Peak",Input_Usage[[Ref]:[Ref]],0),MATCH($D$7,Inputs!$C$140:$Q$140,0)))+
IFERROR((INDEX(OP_TotalRates_RES_1[[Ausnet]:[United Energy]],MATCH("TOU - Shoulder",OP_TotalRates_RES_1[[Rate name]:[Rate name]],0),MATCH(N$10,OP_TotalRates_RES_1[[#Headers],[Ausnet]:[United Energy]],0))*
INDEX(Input_Usage[],MATCH($D11&amp;" - Shoulder",Input_Usage[[Ref]:[Ref]],0),MATCH($D$7,Inputs!$C$140:$Q$140,0))),0)+
(INDEX(OP_TotalRates_RES_1[[Ausnet]:[United Energy]],MATCH("Off peak",OP_TotalRates_RES_1[[Rate name]:[Rate name]],0),MATCH(N$10,OP_TotalRates_RES_1[[#Headers],[Ausnet]:[United Energy]],0))*
INDEX(Input_Usage[],MATCH($D11&amp;" - Off peak",Input_Usage[[Ref]:[Ref]],0),MATCH($D$7,Inputs!$C$140:$Q$140,0))),0)),"-")</calculatedColumnFormula>
    </tableColumn>
    <tableColumn id="5" xr3:uid="{37F3AA68-E85C-4177-B19E-9471B53A7CC8}" name="Jemena" dataDxfId="657" dataCellStyle="Table cell">
      <calculatedColumnFormula>IFERROR(
IF($D$7="VDO 2021 - Final",
ROUNDUP(
(INDEX(OP_TotalRates_RES_1[[Ausnet]:[United Energy]],MATCH("Anytime - supply",OP_TotalRates_RES_1[[Rate name]:[Rate name]],0),MATCH(O$10,OP_TotalRates_RES_1[[#Headers],[Ausnet]:[United Energy]],0))*DiY)+
(IFERROR((INDEX(OP_TotalRates_RES_1[[Ausnet]:[United Energy]],MATCH("Block 1",OP_TotalRates_RES_1[[Rate name]:[Rate name]],0),MATCH(O$10,OP_TotalRates_RES_1[[#Headers],[Ausnet]:[United Energy]],0))*
INDEX(Input_Usage[],MATCH($D11&amp;" - Block 1",Input_Usage[[Ref]:[Ref]],0),MATCH($D$7,Inputs!$C$140:$Q$140,0))),0)+
IFERROR((INDEX(OP_TotalRates_RES_1[[Ausnet]:[United Energy]],MATCH("Balance",OP_TotalRates_RES_1[[Rate name]:[Rate name]],0),MATCH(O$10,OP_TotalRates_RES_1[[#Headers],[Ausnet]:[United Energy]],0))*
INDEX(Input_Usage[],MATCH($D11&amp;" - Balance",Input_Usage[[Ref]:[Ref]],0),MATCH($D$7,Inputs!$C$140:$Q$140,0))),0)+
IFERROR((INDEX(OP_TotalRates_RES_1[[Ausnet]:[United Energy]],MATCH("Single rate",OP_TotalRates_RES_1[[Rate name]:[Rate name]],0),MATCH(O$10,OP_TotalRates_RES_1[[#Headers],[Ausnet]:[United Energy]],0))*
INDEX(Input_Usage[],MATCH($D11&amp;" - Annual",Input_Usage[[Ref]:[Ref]],0),MATCH($D$7,Inputs!$C$140:$Q$140,0))),0)),0),
ROUNDUP(
(INDEX(OP_TotalRates_RES_1[[Ausnet]:[United Energy]],MATCH("TOU - supply",OP_TotalRates_RES_1[[Rate name]:[Rate name]],0),MATCH(O$10,OP_TotalRates_RES_1[[#Headers],[Ausnet]:[United Energy]],0))*DiY)+
(INDEX(OP_TotalRates_RES_1[[Ausnet]:[United Energy]],MATCH("Peak",OP_TotalRates_RES_1[[Rate name]:[Rate name]],0),MATCH(O$10,OP_TotalRates_RES_1[[#Headers],[Ausnet]:[United Energy]],0))*
INDEX(Input_Usage[],MATCH($D11&amp;" - Peak",Input_Usage[[Ref]:[Ref]],0),MATCH($D$7,Inputs!$C$140:$Q$140,0)))+
IFERROR((INDEX(OP_TotalRates_RES_1[[Ausnet]:[United Energy]],MATCH("TOU - Shoulder",OP_TotalRates_RES_1[[Rate name]:[Rate name]],0),MATCH(O$10,OP_TotalRates_RES_1[[#Headers],[Ausnet]:[United Energy]],0))*
INDEX(Input_Usage[],MATCH($D11&amp;" - Shoulder",Input_Usage[[Ref]:[Ref]],0),MATCH($D$7,Inputs!$C$140:$Q$140,0))),0)+
(INDEX(OP_TotalRates_RES_1[[Ausnet]:[United Energy]],MATCH("Off peak",OP_TotalRates_RES_1[[Rate name]:[Rate name]],0),MATCH(O$10,OP_TotalRates_RES_1[[#Headers],[Ausnet]:[United Energy]],0))*
INDEX(Input_Usage[],MATCH($D11&amp;" - Off peak",Input_Usage[[Ref]:[Ref]],0),MATCH($D$7,Inputs!$C$140:$Q$140,0))),0)),"-")</calculatedColumnFormula>
    </tableColumn>
    <tableColumn id="6" xr3:uid="{CC163AC0-D0FC-4725-AB96-3480C0535BF2}" name="Powercor" dataDxfId="656" dataCellStyle="Table cell">
      <calculatedColumnFormula>IFERROR(
IF($D$7="VDO 2021 - Final",
ROUNDUP(
(INDEX(OP_TotalRates_RES_1[[Ausnet]:[United Energy]],MATCH("Anytime - supply",OP_TotalRates_RES_1[[Rate name]:[Rate name]],0),MATCH(P$10,OP_TotalRates_RES_1[[#Headers],[Ausnet]:[United Energy]],0))*DiY)+
(IFERROR((INDEX(OP_TotalRates_RES_1[[Ausnet]:[United Energy]],MATCH("Block 1",OP_TotalRates_RES_1[[Rate name]:[Rate name]],0),MATCH(P$10,OP_TotalRates_RES_1[[#Headers],[Ausnet]:[United Energy]],0))*
INDEX(Input_Usage[],MATCH($D11&amp;" - Block 1",Input_Usage[[Ref]:[Ref]],0),MATCH($D$7,Inputs!$C$140:$Q$140,0))),0)+
IFERROR((INDEX(OP_TotalRates_RES_1[[Ausnet]:[United Energy]],MATCH("Balance",OP_TotalRates_RES_1[[Rate name]:[Rate name]],0),MATCH(P$10,OP_TotalRates_RES_1[[#Headers],[Ausnet]:[United Energy]],0))*
INDEX(Input_Usage[],MATCH($D11&amp;" - Balance",Input_Usage[[Ref]:[Ref]],0),MATCH($D$7,Inputs!$C$140:$Q$140,0))),0)+
IFERROR((INDEX(OP_TotalRates_RES_1[[Ausnet]:[United Energy]],MATCH("Single rate",OP_TotalRates_RES_1[[Rate name]:[Rate name]],0),MATCH(P$10,OP_TotalRates_RES_1[[#Headers],[Ausnet]:[United Energy]],0))*
INDEX(Input_Usage[],MATCH($D11&amp;" - Annual",Input_Usage[[Ref]:[Ref]],0),MATCH($D$7,Inputs!$C$140:$Q$140,0))),0)),0),
ROUNDUP(
(INDEX(OP_TotalRates_RES_1[[Ausnet]:[United Energy]],MATCH("TOU - supply",OP_TotalRates_RES_1[[Rate name]:[Rate name]],0),MATCH(P$10,OP_TotalRates_RES_1[[#Headers],[Ausnet]:[United Energy]],0))*DiY)+
(INDEX(OP_TotalRates_RES_1[[Ausnet]:[United Energy]],MATCH("Peak",OP_TotalRates_RES_1[[Rate name]:[Rate name]],0),MATCH(P$10,OP_TotalRates_RES_1[[#Headers],[Ausnet]:[United Energy]],0))*
INDEX(Input_Usage[],MATCH($D11&amp;" - Peak",Input_Usage[[Ref]:[Ref]],0),MATCH($D$7,Inputs!$C$140:$Q$140,0)))+
IFERROR((INDEX(OP_TotalRates_RES_1[[Ausnet]:[United Energy]],MATCH("TOU - Shoulder",OP_TotalRates_RES_1[[Rate name]:[Rate name]],0),MATCH(P$10,OP_TotalRates_RES_1[[#Headers],[Ausnet]:[United Energy]],0))*
INDEX(Input_Usage[],MATCH($D11&amp;" - Shoulder",Input_Usage[[Ref]:[Ref]],0),MATCH($D$7,Inputs!$C$140:$Q$140,0))),0)+
(INDEX(OP_TotalRates_RES_1[[Ausnet]:[United Energy]],MATCH("Off peak",OP_TotalRates_RES_1[[Rate name]:[Rate name]],0),MATCH(P$10,OP_TotalRates_RES_1[[#Headers],[Ausnet]:[United Energy]],0))*
INDEX(Input_Usage[],MATCH($D11&amp;" - Off peak",Input_Usage[[Ref]:[Ref]],0),MATCH($D$7,Inputs!$C$140:$Q$140,0))),0)),"-")</calculatedColumnFormula>
    </tableColumn>
    <tableColumn id="7" xr3:uid="{9EF53383-EDFC-4887-B9C3-5A5731D858F0}" name="United Energy" dataDxfId="655" dataCellStyle="Table cell">
      <calculatedColumnFormula>IFERROR(
IF($D$7="VDO 2021 - Final",
ROUNDUP(
(INDEX(OP_TotalRates_RES_1[[Ausnet]:[United Energy]],MATCH("Anytime - supply",OP_TotalRates_RES_1[[Rate name]:[Rate name]],0),MATCH(Q$10,OP_TotalRates_RES_1[[#Headers],[Ausnet]:[United Energy]],0))*DiY)+
(IFERROR((INDEX(OP_TotalRates_RES_1[[Ausnet]:[United Energy]],MATCH("Block 1",OP_TotalRates_RES_1[[Rate name]:[Rate name]],0),MATCH(Q$10,OP_TotalRates_RES_1[[#Headers],[Ausnet]:[United Energy]],0))*
INDEX(Input_Usage[],MATCH($D11&amp;" - Block 1",Input_Usage[[Ref]:[Ref]],0),MATCH($D$7,Inputs!$C$140:$Q$140,0))),0)+
IFERROR((INDEX(OP_TotalRates_RES_1[[Ausnet]:[United Energy]],MATCH("Balance",OP_TotalRates_RES_1[[Rate name]:[Rate name]],0),MATCH(Q$10,OP_TotalRates_RES_1[[#Headers],[Ausnet]:[United Energy]],0))*
INDEX(Input_Usage[],MATCH($D11&amp;" - Balance",Input_Usage[[Ref]:[Ref]],0),MATCH($D$7,Inputs!$C$140:$Q$140,0))),0)+
IFERROR((INDEX(OP_TotalRates_RES_1[[Ausnet]:[United Energy]],MATCH("Single rate",OP_TotalRates_RES_1[[Rate name]:[Rate name]],0),MATCH(Q$10,OP_TotalRates_RES_1[[#Headers],[Ausnet]:[United Energy]],0))*
INDEX(Input_Usage[],MATCH($D11&amp;" - Annual",Input_Usage[[Ref]:[Ref]],0),MATCH($D$7,Inputs!$C$140:$Q$140,0))),0)),0),
ROUNDUP(
(INDEX(OP_TotalRates_RES_1[[Ausnet]:[United Energy]],MATCH("TOU - supply",OP_TotalRates_RES_1[[Rate name]:[Rate name]],0),MATCH(Q$10,OP_TotalRates_RES_1[[#Headers],[Ausnet]:[United Energy]],0))*DiY)+
(INDEX(OP_TotalRates_RES_1[[Ausnet]:[United Energy]],MATCH("Peak",OP_TotalRates_RES_1[[Rate name]:[Rate name]],0),MATCH(Q$10,OP_TotalRates_RES_1[[#Headers],[Ausnet]:[United Energy]],0))*
INDEX(Input_Usage[],MATCH($D11&amp;" - Peak",Input_Usage[[Ref]:[Ref]],0),MATCH($D$7,Inputs!$C$140:$Q$140,0)))+
IFERROR((INDEX(OP_TotalRates_RES_1[[Ausnet]:[United Energy]],MATCH("TOU - Shoulder",OP_TotalRates_RES_1[[Rate name]:[Rate name]],0),MATCH(Q$10,OP_TotalRates_RES_1[[#Headers],[Ausnet]:[United Energy]],0))*
INDEX(Input_Usage[],MATCH($D11&amp;" - Shoulder",Input_Usage[[Ref]:[Ref]],0),MATCH($D$7,Inputs!$C$140:$Q$140,0))),0)+
(INDEX(OP_TotalRates_RES_1[[Ausnet]:[United Energy]],MATCH("Off peak",OP_TotalRates_RES_1[[Rate name]:[Rate name]],0),MATCH(Q$10,OP_TotalRates_RES_1[[#Headers],[Ausnet]:[United Energy]],0))*
INDEX(Input_Usage[],MATCH($D11&amp;" - Off peak",Input_Usage[[Ref]:[Ref]],0),MATCH($D$7,Inputs!$C$140:$Q$140,0))),0)),"-")</calculatedColumnFormula>
    </tableColumn>
  </tableColumns>
  <tableStyleInfo name="Defaul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4CBC18-9383-4B2E-A511-0F55943CEE1D}" name="CMAB_RES_2" displayName="CMAB_RES_2" ref="C24:I27" totalsRowShown="0" headerRowDxfId="654" headerRowBorderDxfId="653" tableBorderDxfId="652" totalsRowBorderDxfId="651" headerRowCellStyle="Table col heading">
  <tableColumns count="7">
    <tableColumn id="1" xr3:uid="{A8F78815-AEAC-434F-B06A-A08BC4351EAC}" name="Customer type"/>
    <tableColumn id="2" xr3:uid="{7569B853-B0EF-41A4-A839-E23B991D1B54}" name="Usage profile"/>
    <tableColumn id="3" xr3:uid="{8D8BA29C-1E24-4688-8F81-2395D28FE733}" name="Ausnet">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INDEX(Input_Usage[],MATCH($D25&amp;" - Block 1",Input_Usage[[Ref]:[Ref]],0),MATCH($D$7,Inputs!$C$140:$Q$140,0))),0)+
IFERROR((INDEX(OP_TotalRates_RES_1[[Ausnet]:[United Energy]],MATCH("Balance",OP_TotalRates_RES_1[[Rate name]:[Rate name]],0),MATCH(E$10,OP_TotalRates_RES_1[[#Headers],[Ausnet]:[United Energy]],0))*
INDEX(Input_Usage[],MATCH($D25&amp;" - Balance",Input_Usage[[Ref]:[Ref]],0),MATCH($D$7,Inputs!$C$140:$Q$140,0))),0)+
IFERROR((INDEX(OP_TotalRates_RES_1[[Ausnet]:[United Energy]],MATCH("Single rate",OP_TotalRates_RES_1[[Rate name]:[Rate name]],0),MATCH(E$10,OP_TotalRates_RES_1[[#Headers],[Ausnet]:[United Energy]],0))*
INDEX(Input_Usage[],MATCH($D25&amp;" - Annual",Input_Usage[[Ref]:[Ref]],0),MATCH($D$7,Inputs!$C$140:$Q$140,0))),0)),0),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INDEX(Input_Usage[],MATCH($D25&amp;" - Peak",Input_Usage[[Ref]:[Ref]],0),MATCH($D$7,Inputs!$C$140:$Q$140,0)))+
IFERROR((INDEX(OP_TotalRates_RES_1[[Ausnet]:[United Energy]],MATCH("TOU - Shoulder",OP_TotalRates_RES_1[[Rate name]:[Rate name]],0),MATCH(E$10,OP_TotalRates_RES_1[[#Headers],[Ausnet]:[United Energy]],0))*
INDEX(Input_Usage[],MATCH($D25&amp;" - Shoulder",Input_Usage[[Ref]:[Ref]],0),MATCH($D$7,Inputs!$C$140:$Q$140,0))),0)+
(INDEX(OP_TotalRates_RES_1[[Ausnet]:[United Energy]],MATCH("Off peak",OP_TotalRates_RES_1[[Rate name]:[Rate name]],0),MATCH(E$10,OP_TotalRates_RES_1[[#Headers],[Ausnet]:[United Energy]],0))*
INDEX(Input_Usage[],MATCH($D25&amp;" - Off peak",Input_Usage[[Ref]:[Ref]],0),MATCH($D$7,Inputs!$C$140:$Q$140,0))),0)),"-")</calculatedColumnFormula>
    </tableColumn>
    <tableColumn id="4" xr3:uid="{0D5F9249-2086-4CEA-909D-1923653A76C1}" name="Citipower">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INDEX(Input_Usage[],MATCH($D25&amp;" - Block 1",Input_Usage[[Ref]:[Ref]],0),MATCH($D$7,Inputs!$C$140:$Q$140,0))),0)+
IFERROR((INDEX(OP_TotalRates_RES_1[[Ausnet]:[United Energy]],MATCH("Balance",OP_TotalRates_RES_1[[Rate name]:[Rate name]],0),MATCH(F$10,OP_TotalRates_RES_1[[#Headers],[Ausnet]:[United Energy]],0))*
INDEX(Input_Usage[],MATCH($D25&amp;" - Balance",Input_Usage[[Ref]:[Ref]],0),MATCH($D$7,Inputs!$C$140:$Q$140,0))),0)+
IFERROR((INDEX(OP_TotalRates_RES_1[[Ausnet]:[United Energy]],MATCH("Single rate",OP_TotalRates_RES_1[[Rate name]:[Rate name]],0),MATCH(F$10,OP_TotalRates_RES_1[[#Headers],[Ausnet]:[United Energy]],0))*
INDEX(Input_Usage[],MATCH($D25&amp;" - Annual",Input_Usage[[Ref]:[Ref]],0),MATCH($D$7,Inputs!$C$140:$Q$140,0))),0)),0),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INDEX(Input_Usage[],MATCH($D25&amp;" - Peak",Input_Usage[[Ref]:[Ref]],0),MATCH($D$7,Inputs!$C$140:$Q$140,0)))+
IFERROR((INDEX(OP_TotalRates_RES_1[[Ausnet]:[United Energy]],MATCH("TOU - Shoulder",OP_TotalRates_RES_1[[Rate name]:[Rate name]],0),MATCH(F$10,OP_TotalRates_RES_1[[#Headers],[Ausnet]:[United Energy]],0))*
INDEX(Input_Usage[],MATCH($D25&amp;" - Shoulder",Input_Usage[[Ref]:[Ref]],0),MATCH($D$7,Inputs!$C$140:$Q$140,0))),0)+
(INDEX(OP_TotalRates_RES_1[[Ausnet]:[United Energy]],MATCH("Off peak",OP_TotalRates_RES_1[[Rate name]:[Rate name]],0),MATCH(F$10,OP_TotalRates_RES_1[[#Headers],[Ausnet]:[United Energy]],0))*
INDEX(Input_Usage[],MATCH($D25&amp;" - Off peak",Input_Usage[[Ref]:[Ref]],0),MATCH($D$7,Inputs!$C$140:$Q$140,0))),0)),"-")</calculatedColumnFormula>
    </tableColumn>
    <tableColumn id="5" xr3:uid="{FE2A9689-6847-47AC-BEEF-E289A5A229B5}" name="Jemena">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INDEX(Input_Usage[],MATCH($D25&amp;" - Block 1",Input_Usage[[Ref]:[Ref]],0),MATCH($D$7,Inputs!$C$140:$Q$140,0))),0)+
IFERROR((INDEX(OP_TotalRates_RES_1[[Ausnet]:[United Energy]],MATCH("Balance",OP_TotalRates_RES_1[[Rate name]:[Rate name]],0),MATCH(G$10,OP_TotalRates_RES_1[[#Headers],[Ausnet]:[United Energy]],0))*
INDEX(Input_Usage[],MATCH($D25&amp;" - Balance",Input_Usage[[Ref]:[Ref]],0),MATCH($D$7,Inputs!$C$140:$Q$140,0))),0)+
IFERROR((INDEX(OP_TotalRates_RES_1[[Ausnet]:[United Energy]],MATCH("Single rate",OP_TotalRates_RES_1[[Rate name]:[Rate name]],0),MATCH(G$10,OP_TotalRates_RES_1[[#Headers],[Ausnet]:[United Energy]],0))*
INDEX(Input_Usage[],MATCH($D25&amp;" - Annual",Input_Usage[[Ref]:[Ref]],0),MATCH($D$7,Inputs!$C$140:$Q$140,0))),0)),0),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INDEX(Input_Usage[],MATCH($D25&amp;" - Peak",Input_Usage[[Ref]:[Ref]],0),MATCH($D$7,Inputs!$C$140:$Q$140,0)))+
IFERROR((INDEX(OP_TotalRates_RES_1[[Ausnet]:[United Energy]],MATCH("TOU - Shoulder",OP_TotalRates_RES_1[[Rate name]:[Rate name]],0),MATCH(G$10,OP_TotalRates_RES_1[[#Headers],[Ausnet]:[United Energy]],0))*
INDEX(Input_Usage[],MATCH($D25&amp;" - Shoulder",Input_Usage[[Ref]:[Ref]],0),MATCH($D$7,Inputs!$C$140:$Q$140,0))),0)+
(INDEX(OP_TotalRates_RES_1[[Ausnet]:[United Energy]],MATCH("Off peak",OP_TotalRates_RES_1[[Rate name]:[Rate name]],0),MATCH(G$10,OP_TotalRates_RES_1[[#Headers],[Ausnet]:[United Energy]],0))*
INDEX(Input_Usage[],MATCH($D25&amp;" - Off peak",Input_Usage[[Ref]:[Ref]],0),MATCH($D$7,Inputs!$C$140:$Q$140,0))),0)),"-")</calculatedColumnFormula>
    </tableColumn>
    <tableColumn id="6" xr3:uid="{A6AD0D20-3ABA-4057-BAA3-35F27065C0F2}" name="Powercor">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INDEX(Input_Usage[],MATCH($D25&amp;" - Block 1",Input_Usage[[Ref]:[Ref]],0),MATCH($D$7,Inputs!$C$140:$Q$140,0))),0)+
IFERROR((INDEX(OP_TotalRates_RES_1[[Ausnet]:[United Energy]],MATCH("Balance",OP_TotalRates_RES_1[[Rate name]:[Rate name]],0),MATCH(H$10,OP_TotalRates_RES_1[[#Headers],[Ausnet]:[United Energy]],0))*
INDEX(Input_Usage[],MATCH($D25&amp;" - Balance",Input_Usage[[Ref]:[Ref]],0),MATCH($D$7,Inputs!$C$140:$Q$140,0))),0)+
IFERROR((INDEX(OP_TotalRates_RES_1[[Ausnet]:[United Energy]],MATCH("Single rate",OP_TotalRates_RES_1[[Rate name]:[Rate name]],0),MATCH(H$10,OP_TotalRates_RES_1[[#Headers],[Ausnet]:[United Energy]],0))*
INDEX(Input_Usage[],MATCH($D25&amp;" - Annual",Input_Usage[[Ref]:[Ref]],0),MATCH($D$7,Inputs!$C$140:$Q$140,0))),0)),0),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INDEX(Input_Usage[],MATCH($D25&amp;" - Peak",Input_Usage[[Ref]:[Ref]],0),MATCH($D$7,Inputs!$C$140:$Q$140,0)))+
IFERROR((INDEX(OP_TotalRates_RES_1[[Ausnet]:[United Energy]],MATCH("TOU - Shoulder",OP_TotalRates_RES_1[[Rate name]:[Rate name]],0),MATCH(H$10,OP_TotalRates_RES_1[[#Headers],[Ausnet]:[United Energy]],0))*
INDEX(Input_Usage[],MATCH($D25&amp;" - Shoulder",Input_Usage[[Ref]:[Ref]],0),MATCH($D$7,Inputs!$C$140:$Q$140,0))),0)+
(INDEX(OP_TotalRates_RES_1[[Ausnet]:[United Energy]],MATCH("Off peak",OP_TotalRates_RES_1[[Rate name]:[Rate name]],0),MATCH(H$10,OP_TotalRates_RES_1[[#Headers],[Ausnet]:[United Energy]],0))*
INDEX(Input_Usage[],MATCH($D25&amp;" - Off peak",Input_Usage[[Ref]:[Ref]],0),MATCH($D$7,Inputs!$C$140:$Q$140,0))),0)),"-")</calculatedColumnFormula>
    </tableColumn>
    <tableColumn id="7" xr3:uid="{B2B5B815-02E0-4F29-934A-9D7CE200BE7C}" name="United Energy">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INDEX(Input_Usage[],MATCH($D25&amp;" - Block 1",Input_Usage[[Ref]:[Ref]],0),MATCH($D$7,Inputs!$C$140:$Q$140,0))),0)+
IFERROR((INDEX(OP_TotalRates_RES_1[[Ausnet]:[United Energy]],MATCH("Balance",OP_TotalRates_RES_1[[Rate name]:[Rate name]],0),MATCH(I$10,OP_TotalRates_RES_1[[#Headers],[Ausnet]:[United Energy]],0))*
INDEX(Input_Usage[],MATCH($D25&amp;" - Balance",Input_Usage[[Ref]:[Ref]],0),MATCH($D$7,Inputs!$C$140:$Q$140,0))),0)+
IFERROR((INDEX(OP_TotalRates_RES_1[[Ausnet]:[United Energy]],MATCH("Single rate",OP_TotalRates_RES_1[[Rate name]:[Rate name]],0),MATCH(I$10,OP_TotalRates_RES_1[[#Headers],[Ausnet]:[United Energy]],0))*
INDEX(Input_Usage[],MATCH($D25&amp;" - Annual",Input_Usage[[Ref]:[Ref]],0),MATCH($D$7,Inputs!$C$140:$Q$140,0))),0)),0),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INDEX(Input_Usage[],MATCH($D25&amp;" - Peak",Input_Usage[[Ref]:[Ref]],0),MATCH($D$7,Inputs!$C$140:$Q$140,0)))+
IFERROR((INDEX(OP_TotalRates_RES_1[[Ausnet]:[United Energy]],MATCH("TOU - Shoulder",OP_TotalRates_RES_1[[Rate name]:[Rate name]],0),MATCH(I$10,OP_TotalRates_RES_1[[#Headers],[Ausnet]:[United Energy]],0))*
INDEX(Input_Usage[],MATCH($D25&amp;" - Shoulder",Input_Usage[[Ref]:[Ref]],0),MATCH($D$7,Inputs!$C$140:$Q$140,0))),0)+
(INDEX(OP_TotalRates_RES_1[[Ausnet]:[United Energy]],MATCH("Off peak",OP_TotalRates_RES_1[[Rate name]:[Rate name]],0),MATCH(I$10,OP_TotalRates_RES_1[[#Headers],[Ausnet]:[United Energy]],0))*
INDEX(Input_Usage[],MATCH($D25&amp;" - Off peak",Input_Usage[[Ref]:[Ref]],0),MATCH($D$7,Inputs!$C$140:$Q$140,0))),0)),"-")</calculatedColumnFormula>
    </tableColumn>
  </tableColumns>
  <tableStyleInfo name="Defaul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B6EB15-85B8-4ABE-85ED-496C073FF8CC}" name="CMAB_SME_2" displayName="CMAB_SME_2" ref="K24:Q27" totalsRowShown="0" headerRowDxfId="650" headerRowBorderDxfId="649" tableBorderDxfId="648" totalsRowBorderDxfId="647" headerRowCellStyle="Table col heading">
  <tableColumns count="7">
    <tableColumn id="1" xr3:uid="{EB6D28E3-1A73-4D41-A3B3-303EF3024DE7}" name="Customer type"/>
    <tableColumn id="2" xr3:uid="{CA13CB67-97D3-4228-93C6-A787A23F3C77}" name="Usage profile"/>
    <tableColumn id="3" xr3:uid="{BFA9E2A1-209A-4C28-9214-5A6338FB6F5D}" name="Ausnet" dataDxfId="646" dataCellStyle="Table cell">
      <calculatedColumnFormula>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INDEX(Input_Usage[],MATCH($L25&amp;" - Block 1",Input_Usage[[Ref]:[Ref]],0),MATCH($D$7,Inputs!$C$140:$Q$140,0))),0)+
IFERROR((INDEX(OP_TotalRates_SME_1[[Ausnet]:[United Energy]],MATCH("Balance",OP_TotalRates_SME_1[[Rate name]:[Rate name]],0),MATCH(M$10,OP_TotalRates_SME_1[[#Headers],[Ausnet]:[United Energy]],0))*
INDEX(Input_Usage[],MATCH($L25&amp;" - Balance",Input_Usage[[Ref]:[Ref]],0),MATCH($D$7,Inputs!$C$140:$Q$140,0))),0)+
IFERROR((INDEX(OP_TotalRates_SME_1[[Ausnet]:[United Energy]],MATCH("Single rate",OP_TotalRates_SME_1[[Rate name]:[Rate name]],0),MATCH(M$10,OP_TotalRates_SME_1[[#Headers],[Ausnet]:[United Energy]],0))*
INDEX(Input_Usage[],MATCH($L25&amp;" - Annual",Input_Usage[[Ref]:[Ref]],0),MATCH($D$7,Inputs!$C$140:$Q$140,0))),0)),0),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INDEX(Input_Usage[],MATCH($L25&amp;" - Peak",Input_Usage[[Ref]:[Ref]],0),MATCH($D$7,Inputs!$C$140:$Q$140,0)))+
IFERROR((INDEX(OP_TotalRates_SME_1[[Ausnet]:[United Energy]],MATCH("TOU - Shoulder",OP_TotalRates_SME_1[[Rate name]:[Rate name]],0),MATCH(M$10,OP_TotalRates_SME_1[[#Headers],[Ausnet]:[United Energy]],0))*
INDEX(Input_Usage[],MATCH($L25&amp;" - Shoulder",Input_Usage[[Ref]:[Ref]],0),MATCH($D$7,Inputs!$C$140:$Q$140,0))),0)+
(INDEX(OP_TotalRates_SME_1[[Ausnet]:[United Energy]],MATCH("Off peak",OP_TotalRates_SME_1[[Rate name]:[Rate name]],0),MATCH(M$10,OP_TotalRates_SME_1[[#Headers],[Ausnet]:[United Energy]],0))*
INDEX(Input_Usage[],MATCH($L25&amp;" - Off peak",Input_Usage[[Ref]:[Ref]],0),MATCH($D$7,Inputs!$C$140:$Q$140,0))),0)),"-")</calculatedColumnFormula>
    </tableColumn>
    <tableColumn id="4" xr3:uid="{F0FD9595-8EE1-48EF-9F82-FA7DBD8C7508}" name="Citipower">
      <calculatedColumnFormula>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INDEX(Input_Usage[],MATCH($L25&amp;" - Block 1",Input_Usage[[Ref]:[Ref]],0),MATCH($D$7,Inputs!$C$140:$Q$140,0))),0)+
IFERROR((INDEX(OP_TotalRates_SME_1[[Ausnet]:[United Energy]],MATCH("Balance",OP_TotalRates_SME_1[[Rate name]:[Rate name]],0),MATCH(N$10,OP_TotalRates_SME_1[[#Headers],[Ausnet]:[United Energy]],0))*
INDEX(Input_Usage[],MATCH($L25&amp;" - Balance",Input_Usage[[Ref]:[Ref]],0),MATCH($D$7,Inputs!$C$140:$Q$140,0))),0)+
IFERROR((INDEX(OP_TotalRates_SME_1[[Ausnet]:[United Energy]],MATCH("Single rate",OP_TotalRates_SME_1[[Rate name]:[Rate name]],0),MATCH(N$10,OP_TotalRates_SME_1[[#Headers],[Ausnet]:[United Energy]],0))*
INDEX(Input_Usage[],MATCH($L25&amp;" - Annual",Input_Usage[[Ref]:[Ref]],0),MATCH($D$7,Inputs!$C$140:$Q$140,0))),0)),0),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INDEX(Input_Usage[],MATCH($L25&amp;" - Peak",Input_Usage[[Ref]:[Ref]],0),MATCH($D$7,Inputs!$C$140:$Q$140,0)))+
IFERROR((INDEX(OP_TotalRates_SME_1[[Ausnet]:[United Energy]],MATCH("TOU - Shoulder",OP_TotalRates_SME_1[[Rate name]:[Rate name]],0),MATCH(N$10,OP_TotalRates_SME_1[[#Headers],[Ausnet]:[United Energy]],0))*
INDEX(Input_Usage[],MATCH($L25&amp;" - Shoulder",Input_Usage[[Ref]:[Ref]],0),MATCH($D$7,Inputs!$C$140:$Q$140,0))),0)+
(INDEX(OP_TotalRates_SME_1[[Ausnet]:[United Energy]],MATCH("Off peak",OP_TotalRates_SME_1[[Rate name]:[Rate name]],0),MATCH(N$10,OP_TotalRates_SME_1[[#Headers],[Ausnet]:[United Energy]],0))*
INDEX(Input_Usage[],MATCH($L25&amp;" - Off peak",Input_Usage[[Ref]:[Ref]],0),MATCH($D$7,Inputs!$C$140:$Q$140,0))),0)),"-")</calculatedColumnFormula>
    </tableColumn>
    <tableColumn id="5" xr3:uid="{A1C73988-CF22-4DE8-B89F-4E0985EF1E42}" name="Jemena">
      <calculatedColumnFormula>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INDEX(Input_Usage[],MATCH($L25&amp;" - Block 1",Input_Usage[[Ref]:[Ref]],0),MATCH($D$7,Inputs!$C$140:$Q$140,0))),0)+
IFERROR((INDEX(OP_TotalRates_SME_1[[Ausnet]:[United Energy]],MATCH("Balance",OP_TotalRates_SME_1[[Rate name]:[Rate name]],0),MATCH(O$10,OP_TotalRates_SME_1[[#Headers],[Ausnet]:[United Energy]],0))*
INDEX(Input_Usage[],MATCH($L25&amp;" - Balance",Input_Usage[[Ref]:[Ref]],0),MATCH($D$7,Inputs!$C$140:$Q$140,0))),0)+
IFERROR((INDEX(OP_TotalRates_SME_1[[Ausnet]:[United Energy]],MATCH("Single rate",OP_TotalRates_SME_1[[Rate name]:[Rate name]],0),MATCH(O$10,OP_TotalRates_SME_1[[#Headers],[Ausnet]:[United Energy]],0))*
INDEX(Input_Usage[],MATCH($L25&amp;" - Annual",Input_Usage[[Ref]:[Ref]],0),MATCH($D$7,Inputs!$C$140:$Q$140,0))),0)),0),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INDEX(Input_Usage[],MATCH($L25&amp;" - Peak",Input_Usage[[Ref]:[Ref]],0),MATCH($D$7,Inputs!$C$140:$Q$140,0)))+
IFERROR((INDEX(OP_TotalRates_SME_1[[Ausnet]:[United Energy]],MATCH("TOU - Shoulder",OP_TotalRates_SME_1[[Rate name]:[Rate name]],0),MATCH(O$10,OP_TotalRates_SME_1[[#Headers],[Ausnet]:[United Energy]],0))*
INDEX(Input_Usage[],MATCH($L25&amp;" - Shoulder",Input_Usage[[Ref]:[Ref]],0),MATCH($D$7,Inputs!$C$140:$Q$140,0))),0)+
(INDEX(OP_TotalRates_SME_1[[Ausnet]:[United Energy]],MATCH("Off peak",OP_TotalRates_SME_1[[Rate name]:[Rate name]],0),MATCH(O$10,OP_TotalRates_SME_1[[#Headers],[Ausnet]:[United Energy]],0))*
INDEX(Input_Usage[],MATCH($L25&amp;" - Off peak",Input_Usage[[Ref]:[Ref]],0),MATCH($D$7,Inputs!$C$140:$Q$140,0))),0)),"-")</calculatedColumnFormula>
    </tableColumn>
    <tableColumn id="6" xr3:uid="{E32519FF-66CE-4885-AE63-4D241C844B94}" name="Powercor">
      <calculatedColumnFormula>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INDEX(Input_Usage[],MATCH($L25&amp;" - Block 1",Input_Usage[[Ref]:[Ref]],0),MATCH($D$7,Inputs!$C$140:$Q$140,0))),0)+
IFERROR((INDEX(OP_TotalRates_SME_1[[Ausnet]:[United Energy]],MATCH("Balance",OP_TotalRates_SME_1[[Rate name]:[Rate name]],0),MATCH(P$10,OP_TotalRates_SME_1[[#Headers],[Ausnet]:[United Energy]],0))*
INDEX(Input_Usage[],MATCH($L25&amp;" - Balance",Input_Usage[[Ref]:[Ref]],0),MATCH($D$7,Inputs!$C$140:$Q$140,0))),0)+
IFERROR((INDEX(OP_TotalRates_SME_1[[Ausnet]:[United Energy]],MATCH("Single rate",OP_TotalRates_SME_1[[Rate name]:[Rate name]],0),MATCH(P$10,OP_TotalRates_SME_1[[#Headers],[Ausnet]:[United Energy]],0))*
INDEX(Input_Usage[],MATCH($L25&amp;" - Annual",Input_Usage[[Ref]:[Ref]],0),MATCH($D$7,Inputs!$C$140:$Q$140,0))),0)),0),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INDEX(Input_Usage[],MATCH($L25&amp;" - Peak",Input_Usage[[Ref]:[Ref]],0),MATCH($D$7,Inputs!$C$140:$Q$140,0)))+
IFERROR((INDEX(OP_TotalRates_SME_1[[Ausnet]:[United Energy]],MATCH("TOU - Shoulder",OP_TotalRates_SME_1[[Rate name]:[Rate name]],0),MATCH(P$10,OP_TotalRates_SME_1[[#Headers],[Ausnet]:[United Energy]],0))*
INDEX(Input_Usage[],MATCH($L25&amp;" - Shoulder",Input_Usage[[Ref]:[Ref]],0),MATCH($D$7,Inputs!$C$140:$Q$140,0))),0)+
(INDEX(OP_TotalRates_SME_1[[Ausnet]:[United Energy]],MATCH("Off peak",OP_TotalRates_SME_1[[Rate name]:[Rate name]],0),MATCH(P$10,OP_TotalRates_SME_1[[#Headers],[Ausnet]:[United Energy]],0))*
INDEX(Input_Usage[],MATCH($L25&amp;" - Off peak",Input_Usage[[Ref]:[Ref]],0),MATCH($D$7,Inputs!$C$140:$Q$140,0))),0)),"-")</calculatedColumnFormula>
    </tableColumn>
    <tableColumn id="7" xr3:uid="{D4FA680B-83F1-49AE-83A4-2615571ED201}" name="United Energy">
      <calculatedColumnFormula>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INDEX(Input_Usage[],MATCH($L25&amp;" - Block 1",Input_Usage[[Ref]:[Ref]],0),MATCH($D$7,Inputs!$C$140:$Q$140,0))),0)+
IFERROR((INDEX(OP_TotalRates_SME_1[[Ausnet]:[United Energy]],MATCH("Balance",OP_TotalRates_SME_1[[Rate name]:[Rate name]],0),MATCH(Q$10,OP_TotalRates_SME_1[[#Headers],[Ausnet]:[United Energy]],0))*
INDEX(Input_Usage[],MATCH($L25&amp;" - Balance",Input_Usage[[Ref]:[Ref]],0),MATCH($D$7,Inputs!$C$140:$Q$140,0))),0)+
IFERROR((INDEX(OP_TotalRates_SME_1[[Ausnet]:[United Energy]],MATCH("Single rate",OP_TotalRates_SME_1[[Rate name]:[Rate name]],0),MATCH(Q$10,OP_TotalRates_SME_1[[#Headers],[Ausnet]:[United Energy]],0))*
INDEX(Input_Usage[],MATCH($L25&amp;" - Annual",Input_Usage[[Ref]:[Ref]],0),MATCH($D$7,Inputs!$C$140:$Q$140,0))),0)),0),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INDEX(Input_Usage[],MATCH($L25&amp;" - Peak",Input_Usage[[Ref]:[Ref]],0),MATCH($D$7,Inputs!$C$140:$Q$140,0)))+
IFERROR((INDEX(OP_TotalRates_SME_1[[Ausnet]:[United Energy]],MATCH("TOU - Shoulder",OP_TotalRates_SME_1[[Rate name]:[Rate name]],0),MATCH(Q$10,OP_TotalRates_SME_1[[#Headers],[Ausnet]:[United Energy]],0))*
INDEX(Input_Usage[],MATCH($L25&amp;" - Shoulder",Input_Usage[[Ref]:[Ref]],0),MATCH($D$7,Inputs!$C$140:$Q$140,0))),0)+
(INDEX(OP_TotalRates_SME_1[[Ausnet]:[United Energy]],MATCH("Off peak",OP_TotalRates_SME_1[[Rate name]:[Rate name]],0),MATCH(Q$10,OP_TotalRates_SME_1[[#Headers],[Ausnet]:[United Energy]],0))*
INDEX(Input_Usage[],MATCH($L25&amp;" - Off peak",Input_Usage[[Ref]:[Ref]],0),MATCH($D$7,Inputs!$C$140:$Q$140,0))),0)),"-")</calculatedColumnFormula>
    </tableColumn>
  </tableColumns>
  <tableStyleInfo name="Default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B53101A-D2AE-4C04-9003-1927D0C0F94A}" name="CostStackCalcs_RES_1" displayName="CostStackCalcs_RES_1" ref="C54:I66" totalsRowShown="0" headerRowDxfId="645" dataDxfId="643" headerRowBorderDxfId="644" tableBorderDxfId="642" totalsRowBorderDxfId="641" headerRowCellStyle="Table col heading" dataCellStyle="Table cell">
  <tableColumns count="7">
    <tableColumn id="1" xr3:uid="{564D6670-A8F1-4034-BA3F-D9AB1104267E}" name="Labels" totalsRowDxfId="640" dataCellStyle="Table cell" totalsRowCellStyle="Table cell"/>
    <tableColumn id="2" xr3:uid="{9AE04DDC-726F-4CF6-9958-16BF34492140}" name="Ausnet" dataDxfId="639" totalsRowDxfId="638" dataCellStyle="Table cell" totalsRowCellStyle="Table cell"/>
    <tableColumn id="3" xr3:uid="{A7D22949-9CF5-4C3D-A07B-4864AA67E474}" name="Citipower" dataDxfId="637" totalsRowDxfId="636" dataCellStyle="Table cell" totalsRowCellStyle="Table cell"/>
    <tableColumn id="4" xr3:uid="{6772E632-AF84-4C31-AB3C-D4DA0F565DA1}" name="Jemena" dataDxfId="635" totalsRowDxfId="634" dataCellStyle="Table cell" totalsRowCellStyle="Table cell"/>
    <tableColumn id="5" xr3:uid="{69034837-AA15-4693-B139-9050083E6533}" name="Powercor" dataDxfId="633" totalsRowDxfId="632" dataCellStyle="Table cell" totalsRowCellStyle="Table cell"/>
    <tableColumn id="6" xr3:uid="{2D75C433-BC89-4215-9E9F-CD94EF5BD9B5}" name="United Energy" dataDxfId="631" totalsRowDxfId="630" dataCellStyle="Table cell" totalsRowCellStyle="Table cell"/>
    <tableColumn id="7" xr3:uid="{F7480DD2-1EBB-43BB-A030-A1C30715193E}" name="Average" dataDxfId="629" totalsRowDxfId="628" dataCellStyle="Table cell" totalsRowCellStyle="Table cell">
      <calculatedColumnFormula>AVERAGE(D55:H55)</calculatedColumnFormula>
    </tableColumn>
  </tableColumns>
  <tableStyleInfo name="Default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D056FA2-050E-4CCB-9059-A6211E9EF368}" name="CostStackCalcs_RES_2" displayName="CostStackCalcs_RES_2" ref="K54:Q66" totalsRowShown="0" headerRowDxfId="627" dataDxfId="625" headerRowBorderDxfId="626" tableBorderDxfId="624" totalsRowBorderDxfId="623" headerRowCellStyle="Table col heading" dataCellStyle="Table cell">
  <tableColumns count="7">
    <tableColumn id="1" xr3:uid="{05460FA1-7FF2-41D8-A33F-6AC6370A2775}" name="Labels" dataCellStyle="Table cell"/>
    <tableColumn id="2" xr3:uid="{1179068F-C45D-4B96-9A01-DA60BDCEA033}" name="Ausnet" dataDxfId="622" dataCellStyle="Table cell"/>
    <tableColumn id="3" xr3:uid="{B6F19607-6C62-4D44-9C57-8E52AAA3FF9E}" name="Citipower" dataDxfId="621" dataCellStyle="Table cell"/>
    <tableColumn id="4" xr3:uid="{529F47D9-03B2-4D6F-A305-40C286983C2B}" name="Jemena" dataDxfId="620" dataCellStyle="Table cell"/>
    <tableColumn id="5" xr3:uid="{401B3496-8EC2-44BE-B42F-5598B334610F}" name="Powercor" dataDxfId="619" dataCellStyle="Table cell"/>
    <tableColumn id="6" xr3:uid="{41E89B3D-C334-490F-8008-1F4C10F7FC4F}" name="United Energy" dataDxfId="618" dataCellStyle="Table cell"/>
    <tableColumn id="7" xr3:uid="{36CF4A69-93EC-4659-A207-1B12894C4139}" name="Average" dataDxfId="617" dataCellStyle="Table cell">
      <calculatedColumnFormula>AVERAGE(L55:P55)</calculatedColumnFormula>
    </tableColumn>
  </tableColumns>
  <tableStyleInfo name="Default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DD55F98-D11C-4804-A382-AE5DFFDDB5D9}" name="CostStackCalcs_SME_2" displayName="CostStackCalcs_SME_2" ref="K54:Q66" totalsRowShown="0" headerRowDxfId="616" dataDxfId="614" headerRowBorderDxfId="615" tableBorderDxfId="613" totalsRowBorderDxfId="612" headerRowCellStyle="Table col heading" dataCellStyle="Table cell">
  <tableColumns count="7">
    <tableColumn id="1" xr3:uid="{3A0069AF-04C2-47D1-871A-3BF5624491FA}" name="Labels" dataCellStyle="Table cell"/>
    <tableColumn id="2" xr3:uid="{69AA08BD-EACA-4DC7-BDFF-BAD7585216E2}" name="Ausnet" dataDxfId="611" dataCellStyle="Table cell"/>
    <tableColumn id="3" xr3:uid="{7E412052-BF3C-411F-A1F6-C6569CABC2C6}" name="Citipower" dataDxfId="610" dataCellStyle="Table cell"/>
    <tableColumn id="4" xr3:uid="{2CDF04B2-A185-45CD-B4DD-BF2E34071807}" name="Jemena" dataDxfId="609" dataCellStyle="Table cell"/>
    <tableColumn id="5" xr3:uid="{59E65CA8-F8A4-41D4-BDB5-8D1EC56846B8}" name="Powercor" dataDxfId="608" dataCellStyle="Table cell"/>
    <tableColumn id="6" xr3:uid="{1EF39458-D534-4F1E-A5D0-7645A9EEF1A9}" name="United Energy" dataDxfId="607" dataCellStyle="Table cell"/>
    <tableColumn id="7" xr3:uid="{01F6A29E-B62C-4CB5-8FD1-13B1C03E9025}" name="Average" dataDxfId="606" dataCellStyle="Table cell">
      <calculatedColumnFormula>AVERAGE(L55:P55)</calculatedColumnFormula>
    </tableColumn>
  </tableColumns>
  <tableStyleInfo name="Default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82B3CB9-ACDA-412B-8F50-C1DA49771428}" name="CostStackCalcs_SME_1" displayName="CostStackCalcs_SME_1" ref="C54:I66" totalsRowShown="0" headerRowDxfId="605" dataDxfId="603" headerRowBorderDxfId="604" tableBorderDxfId="602" totalsRowBorderDxfId="601" headerRowCellStyle="Table col heading" dataCellStyle="Table cell">
  <tableColumns count="7">
    <tableColumn id="1" xr3:uid="{21F21068-5483-4682-9D9A-E8604CAFAD24}" name="Labels" totalsRowDxfId="600" dataCellStyle="Table cell" totalsRowCellStyle="Table cell"/>
    <tableColumn id="2" xr3:uid="{C9377D09-D82B-4EA3-B3CA-6962C8B764E7}" name="Ausnet" dataDxfId="599" totalsRowDxfId="598" dataCellStyle="Table cell" totalsRowCellStyle="Table cell"/>
    <tableColumn id="3" xr3:uid="{F2E30495-3376-48F4-B432-B0CE1A012B1F}" name="Citipower" dataDxfId="597" totalsRowDxfId="596" dataCellStyle="Table cell" totalsRowCellStyle="Table cell"/>
    <tableColumn id="4" xr3:uid="{D0D08484-AD50-4C6F-8463-1A5AC1A02C4B}" name="Jemena" dataDxfId="595" totalsRowDxfId="594" dataCellStyle="Table cell" totalsRowCellStyle="Table cell"/>
    <tableColumn id="5" xr3:uid="{6C639B00-967A-488C-B12E-133130BB26F6}" name="Powercor" dataDxfId="593" totalsRowDxfId="592" dataCellStyle="Table cell" totalsRowCellStyle="Table cell"/>
    <tableColumn id="6" xr3:uid="{B5DACD6F-5AA6-49B7-82D5-1E519A3E00C5}" name="United Energy" dataDxfId="591" totalsRowDxfId="590" dataCellStyle="Table cell" totalsRowCellStyle="Table cell"/>
    <tableColumn id="7" xr3:uid="{5F133CD7-1829-4F04-BBF7-00183158E218}" name="Average" dataDxfId="589" totalsRowDxfId="588" dataCellStyle="Table cell" totalsRowCellStyle="Table cell">
      <calculatedColumnFormula>AVERAGE(D55:H55)</calculatedColumnFormula>
    </tableColumn>
  </tableColumns>
  <tableStyleInfo name="Default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F69034F-F8D5-476B-8CD7-F6ADA8793FD6}" name="CostStackCalcs_SME_4" displayName="CostStackCalcs_SME_4" ref="K54:Q66" totalsRowShown="0" headerRowDxfId="587" dataDxfId="585" headerRowBorderDxfId="586" tableBorderDxfId="584" totalsRowBorderDxfId="583" headerRowCellStyle="Table col heading" dataCellStyle="Table cell">
  <tableColumns count="7">
    <tableColumn id="1" xr3:uid="{56E6B4D7-92AB-4643-888A-D1CDF0EC03F5}" name="Labels" dataCellStyle="Table cell"/>
    <tableColumn id="2" xr3:uid="{12A49B7C-4DAD-4C15-8E1F-9765956876BC}" name="Ausnet" dataDxfId="582" dataCellStyle="Table cell"/>
    <tableColumn id="3" xr3:uid="{2C126F6C-4EEA-47AA-A07F-979D34338EFB}" name="Citipower" dataDxfId="581" dataCellStyle="Table cell"/>
    <tableColumn id="4" xr3:uid="{03A4A720-915F-4E99-918A-F60390BFBF55}" name="Jemena" dataDxfId="580" dataCellStyle="Table cell"/>
    <tableColumn id="5" xr3:uid="{F39277D2-DF93-4C43-BAC9-84BA49393781}" name="Powercor" dataDxfId="579" dataCellStyle="Table cell"/>
    <tableColumn id="6" xr3:uid="{F1450545-60A5-416F-AAAE-8DC508229E24}" name="United Energy" dataDxfId="578" dataCellStyle="Table cell"/>
    <tableColumn id="7" xr3:uid="{F527462D-05FD-4072-8086-6626633E6B75}" name="Average" dataDxfId="577" dataCellStyle="Table cell">
      <calculatedColumnFormula>AVERAGE(L55:P55)</calculatedColumnFormula>
    </tableColumn>
  </tableColumns>
  <tableStyleInfo name="Default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85217A2-A2E5-4260-9F98-E76F77976B21}" name="CostStackCalcs_SME_3" displayName="CostStackCalcs_SME_3" ref="C54:I66" totalsRowShown="0" headerRowDxfId="576" dataDxfId="574" headerRowBorderDxfId="575" tableBorderDxfId="573" totalsRowBorderDxfId="572" headerRowCellStyle="Table col heading" dataCellStyle="Table cell">
  <tableColumns count="7">
    <tableColumn id="1" xr3:uid="{368012F4-5046-400B-9AEA-1242893234F9}" name="Labels" totalsRowDxfId="571" dataCellStyle="Table cell" totalsRowCellStyle="Table cell"/>
    <tableColumn id="2" xr3:uid="{77220598-0988-4037-8EFE-5EFB815EEDAC}" name="Ausnet" dataDxfId="570" totalsRowDxfId="569" dataCellStyle="Table cell" totalsRowCellStyle="Table cell"/>
    <tableColumn id="3" xr3:uid="{FCC91A9C-C8B4-41FF-BBFC-9C7BA98EDA4A}" name="Citipower" dataDxfId="568" totalsRowDxfId="567" dataCellStyle="Table cell" totalsRowCellStyle="Table cell"/>
    <tableColumn id="4" xr3:uid="{4D8FCB5C-D2FE-4C94-AC0D-CC71363B01FA}" name="Jemena" dataDxfId="566" totalsRowDxfId="565" dataCellStyle="Table cell" totalsRowCellStyle="Table cell"/>
    <tableColumn id="5" xr3:uid="{BB2FAE67-5AA8-4ABA-8F0F-76A4159DA058}" name="Powercor" dataDxfId="564" totalsRowDxfId="563" dataCellStyle="Table cell" totalsRowCellStyle="Table cell"/>
    <tableColumn id="6" xr3:uid="{8E7D852F-0C21-4F58-BA7C-7E51CD199E90}" name="United Energy" dataDxfId="562" totalsRowDxfId="561" dataCellStyle="Table cell" totalsRowCellStyle="Table cell"/>
    <tableColumn id="7" xr3:uid="{6BC3ABF4-3C13-4BC6-B184-31EAAED21F6A}" name="Average" dataDxfId="560" totalsRowDxfId="559" dataCellStyle="Table cell" totalsRowCellStyle="Table cell">
      <calculatedColumnFormula>AVERAGE(D55:H55)</calculatedColumnFormula>
    </tableColumn>
  </tableColumns>
  <tableStyleInfo name="Default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CA320-6B21-4206-97D5-A5D7F802DD0F}" name="Input_ForRateCalc" displayName="Input_ForRateCalc" ref="C10:Z134" totalsRowShown="0" tableBorderDxfId="558" totalsRowBorderDxfId="557" headerRowCellStyle="Table col heading" dataCellStyle="Table cell">
  <autoFilter ref="C10:Z134" xr:uid="{EF0CA320-6B21-4206-97D5-A5D7F802DD0F}"/>
  <tableColumns count="24">
    <tableColumn id="1" xr3:uid="{6FF7576B-C0F4-4642-91C7-CDE91D19F3FC}" name="Cost element" dataCellStyle="Table cell"/>
    <tableColumn id="2" xr3:uid="{3E9E5691-2790-4800-A001-FB9B30AEDE59}" name="Cost item" dataCellStyle="Table cell"/>
    <tableColumn id="3" xr3:uid="{54D809A2-64C6-4A88-80A0-2E0B0AA01C18}" name="Fixed/Variable" dataCellStyle="Table cell"/>
    <tableColumn id="4" xr3:uid="{FB95BD42-C055-4EA9-8F55-291F37426B18}" name="Unit" dataDxfId="556" dataCellStyle="Table cell"/>
    <tableColumn id="12" xr3:uid="{5E2B3B73-6771-45B4-82B8-0AA35BD8F705}" name="Customer type" dataDxfId="555" dataCellStyle="Table cell"/>
    <tableColumn id="6" xr3:uid="{DF24FCA2-F0DF-4144-8F1B-F3129138F4F5}" name="F-PreviousVDO_InputDate" dataDxfId="554" dataCellStyle="Hard-coded"/>
    <tableColumn id="7" xr3:uid="{FEEE9B98-F1B9-4BCE-9D75-0B157C256B9D}" name="F-PreviousVDO_Input" dataDxfId="553" dataCellStyle="Hard-coded"/>
    <tableColumn id="15" xr3:uid="{6D1A57CC-2A5F-4FB3-AF79-9C864D73D509}" name="VD-PreviousVDO_InputDate" dataDxfId="552" dataCellStyle="Hard-coded"/>
    <tableColumn id="5" xr3:uid="{6D90D13D-7691-408E-920D-28F33BBC643F}" name="VD-PreviousVDO_Input" dataDxfId="551" dataCellStyle="Hard-coded"/>
    <tableColumn id="8" xr3:uid="{BB001EDA-14C6-46F4-A3C8-E04970BC08B1}" name="VF-PreviousVDO_InputDate" dataDxfId="550" dataCellStyle="Input"/>
    <tableColumn id="9" xr3:uid="{302B1A04-0D91-4254-A1B4-2AB36404D5F0}" name="VF-PreviousVDO_Input" dataDxfId="549" dataCellStyle="Input"/>
    <tableColumn id="10" xr3:uid="{2436021E-5060-4C27-B7E4-385ED60FB6EE}" name="D-PreviousVDO_InputDate" dataDxfId="548" dataCellStyle="Input"/>
    <tableColumn id="11" xr3:uid="{43EE2DE0-3DFA-4DE9-ADDA-BFF46482A280}" name="D-PreviousVDO_Input" dataDxfId="547" dataCellStyle="Input"/>
    <tableColumn id="13" xr3:uid="{B112B93D-14AA-4188-8F83-F4632E3F87B4}" name="F-PreviousVDO_InputDate2" dataDxfId="546" dataCellStyle="Input"/>
    <tableColumn id="14" xr3:uid="{A72BF82C-154B-4AC9-94D3-5ABCF1780432}" name="F-PreviousVDO_Input2" dataDxfId="545" dataCellStyle="Input"/>
    <tableColumn id="16" xr3:uid="{C3200C27-3D9E-40EE-91BB-A7D148D90B40}" name="D-CurrentVDO_InputDate" dataDxfId="544" dataCellStyle="Input"/>
    <tableColumn id="17" xr3:uid="{02D71021-0274-4B3D-BF3C-EA419DDC2411}" name="D-CurrentVDO_Input" dataDxfId="543" dataCellStyle="Input"/>
    <tableColumn id="18" xr3:uid="{EF0422F6-3FE3-472A-AA92-DA9E94E9F107}" name="F-CurrentVDO_InputDate" dataDxfId="542" dataCellStyle="Input"/>
    <tableColumn id="19" xr3:uid="{FBD0015D-FE84-47B9-986B-16AB073C36A1}" name="F-CurrentVDO_Input" dataDxfId="541" dataCellStyle="Input"/>
    <tableColumn id="20" xr3:uid="{DA5E7DBB-575E-45FB-8A80-D2F4868AF00B}" name="D-NextVDO_InputDate" dataDxfId="540" dataCellStyle="Input"/>
    <tableColumn id="21" xr3:uid="{298A0794-4500-42AF-8E90-132C2B9F6D02}" name="D-NextVDO_Input" dataDxfId="539" dataCellStyle="Input"/>
    <tableColumn id="22" xr3:uid="{04B9D19D-D3C3-4ADB-8452-B7B66C1BF2FE}" name="F-NextVDO_InputDate" dataDxfId="538" dataCellStyle="Input"/>
    <tableColumn id="23" xr3:uid="{E0C3FDC7-6168-47C0-8A8D-D645C4F64871}" name="F-NextVDO_Input" dataDxfId="537" dataCellStyle="Input"/>
    <tableColumn id="24" xr3:uid="{B2242DDC-A62F-4C22-B820-D44D582BBFE1}" name="Column1" dataCellStyle="Table cell"/>
  </tableColumns>
  <tableStyleInfo name="Default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96751-A1E6-4DEE-B2B9-0F040E8F63EF}" name="Input_Usage" displayName="Input_Usage" ref="C142:Q179" totalsRowShown="0" headerRowDxfId="536" headerRowBorderDxfId="535" tableBorderDxfId="534" headerRowCellStyle="Table col heading">
  <autoFilter ref="C142:Q179" xr:uid="{A8CBA6DB-0725-4AA8-918D-36864191E63C}">
    <filterColumn colId="0">
      <filters>
        <filter val="Residential - medium"/>
        <filter val="Small business - medium"/>
      </filters>
    </filterColumn>
  </autoFilter>
  <tableColumns count="15">
    <tableColumn id="1" xr3:uid="{59724C2C-A166-49CF-BDB5-A76DD8676FC3}" name="Profile name" dataCellStyle="Table cell"/>
    <tableColumn id="2" xr3:uid="{62ED141C-4F5B-422D-B430-A67E0474CA3D}" name="Usage type" dataCellStyle="Table cell"/>
    <tableColumn id="3" xr3:uid="{07131193-CC4C-4576-890F-C94EB38C9100}" name="Ref" dataCellStyle="Table cell">
      <calculatedColumnFormula>Input_Usage[[#This Row],[Profile name]]&amp;" - "&amp;Input_Usage[[#This Row],[Usage type]]</calculatedColumnFormula>
    </tableColumn>
    <tableColumn id="4" xr3:uid="{C06CE59A-0662-40A9-B5E0-D7BDCA3E9812}" name="Unit" dataCellStyle="Table cell"/>
    <tableColumn id="8" xr3:uid="{16817664-CDEB-415C-99EE-275702065598}" name="Customer type" dataDxfId="533" dataCellStyle="Table cell"/>
    <tableColumn id="6" xr3:uid="{F4B24122-E533-4718-A2AE-9A2459EEEC0D}" name="Tariff type" dataDxfId="532" dataCellStyle="Table cell"/>
    <tableColumn id="9" xr3:uid="{6CDD316C-3B29-4CEC-9CCD-D147749461C1}" name="F-PreviousVDO_Input" dataDxfId="531" dataCellStyle="Hard-coded"/>
    <tableColumn id="5" xr3:uid="{C361A281-3CA0-4144-918C-AEA2C11D4EB2}" name="VD-PreviousVDO_Input" dataDxfId="530" dataCellStyle="Input"/>
    <tableColumn id="10" xr3:uid="{2410741E-5CE5-456C-A356-652B30948C54}" name="VF-PreviousVDO_Input" dataDxfId="529" dataCellStyle="Input"/>
    <tableColumn id="11" xr3:uid="{F7854B3F-CA63-497E-B7DD-24F6A26E4662}" name="D-PreviousVDO_Input" dataDxfId="528" dataCellStyle="Input"/>
    <tableColumn id="12" xr3:uid="{CA8A5057-1374-4829-9D1E-D3E16BD46339}" name="F-PreviousVDO_Input2" dataDxfId="527" dataCellStyle="Input"/>
    <tableColumn id="7" xr3:uid="{C01DDC59-A45A-4996-B136-A6B979D84972}" name="D-CurrentVDO_Input" dataDxfId="526" dataCellStyle="Input"/>
    <tableColumn id="13" xr3:uid="{976C8AB7-C3C5-46DE-B8C1-C998755F48D8}" name="F-CurrentVDO_Input" dataDxfId="525" dataCellStyle="Input"/>
    <tableColumn id="14" xr3:uid="{D272C3B0-FBF9-40DA-B6C7-62B1121A774A}" name="D-NextVDO_Input" dataDxfId="524" dataCellStyle="Input"/>
    <tableColumn id="15" xr3:uid="{8BD9FB8E-6A4F-46F1-B465-894946B36C55}" name="F-NextVDO_Input" dataDxfId="523" dataCellStyle="Input"/>
  </tableColumns>
  <tableStyleInfo name="Default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42B58B-E9F1-491B-8349-034E16DC1DC1}" name="Input_TUEnv_Actual" displayName="Input_TUEnv_Actual" ref="C186:Q192" totalsRowShown="0" headerRowDxfId="522" headerRowBorderDxfId="521" tableBorderDxfId="520" headerRowCellStyle="Table col heading">
  <tableColumns count="15">
    <tableColumn id="2" xr3:uid="{C2979B50-E72C-4905-B762-B1FBD0FC7D84}" name="Cost element" dataCellStyle="Table cell"/>
    <tableColumn id="1" xr3:uid="{7606E00A-72BB-46DC-B82D-8B19AE194ECC}" name="Cost item" dataDxfId="519" dataCellStyle="Table cell"/>
    <tableColumn id="3" xr3:uid="{FB39537C-58C4-45FA-AE28-8587403EDED7}" name="Fixed/Variable" dataCellStyle="Table cell"/>
    <tableColumn id="4" xr3:uid="{37BADC74-6350-4579-AA1C-AA157FB39315}" name="Unit" dataCellStyle="Table cell"/>
    <tableColumn id="7" xr3:uid="{9AD583A2-1E35-44CE-8B8E-BFB97CF15160}" name="Customer type" dataDxfId="518" dataCellStyle="Table cell"/>
    <tableColumn id="11" xr3:uid="{390D42D7-0AA8-418B-B847-28B79F13CBB2}" name="[blank]" dataCellStyle="Table cell"/>
    <tableColumn id="10" xr3:uid="{91C3BF11-950D-4602-BB8A-7802100863A1}" name="F-PreviousVDO_Input" dataDxfId="517" dataCellStyle="Input"/>
    <tableColumn id="5" xr3:uid="{7C467E70-DBCE-4B3B-9E84-9672A5BB6AB5}" name="VD-PreviousVDO_Input" dataDxfId="516" dataCellStyle="Input"/>
    <tableColumn id="6" xr3:uid="{B4F80362-EB75-43DD-B60D-B5C1D9FC2436}" name="VF-PreviousVDO_Input" dataDxfId="515" dataCellStyle="Input"/>
    <tableColumn id="8" xr3:uid="{B9E9AE44-0D3C-445F-A128-E99F54F5ABB6}" name="D-PreviousVDO_Input" dataDxfId="514" dataCellStyle="Input"/>
    <tableColumn id="9" xr3:uid="{9E2ECB50-146D-4C5C-91ED-CC4439548BF4}" name="F-PreviousVDO_Input2" dataDxfId="513" dataCellStyle="Input"/>
    <tableColumn id="12" xr3:uid="{6F7733AE-138E-44CF-B1A0-BFC1AB0FAF0D}" name="D-CurrentVDO_Input" dataDxfId="512" dataCellStyle="Input"/>
    <tableColumn id="13" xr3:uid="{C1FBE4D8-13D1-41FD-8772-4A1C908157C5}" name="F-CurrentVDO_Input" dataDxfId="511" dataCellStyle="Input"/>
    <tableColumn id="14" xr3:uid="{94E3EB60-64D2-4E27-BEB3-DABF613C5A5C}" name="D-NextVDO_Input" dataDxfId="510" dataCellStyle="Input"/>
    <tableColumn id="15" xr3:uid="{A7A9FD3E-8FD4-45D1-BA2C-FB33EC145E7C}" name="F-NextVDO_Input" dataDxfId="509" dataCellStyle="Input"/>
  </tableColumns>
  <tableStyleInfo name="Default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15BD5932-7FB5-4CCD-B50A-1852C0628C64}" name="Input_DecisionActual" displayName="Input_DecisionActual" ref="C256:E265" totalsRowShown="0" headerRowBorderDxfId="508" tableBorderDxfId="507" totalsRowBorderDxfId="506">
  <tableColumns count="3">
    <tableColumn id="1" xr3:uid="{5AFC207A-A190-4EF0-9F07-F0B6DD207690}" name="VDO period" dataDxfId="505" dataCellStyle="Hard-coded"/>
    <tableColumn id="2" xr3:uid="{BA40EB1C-8734-45B1-BEF3-B4AAB668727E}" name="Actual" dataDxfId="504" dataCellStyle="Hard-coded"/>
    <tableColumn id="3" xr3:uid="{EC536779-C89D-4795-9638-A578F8187C0C}" name="Decision" dataDxfId="503" dataCellStyle="Hard-coded"/>
  </tableColumns>
  <tableStyleInfo name="Default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CAB781AA-B11F-43C9-B5D5-6B4FEEF0DF29}" name="Input_TUNet_Actual" displayName="Input_TUNet_Actual" ref="C198:L209" totalsRowShown="0" headerRowDxfId="502" dataDxfId="500" headerRowBorderDxfId="501" tableBorderDxfId="499" headerRowCellStyle="Table col heading" dataCellStyle="Input">
  <tableColumns count="10">
    <tableColumn id="1" xr3:uid="{33C58E00-D758-45F8-8252-77B948C88246}" name="Cost element" dataDxfId="498" dataCellStyle="Table cell"/>
    <tableColumn id="2" xr3:uid="{BEEE8780-2525-4ED5-98B3-03A9B54F6A89}" name="Item" dataCellStyle="Table cell"/>
    <tableColumn id="3" xr3:uid="{EB73758C-CD68-455D-A4BA-DBEBCC9DD1A8}" name="Month" dataCellStyle="Table cell"/>
    <tableColumn id="5" xr3:uid="{09270975-0370-4D51-85B7-A9ABBDA9B17C}" name="Customer type" dataCellStyle="Table cell"/>
    <tableColumn id="6" xr3:uid="{BD3B0B91-C7EA-49CE-9DD7-D092B34BCD6C}" name="Unit" dataDxfId="497" dataCellStyle="Table cell"/>
    <tableColumn id="7" xr3:uid="{E3D8500B-E6BB-4D1F-AAE0-CA4E8FEAE016}" name="F-PreviousVDO_Input" dataDxfId="496" dataCellStyle="Input"/>
    <tableColumn id="8" xr3:uid="{5E9042CD-AECA-4100-AB25-51464991E9A9}" name="VD-PreviousVDO_Input" dataDxfId="495" dataCellStyle="Input"/>
    <tableColumn id="9" xr3:uid="{788F1A54-6BBA-478B-BEB6-968DEFF693D2}" name="VF-PreviousVDO_Input" dataDxfId="494" dataCellStyle="Input"/>
    <tableColumn id="10" xr3:uid="{64B65947-EB30-4CE6-957B-3229A0441A1D}" name="D-PreviousVDO_Input" dataDxfId="493" dataCellStyle="Input"/>
    <tableColumn id="11" xr3:uid="{B5BDA5F0-6298-4932-B548-24CF215531DF}" name="F-PreviousVDO_Input2" dataDxfId="492" dataCellStyle="Input"/>
  </tableColumns>
  <tableStyleInfo name="Default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8BAC026-C1B6-4BBE-84CC-0B1B6A6DB986}" name="Input_TUNet_Props" displayName="Input_TUNet_Props" ref="C215:J225" totalsRowShown="0" headerRowDxfId="491" headerRowBorderDxfId="490" tableBorderDxfId="489" headerRowCellStyle="Table col heading" dataCellStyle="Auto-populated">
  <tableColumns count="8">
    <tableColumn id="1" xr3:uid="{2DBA4652-0938-4C79-8D72-499B986F9883}" name="Usage type" dataCellStyle="Table cell"/>
    <tableColumn id="2" xr3:uid="{75B9397F-A913-4033-B85B-30AE1AB9B46E}" name="Customer type" dataCellStyle="Table cell"/>
    <tableColumn id="3" xr3:uid="{F2657174-5E8D-4ABF-9E60-E26277703A2F}" name="Unit" dataDxfId="488" dataCellStyle="Table cell"/>
    <tableColumn id="4" xr3:uid="{BCD7E7F5-7837-4A4A-BC75-7873E680C9D8}" name="F-PreviousVDO_Input" dataDxfId="487" dataCellStyle="Auto-populated">
      <calculatedColumnFormula array="1">IFERROR(INDEX(Input_Usage[[F-PreviousVDO_Input]:[F-PreviousVDO_Input2]],MATCH(1,(Input_Usage[[Usage type]:[Usage type]]=$C216)*(Input_Usage[[Profile name]:[Profile name]]=$D216&amp;" - medium"),0),MATCH(F$215,Input_Usage[[#Headers],[F-PreviousVDO_Input]:[F-PreviousVDO_Input2]],0))/
INDEX(Input_Usage[[F-PreviousVDO_Input]:[F-PreviousVDO_Input2]],MATCH(1,(Input_Usage[[Usage type]:[Usage type]]="Annual")*(Input_Usage[[Profile name]:[Profile name]]=$D216&amp;" - medium"),0),MATCH(F$215,Input_Usage[[#Headers],[F-PreviousVDO_Input]:[F-PreviousVDO_Input2]],0)),"-")</calculatedColumnFormula>
    </tableColumn>
    <tableColumn id="5" xr3:uid="{D2F3AB18-2C9E-45E8-8C9E-E420DEB79DF1}" name="VD-PreviousVDO_Input" dataDxfId="486" dataCellStyle="Auto-populated">
      <calculatedColumnFormula array="1">IFERROR(INDEX(Input_Usage[[F-PreviousVDO_Input]:[F-PreviousVDO_Input2]],MATCH(1,(Input_Usage[[Usage type]:[Usage type]]=$C216)*(Input_Usage[[Profile name]:[Profile name]]=$D216&amp;" - medium"),0),MATCH(G$215,Input_Usage[[#Headers],[F-PreviousVDO_Input]:[F-PreviousVDO_Input2]],0))/
INDEX(Input_Usage[[F-PreviousVDO_Input]:[F-PreviousVDO_Input2]],MATCH(1,(Input_Usage[[Usage type]:[Usage type]]="Annual")*(Input_Usage[[Profile name]:[Profile name]]=$D216&amp;" - medium"),0),MATCH(G$215,Input_Usage[[#Headers],[F-PreviousVDO_Input]:[F-PreviousVDO_Input2]],0)),"-")</calculatedColumnFormula>
    </tableColumn>
    <tableColumn id="6" xr3:uid="{348ADD9E-7A12-4018-B3D2-8BAB000CFE50}" name="VF-PreviousVDO_Input" dataDxfId="485" dataCellStyle="Auto-populated">
      <calculatedColumnFormula array="1">IFERROR(INDEX(Input_Usage[[F-PreviousVDO_Input]:[F-PreviousVDO_Input2]],MATCH(1,(Input_Usage[[Usage type]:[Usage type]]=$C216)*(Input_Usage[[Profile name]:[Profile name]]=$D216&amp;" - medium"),0),MATCH(H$215,Input_Usage[[#Headers],[F-PreviousVDO_Input]:[F-PreviousVDO_Input2]],0))/
INDEX(Input_Usage[[F-PreviousVDO_Input]:[F-PreviousVDO_Input2]],MATCH(1,(Input_Usage[[Usage type]:[Usage type]]="Annual")*(Input_Usage[[Profile name]:[Profile name]]=$D216&amp;" - medium"),0),MATCH(H$215,Input_Usage[[#Headers],[F-PreviousVDO_Input]:[F-PreviousVDO_Input2]],0)),"-")</calculatedColumnFormula>
    </tableColumn>
    <tableColumn id="7" xr3:uid="{A1DE9E87-5783-4807-81CF-43D6D8E49FDA}" name="D-PreviousVDO_Input" dataDxfId="484" dataCellStyle="Auto-populated">
      <calculatedColumnFormula array="1">IFERROR(INDEX(Input_Usage[[F-PreviousVDO_Input]:[F-PreviousVDO_Input2]],MATCH(1,(Input_Usage[[Usage type]:[Usage type]]=$C216)*(Input_Usage[[Profile name]:[Profile name]]=$D216&amp;" - medium"),0),MATCH(I$215,Input_Usage[[#Headers],[F-PreviousVDO_Input]:[F-PreviousVDO_Input2]],0))/
INDEX(Input_Usage[[F-PreviousVDO_Input]:[F-PreviousVDO_Input2]],MATCH(1,(Input_Usage[[Usage type]:[Usage type]]="Annual")*(Input_Usage[[Profile name]:[Profile name]]=$D216&amp;" - medium"),0),MATCH(I$215,Input_Usage[[#Headers],[F-PreviousVDO_Input]:[F-PreviousVDO_Input2]],0)),"-")</calculatedColumnFormula>
    </tableColumn>
    <tableColumn id="8" xr3:uid="{13F09CC0-B0F3-4AE8-AA2D-613A53A62DA8}" name="F-PreviousVDO_Input2" dataDxfId="483" dataCellStyle="Auto-populated">
      <calculatedColumnFormula array="1">IFERROR(INDEX(Input_Usage[[F-PreviousVDO_Input]:[F-PreviousVDO_Input2]],MATCH(1,(Input_Usage[[Usage type]:[Usage type]]=$C216)*(Input_Usage[[Profile name]:[Profile name]]=$D216&amp;" - medium"),0),MATCH(J$215,Input_Usage[[#Headers],[F-PreviousVDO_Input]:[F-PreviousVDO_Input2]],0))/
INDEX(Input_Usage[[F-PreviousVDO_Input]:[F-PreviousVDO_Input2]],MATCH(1,(Input_Usage[[Usage type]:[Usage type]]="Annual")*(Input_Usage[[Profile name]:[Profile name]]=$D216&amp;" - medium"),0),MATCH(J$215,Input_Usage[[#Headers],[F-PreviousVDO_Input]:[F-PreviousVDO_Input2]],0)),"-")</calculatedColumnFormula>
    </tableColumn>
  </tableColumns>
  <tableStyleInfo name="Default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4D97AFB3-DCE9-45DD-B8EB-9D28A04F3586}" name="Input_TUNet_Dates" displayName="Input_TUNet_Dates" ref="C235:J239" totalsRowShown="0" headerRowDxfId="482" headerRowBorderDxfId="481" tableBorderDxfId="480" headerRowCellStyle="Table col heading">
  <tableColumns count="8">
    <tableColumn id="1" xr3:uid="{3400616B-DA51-43D8-86A8-28DA7C337CAA}" name="Cost element" dataCellStyle="Table cell"/>
    <tableColumn id="2" xr3:uid="{D74AC5A3-67A3-4F51-B31A-8E1961DE6A29}" name="Item" dataCellStyle="Table cell"/>
    <tableColumn id="3" xr3:uid="{795C8EA9-FFE7-4316-A129-A469C73F917B}" name="Unit" dataDxfId="479" dataCellStyle="Table cell"/>
    <tableColumn id="4" xr3:uid="{CB5B1ABC-2D02-43FF-A397-2D236BF350C4}" name="F-PreviousVDO_Input" dataDxfId="478" dataCellStyle="Input"/>
    <tableColumn id="5" xr3:uid="{05462B30-D747-4BDF-8097-7280A9CF6E22}" name="VD-PreviousVDO_Input" dataDxfId="477" dataCellStyle="Input"/>
    <tableColumn id="6" xr3:uid="{CE860765-E0ED-4B1D-85C5-C5F321E1B046}" name="VF-PreviousVDO_Input" dataDxfId="476" dataCellStyle="Input"/>
    <tableColumn id="7" xr3:uid="{6E09A357-E9FB-456C-94E0-03594AE0C2F8}" name="D-PreviousVDO_Input" dataDxfId="475" dataCellStyle="Input"/>
    <tableColumn id="8" xr3:uid="{6513D48C-CA96-442D-A076-772D8F992618}" name="F-PreviousVDO_Input2" dataDxfId="474" dataCellStyle="Input"/>
  </tableColumns>
  <tableStyleInfo name="Default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C5B26F8-6641-412E-849B-B69FADA0CDB5}" name="Input_TU_Periods" displayName="Input_TU_Periods" ref="C246:N248" totalsRowShown="0" headerRowDxfId="473" headerRowBorderDxfId="472" tableBorderDxfId="471" headerRowCellStyle="Table col heading">
  <tableColumns count="12">
    <tableColumn id="12" xr3:uid="{4A8F5994-E48F-4F05-BD7D-C9B3555EBC97}" name="Item" dataDxfId="470" dataCellStyle="Table cell"/>
    <tableColumn id="1" xr3:uid="{8FCB2327-57E7-4735-A4C5-C5DE9A2465D7}" name="Item2" dataDxfId="469" dataCellStyle="Table cell"/>
    <tableColumn id="2" xr3:uid="{B9AC8812-3C0A-4350-A58B-47B777CCB01C}" name="Unit" dataDxfId="468" dataCellStyle="Table cell"/>
    <tableColumn id="3" xr3:uid="{0345C767-3ED1-4D4E-A3EA-93A995889499}" name="F-PreviousVDO_Input" dataCellStyle="Input"/>
    <tableColumn id="4" xr3:uid="{46CC919D-E1F1-4AF2-AB8B-2719E145382B}" name="VD-PreviousVDO_Input" dataCellStyle="Input"/>
    <tableColumn id="5" xr3:uid="{EB10D9F4-15DC-43A5-9786-20AB218AB079}" name="VF-PreviousVDO_Input" dataCellStyle="Input"/>
    <tableColumn id="6" xr3:uid="{84360244-BED1-48A8-9B1E-452A67AB9B79}" name="D-PreviousVDO_Input" dataCellStyle="Input"/>
    <tableColumn id="7" xr3:uid="{254EE791-2BB6-4600-A16D-B6C42632EC43}" name="F-PreviousVDO_Input2" dataDxfId="467" dataCellStyle="Input"/>
    <tableColumn id="8" xr3:uid="{2ADFBA22-2281-4A62-A379-A89015C8DD9C}" name="D-CurrentVDO_Input" dataCellStyle="Input"/>
    <tableColumn id="9" xr3:uid="{D712A1E2-F321-4116-9B42-8E12F26089FB}" name="F-CurrentVDO_Input" dataCellStyle="Input"/>
    <tableColumn id="10" xr3:uid="{8A7D08F3-BFB1-47BB-8712-809C908D992D}" name="D-NextVDO_Input" dataDxfId="466" dataCellStyle="Input"/>
    <tableColumn id="11" xr3:uid="{2A253BF2-2A19-47D4-9CB9-D617D24C195B}" name="F-NextVDO_Input" dataDxfId="465" dataCellStyle="Input"/>
  </tableColumns>
  <tableStyleInfo name="Default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04957F-79CC-4A0B-9F3C-7ED44B133D9D}" name="VDOdecisions" displayName="VDOdecisions" ref="C24:D29" tableType="queryTable" totalsRowShown="0" dataDxfId="464" dataCellStyle="Auto-populated">
  <tableColumns count="2">
    <tableColumn id="1" xr3:uid="{E095E8C5-EFB3-403E-AA31-BE5930A54881}" uniqueName="1" name="VDO decision" queryTableFieldId="1" dataDxfId="463" dataCellStyle="Auto-populated"/>
    <tableColumn id="2" xr3:uid="{2FB823D1-94AB-43A2-9393-44A217C3B50C}" uniqueName="2" name="Index" queryTableFieldId="2" dataDxfId="462" dataCellStyle="Auto-populated"/>
  </tableColumns>
  <tableStyleInfo name="Default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37C0D-F81D-404D-9D4D-999445A3BF5F}" name="CPI" displayName="CPI" ref="C28:D72" totalsRowShown="0" headerRowBorderDxfId="461" tableBorderDxfId="460">
  <tableColumns count="2">
    <tableColumn id="1" xr3:uid="{9AA9E4FD-AEA6-406E-B536-E0A3240360A5}" name="Period" dataDxfId="459" dataCellStyle="Table cell"/>
    <tableColumn id="3" xr3:uid="{9BE9725C-E6DE-44E0-8817-4E84A297FEDC}" name="Indice" dataDxfId="458" dataCellStyle="Input"/>
  </tableColumns>
  <tableStyleInfo name="Default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98B252-0493-456C-9FF8-D3A3C4E4B6C1}" name="Input_CPI" displayName="Input_CPI" ref="C7:E19" totalsRowShown="0" headerRowBorderDxfId="457" tableBorderDxfId="456">
  <tableColumns count="3">
    <tableColumn id="1" xr3:uid="{E8446AF5-A1A4-4342-A74F-83AC0A1E0759}" name="Decision paper" dataCellStyle="Table cell"/>
    <tableColumn id="2" xr3:uid="{59E16007-75E9-4AF1-B2EE-5F57503967A5}" name="Date" dataDxfId="455" dataCellStyle="Hard-coded"/>
    <tableColumn id="3" xr3:uid="{B00403BA-623F-461C-A57F-1A628BADCABC}" name="Indice" dataDxfId="454" dataCellStyle="Auto-populated">
      <calculatedColumnFormula>IFERROR(INDEX(CPI[Indice],MATCH(D8,CPI[Period],0),1),"-")</calculatedColumnFormula>
    </tableColumn>
  </tableColumns>
  <tableStyleInfo name="Default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9C9C582-8686-4E87-8AEB-A24AEF036B26}" name="Input_CostItemCPI" displayName="Input_CostItemCPI" ref="C77:L93" totalsRowShown="0">
  <tableColumns count="10">
    <tableColumn id="1" xr3:uid="{0D014813-4592-4A76-9F85-7E31C35F5F07}" name="Cost item"/>
    <tableColumn id="2" xr3:uid="{43EA9C8A-818D-4C08-B5BB-65B2A872736C}" name="VDO 2021 - Final" dataCellStyle="Input"/>
    <tableColumn id="3" xr3:uid="{D576BC92-5639-4C2B-89E7-C1A9D3C71B8B}" name="VDO 2021 - Variation draft" dataCellStyle="Input"/>
    <tableColumn id="4" xr3:uid="{CB4AA906-4EC4-4ECA-BEED-A4D88472738A}" name="VDO 2021 - Variation final" dataCellStyle="Input"/>
    <tableColumn id="5" xr3:uid="{9C198365-D838-4E7C-8732-383A5C0B4BC2}" name="VDO 2022 - Draft" dataCellStyle="Input"/>
    <tableColumn id="6" xr3:uid="{42D201D9-C45B-416B-9904-1345845CA9AA}" name="VDO 2022 - Final" dataCellStyle="Input"/>
    <tableColumn id="7" xr3:uid="{DAC0FFD0-79FB-42CE-9275-CB0712C0D7E2}" name="VDO 2022-23 - Draft" dataCellStyle="Input"/>
    <tableColumn id="8" xr3:uid="{BE6F0D71-6FFB-4DF9-A322-B20C81A650EE}" name="VDO 2022-23 - Final" dataDxfId="453" dataCellStyle="Input"/>
    <tableColumn id="9" xr3:uid="{AC2E8093-5F0C-40B5-B193-5B40228DB2EF}" name="VDO 2023-24 - Draft" dataDxfId="452" dataCellStyle="Input"/>
    <tableColumn id="10" xr3:uid="{882ED173-DAA0-4C31-81D6-EC9865415F76}" name="VDO 2023-24 - Final" dataDxfId="451" dataCellStyle="Input"/>
  </tableColumns>
  <tableStyleInfo name="Default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D1385-BA07-4257-AD3D-3DA1CE15C89E}" name="Calc_CPI_1" displayName="Calc_CPI_1" ref="C147:I163" totalsRowShown="0" headerRowDxfId="450" headerRowBorderDxfId="449" tableBorderDxfId="448" headerRowCellStyle="Table col heading">
  <tableColumns count="7">
    <tableColumn id="1" xr3:uid="{8FC9CF68-E2DE-41D4-BB17-02577ACDFB50}" name="Cost item"/>
    <tableColumn id="3" xr3:uid="{FD52015C-7518-4114-9F0A-46942F5E409F}" name="Fixed/Variable" dataDxfId="447"/>
    <tableColumn id="10" xr3:uid="{237959CA-5760-4248-AC5A-20B45DB2CF50}" name="Unit" dataCellStyle="Table cell">
      <calculatedColumnFormula>INDEX(Input_ForRateCalc[Unit],MATCH(Calc_CPI_1[[#This Row],[Cost item]]&amp;" - base",Input_ForRateCalc[Cost item],0),1)</calculatedColumnFormula>
    </tableColumn>
    <tableColumn id="11" xr3:uid="{2F9D72AB-FD23-4CC4-8DF0-B118FF0D332F}" name="Customer type" dataDxfId="446" dataCellStyle="Table cell"/>
    <tableColumn id="2" xr3:uid="{ABF6348D-5120-4300-B5BD-4B7E3A2B2B25}" name="Adjust?" dataDxfId="445" dataCellStyle="Table cell">
      <calculatedColumnFormula>INDEX(Input_CostItemCPI[[VDO 2021 - Final]:[VDO 2023-24 - Final]],MATCH(Calc_CPI_1[[#This Row],[Cost item]],Input_CostItemCPI[Cost item],0),MATCH($D$5,Input_CostItemCPI[[#Headers],[VDO 2021 - Final]:[VDO 2023-24 - Final]],0))</calculatedColumnFormula>
    </tableColumn>
    <tableColumn id="4" xr3:uid="{471ED95C-B937-4145-872E-8E97F45D2329}" name="CPI increase" dataDxfId="444" dataCellStyle="Calculation">
      <calculatedColumnFormula array="1">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calculatedColumnFormula>
    </tableColumn>
    <tableColumn id="5" xr3:uid="{6CF381C8-E2E9-44F3-9929-828496EBF384}" name="CPI uplift factor" dataDxfId="443" dataCellStyle="Calculation">
      <calculatedColumnFormula array="1">IFERROR((H148)*
INDEX(Input_ForRateCalc[],MATCH(Calc_CPI_1[[#This Row],[Cost item]:[Cost item]],Input_ForRateCalc[Cost item],0),MATCH($D$5,Inputs!$C$8:$Y$8,0)),"-")</calculatedColumnFormula>
    </tableColumn>
  </tableColumns>
  <tableStyleInfo name="Default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4FAC06-3F6E-4512-BD9F-BAE6C54835E0}" name="Calc_Losses_1" displayName="Calc_Losses_1" ref="C166:K169" totalsRowShown="0" headerRowDxfId="442" headerRowBorderDxfId="441" tableBorderDxfId="440" headerRowCellStyle="Table col heading">
  <tableColumns count="9">
    <tableColumn id="1" xr3:uid="{10E55798-D969-4AA2-BE00-AAA77545944C}" name="Cost item"/>
    <tableColumn id="2" xr3:uid="{FEC04519-0B8D-4C04-8E79-9C2F2427947B}" name="Fixed/Variable"/>
    <tableColumn id="3" xr3:uid="{E3235E90-DD2F-4943-ADA4-D518E8138171}" name="Unit"/>
    <tableColumn id="9" xr3:uid="{66C6BD50-A578-4CF8-B8DB-BF3F050B98C7}" name="Customer type" dataDxfId="439" dataCellStyle="Table cell"/>
    <tableColumn id="4" xr3:uid="{A55B248B-2052-4BF2-80F1-7509C3DD67E6}" name="Ausnet" dataDxfId="438"/>
    <tableColumn id="5" xr3:uid="{1749CA31-EE62-4522-9DA3-1918155FD04F}" name="Citipower" dataDxfId="437"/>
    <tableColumn id="6" xr3:uid="{62DBB3BA-5557-45EF-B606-6DC96D6BCBBC}" name="Jemena" dataDxfId="436"/>
    <tableColumn id="7" xr3:uid="{83176F9D-4300-42DB-984A-9DB31B5A2B44}" name="Powercor" dataDxfId="435"/>
    <tableColumn id="8" xr3:uid="{AE5C4CA6-96AC-4429-B02F-825691E879EF}" name="United Energy" dataDxfId="434"/>
  </tableColumns>
  <tableStyleInfo name="Default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C4D248-2A86-4C81-ACAF-1A81C2464FEF}" name="Calc_ROM_1" displayName="Calc_ROM_1" ref="C172:K173" totalsRowShown="0" headerRowDxfId="433" headerRowBorderDxfId="432" tableBorderDxfId="431" headerRowCellStyle="Table col heading" dataCellStyle="Table cell">
  <tableColumns count="9">
    <tableColumn id="1" xr3:uid="{E50EE705-B877-449E-A9E7-6E00096BAB36}" name="Cost item" dataCellStyle="Table cell"/>
    <tableColumn id="2" xr3:uid="{42FC858C-CF75-4833-8C3D-8346027CE60A}" name="Fixed/Variable" dataCellStyle="Table cell"/>
    <tableColumn id="3" xr3:uid="{76F3A43C-43A1-4562-B6AE-9B59FB2BA42A}" name="Unit" dataCellStyle="Table cell"/>
    <tableColumn id="9" xr3:uid="{891390CB-BDB7-4673-9B44-66FDD23D76FC}" name="Customer type" dataDxfId="430" dataCellStyle="Table cell"/>
    <tableColumn id="4" xr3:uid="{1B8319C1-3354-4608-B1AD-CE352E76C44D}" name="Ausnet" dataDxfId="429" dataCellStyle="Calculation">
      <calculatedColumnFormula array="1">IFERROR(INDEX(Input_ForRateCalc[],MATCH(Calc_ROM_1[[#This Row],[Cost item]:[Cost item]],Input_ForRateCalc[[Cost item]:[Cost item]],0),MATCH($D$5,Inputs!$C$8:$Y$8,0)),"-")</calculatedColumnFormula>
    </tableColumn>
    <tableColumn id="5" xr3:uid="{270B5FD7-0783-496C-8F8F-0ECCD0DCC481}" name="Citipower" dataDxfId="428" dataCellStyle="Calculation">
      <calculatedColumnFormula array="1">IFERROR(INDEX(Input_ForRateCalc[],MATCH(Calc_ROM_1[[#This Row],[Cost item]:[Cost item]],Input_ForRateCalc[[Cost item]:[Cost item]],0),MATCH($D$5,Inputs!$C$8:$Y$8,0)),"-")</calculatedColumnFormula>
    </tableColumn>
    <tableColumn id="6" xr3:uid="{1D6B1230-694F-46EA-BB16-EBFCD5B62014}" name="Jemena" dataDxfId="427" dataCellStyle="Calculation">
      <calculatedColumnFormula array="1">IFERROR(INDEX(Input_ForRateCalc[],MATCH(Calc_ROM_1[[#This Row],[Cost item]:[Cost item]],Input_ForRateCalc[[Cost item]:[Cost item]],0),MATCH($D$5,Inputs!$C$8:$Y$8,0)),"-")</calculatedColumnFormula>
    </tableColumn>
    <tableColumn id="7" xr3:uid="{242863D3-BF23-4634-9E5D-A7018A29171E}" name="Powercor" dataDxfId="426" dataCellStyle="Calculation">
      <calculatedColumnFormula array="1">IFERROR(INDEX(Input_ForRateCalc[],MATCH(Calc_ROM_1[[#This Row],[Cost item]:[Cost item]],Input_ForRateCalc[[Cost item]:[Cost item]],0),MATCH($D$5,Inputs!$C$8:$Y$8,0)),"-")</calculatedColumnFormula>
    </tableColumn>
    <tableColumn id="8" xr3:uid="{5FC9542C-F72B-41E3-8A90-17BB18C5781A}" name="United Energy" dataDxfId="425" dataCellStyle="Calculation">
      <calculatedColumnFormula array="1">IFERROR(INDEX(Input_ForRateCalc[],MATCH(Calc_ROM_1[[#This Row],[Cost item]:[Cost item]],Input_ForRateCalc[[Cost item]:[Cost item]],0),MATCH($D$5,Inputs!$C$8:$Y$8,0)),"-")</calculatedColumnFormula>
    </tableColumn>
  </tableColumns>
  <tableStyleInfo name="Default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9C0011-C252-438F-92DD-5559D2884E9C}" name="Calc_Retail_1" displayName="Calc_Retail_1" ref="C178:K180" totalsRowShown="0" headerRowDxfId="424" headerRowBorderDxfId="423" tableBorderDxfId="422" totalsRowBorderDxfId="421" headerRowCellStyle="Table col heading">
  <tableColumns count="9">
    <tableColumn id="1" xr3:uid="{F445E8BE-064F-4AAC-958B-34C99F7ED789}" name="Cost item"/>
    <tableColumn id="2" xr3:uid="{70EA2FAC-2F47-4380-BB77-21E81E84D12C}" name="Fixed/Variable"/>
    <tableColumn id="3" xr3:uid="{8055E5B5-7D33-4D16-AEC4-1E6FDA6D4A33}" name="Unit" dataCellStyle="Table cell"/>
    <tableColumn id="9" xr3:uid="{771301F1-5078-41E2-A27C-91512A9EEC84}" name="Customer type" dataDxfId="420" dataCellStyle="Table cell"/>
    <tableColumn id="4" xr3:uid="{F96F63E4-C2DD-4B05-A841-31283247F646}" name="Ausnet" dataDxfId="419" dataCellStyle="Calculation">
      <calculatedColumnFormula>IFERROR(
INDEX(Calc_CPI_1[CPI uplift factor],MATCH($C179,Calc_CPI_1[Cost item],0),1)+
INDEX(#REF!,MATCH(Calc_Rates!$C179,Input_ForRateCalc[Cost item],0),MATCH(Calc_Rates!$D$5,Inputs!$H$8:$Q$8,0)),"-")</calculatedColumnFormula>
    </tableColumn>
    <tableColumn id="5" xr3:uid="{10800705-822B-4A11-AEC0-B74310D50E53}" name="Citipower" dataDxfId="418" dataCellStyle="Calculation"/>
    <tableColumn id="6" xr3:uid="{F22E718A-40AB-4EDE-A90A-F8A05C1F401C}" name="Jemena" dataDxfId="417" dataCellStyle="Calculation"/>
    <tableColumn id="7" xr3:uid="{6892071D-DB57-4E65-AA1D-01B97E74119E}" name="Powercor" dataDxfId="416" dataCellStyle="Calculation"/>
    <tableColumn id="8" xr3:uid="{551F21FF-F88A-4814-8B08-9AF58152777E}" name="United Energy" dataDxfId="415" dataCellStyle="Calculation"/>
  </tableColumns>
  <tableStyleInfo name="Default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2EE65A-C36C-4D34-B21A-CC272CBBA0DB}" name="Calc_OtherCosts_1" displayName="Calc_OtherCosts_1" ref="C184:K199" totalsRowShown="0" headerRowDxfId="414" headerRowBorderDxfId="413" tableBorderDxfId="412" totalsRowBorderDxfId="411" headerRowCellStyle="Table col heading" dataCellStyle="Table cell">
  <tableColumns count="9">
    <tableColumn id="1" xr3:uid="{0C253945-E70F-4B36-AB64-0CBC3AC67A67}" name="Cost item" dataCellStyle="Table cell"/>
    <tableColumn id="2" xr3:uid="{1CD1F87C-1E3E-4116-8C9E-ACEB4BB1DF68}" name="Fixed/Variable" dataCellStyle="Table cell"/>
    <tableColumn id="3" xr3:uid="{A2E603E4-1536-4BF2-9BA6-F8B4EF2FBC90}" name="Unit" dataCellStyle="Table cell"/>
    <tableColumn id="9" xr3:uid="{366828D4-BD8E-423C-9F45-7A4329249E04}" name="Customer type" dataDxfId="410" dataCellStyle="Table cell"/>
    <tableColumn id="4" xr3:uid="{3A43E5BC-9425-48FE-8CB0-4D55B7BD3E2C}" name="Ausnet" dataDxfId="409"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 id="5" xr3:uid="{A49331E6-A367-4F26-B05E-C557F54FF5E6}" name="Citipower" dataDxfId="408"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 id="6" xr3:uid="{353E77CF-0ADF-4988-B8FC-04EE5A40696A}" name="Jemena" dataDxfId="407"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 id="7" xr3:uid="{8CC9324E-F871-48A4-839B-9B611C6D71DE}" name="Powercor" dataDxfId="406"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 id="8" xr3:uid="{3D5A3885-41F2-4263-88AB-98D0F239E959}" name="United Energy" dataDxfId="405"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item]],0),MATCH($D$5,Inputs!$C$8:$Y$8,0)))/1000),"-")</calculatedColumnFormula>
    </tableColumn>
  </tableColumns>
  <tableStyleInfo name="Default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46CB06-9CE2-408A-8625-DD8BCCB6C58B}" name="Calc_NetworkF_1" displayName="Calc_NetworkF_1" ref="C204:K209" totalsRowShown="0" headerRowDxfId="404" headerRowBorderDxfId="403" tableBorderDxfId="402" totalsRowBorderDxfId="401" headerRowCellStyle="Table col heading">
  <tableColumns count="9">
    <tableColumn id="1" xr3:uid="{56073E6A-0A5A-4389-8095-CA6108D44EDE}" name="Cost item"/>
    <tableColumn id="2" xr3:uid="{9D1C14EC-8477-491A-A18B-2461900656B4}" name="Fixed/Variable"/>
    <tableColumn id="3" xr3:uid="{04FAE60D-417C-4194-995E-E316BF4B7879}" name="Unit" dataCellStyle="Table cell"/>
    <tableColumn id="9" xr3:uid="{7C0BD534-B842-49E1-AB3D-9239656FE01E}" name="Customer type" dataDxfId="400" dataCellStyle="Table cell"/>
    <tableColumn id="4" xr3:uid="{2C923C50-9004-4F23-A843-61F46462C741}" name="Ausnet" dataDxfId="399"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calculatedColumnFormula>
    </tableColumn>
    <tableColumn id="5" xr3:uid="{44B5F431-564E-450E-BA21-D3F841DCC24C}" name="Citipower" dataDxfId="398"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calculatedColumnFormula>
    </tableColumn>
    <tableColumn id="6" xr3:uid="{8B1A16F8-7E2C-4F24-91A7-E65029079EAB}" name="Jemena" dataDxfId="397"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calculatedColumnFormula>
    </tableColumn>
    <tableColumn id="7" xr3:uid="{0BD42606-1294-49B4-B9B0-6637A6094781}" name="Powercor" dataDxfId="396"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calculatedColumnFormula>
    </tableColumn>
    <tableColumn id="8" xr3:uid="{439ED9DE-5613-4EC5-A634-F87DAB4A0EDD}" name="United Energy" dataDxfId="395" dataCellStyle="Calculation">
      <calculatedColumnFormula array="1">IFERROR(
IFERROR(INDEX(Calc_CPI_1[[CPI uplift factor]:[CPI uplift factor]],MATCH($C205,Calc_CPI_1[[Cost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calculatedColumnFormula>
    </tableColumn>
  </tableColumns>
  <tableStyleInfo name="Default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FD2BC5-019D-46C3-AFCA-304FF5306314}" name="Calc_NetworkV_1" displayName="Calc_NetworkV_1" ref="C212:K223" totalsRowShown="0" headerRowDxfId="394" dataDxfId="392" headerRowBorderDxfId="393" tableBorderDxfId="391" totalsRowBorderDxfId="390" headerRowCellStyle="Table col heading" dataCellStyle="Calculation">
  <tableColumns count="9">
    <tableColumn id="1" xr3:uid="{CB3706A5-D760-4216-A110-71D17D892BD9}" name="Cost item" dataCellStyle="Table cell"/>
    <tableColumn id="2" xr3:uid="{D1B03855-A0F0-4571-8777-57F1B8EFE353}" name="Fixed/Variable" dataCellStyle="Table cell"/>
    <tableColumn id="3" xr3:uid="{B8007A7D-00F8-40E4-A172-46152BC4D855}" name="Unit" dataCellStyle="Table cell"/>
    <tableColumn id="9" xr3:uid="{3B1062B7-38BA-41B7-A6D9-56E48484C881}" name="Customer type" dataDxfId="389" dataCellStyle="Table cell"/>
    <tableColumn id="4" xr3:uid="{D0986C2A-52E3-43DD-B77B-F20491BF5E18}" name="Ausnet" dataDxfId="388"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calculatedColumnFormula>
    </tableColumn>
    <tableColumn id="5" xr3:uid="{FAD220BF-91B8-40CF-BEED-9FF89C64043D}" name="Citipower" dataDxfId="387"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calculatedColumnFormula>
    </tableColumn>
    <tableColumn id="6" xr3:uid="{173506C0-F051-4700-B94B-6E65F6DA88D9}" name="Jemena" dataDxfId="386"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calculatedColumnFormula>
    </tableColumn>
    <tableColumn id="7" xr3:uid="{EFD5A70F-CD3B-42A9-8883-15FA6ED5A35F}" name="Powercor" dataDxfId="385"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calculatedColumnFormula>
    </tableColumn>
    <tableColumn id="8" xr3:uid="{377FA89E-EB31-4B31-9E9A-342277E4DF21}" name="United Energy" dataDxfId="384"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calculatedColumnFormula>
    </tableColumn>
  </tableColumns>
  <tableStyleInfo name="Default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1C63D0-94B6-46DC-A492-0C052BBB88BB}" name="Calc_WholesaleRES_1" displayName="Calc_WholesaleRES_1" ref="C228:K231" totalsRowShown="0" headerRowDxfId="383" headerRowBorderDxfId="382" tableBorderDxfId="381" headerRowCellStyle="Table col heading">
  <tableColumns count="9">
    <tableColumn id="1" xr3:uid="{AD482BF5-2182-4A45-A6AB-28D6205185A5}" name="Cost item"/>
    <tableColumn id="2" xr3:uid="{6780DE84-17EF-42BE-A3D5-2F3E29FC3533}" name="Fixed/Variable"/>
    <tableColumn id="3" xr3:uid="{95A5239A-5566-4E5B-97EF-FB526385E720}" name="Unit"/>
    <tableColumn id="9" xr3:uid="{64D007E5-3C6C-44AD-ACBD-2443661BBA3B}" name="Customer type" dataCellStyle="Table cell"/>
    <tableColumn id="4" xr3:uid="{B3163460-5BD7-4AFE-BFF4-84ED5CB4E785}" name="Ausnet"/>
    <tableColumn id="5" xr3:uid="{CFCFA8FE-9C7A-42C2-ABCE-4A186A2ABE01}" name="Citipower"/>
    <tableColumn id="6" xr3:uid="{9CB017A1-D755-4DB7-99ED-BBD09DBA551F}" name="Jemena"/>
    <tableColumn id="7" xr3:uid="{4AC22AD2-E8DB-4CFE-A499-B1B31DA8F4B5}" name="Powercor"/>
    <tableColumn id="8" xr3:uid="{2C48CFB6-7323-4BF6-8C64-7E27C40FBBC0}" name="United Energy"/>
  </tableColumns>
  <tableStyleInfo name="Default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015ED8-C01F-493F-BC60-E70CACCEB2FD}" name="Calc_WholesaleSME_1" displayName="Calc_WholesaleSME_1" ref="C234:K237" totalsRowShown="0" headerRowDxfId="380" headerRowBorderDxfId="379" tableBorderDxfId="378" headerRowCellStyle="Table col heading">
  <tableColumns count="9">
    <tableColumn id="1" xr3:uid="{3685C95C-E94C-4E99-B630-F4FAE40BD6CA}" name="Cost item"/>
    <tableColumn id="2" xr3:uid="{B38073C0-122B-4A64-BFF7-4C59D4463DE5}" name="Fixed/Variable"/>
    <tableColumn id="3" xr3:uid="{AAEAD9CF-B74C-41AB-9559-180BCE3F3F3C}" name="Unit"/>
    <tableColumn id="9" xr3:uid="{BC42E5F3-6EAE-4C9C-8DE3-CCAD1E10CA66}" name="Customer type" dataCellStyle="Table cell"/>
    <tableColumn id="4" xr3:uid="{308996B6-C131-470D-BCF8-3278A29B0E46}" name="Ausnet"/>
    <tableColumn id="5" xr3:uid="{19939240-F265-46F0-81AA-EB185929723F}" name="Citipower"/>
    <tableColumn id="6" xr3:uid="{472F31F9-0445-4F60-ADA7-DA1781E4D1CE}" name="Jemena"/>
    <tableColumn id="7" xr3:uid="{0F209F68-2467-41B7-A6F3-3F182FEEFF31}" name="Powercor"/>
    <tableColumn id="8" xr3:uid="{EA8080F3-12EA-415C-8B0F-A9C3C7BE47C3}" name="United Energy"/>
  </tableColumns>
  <tableStyleInfo name="Default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1A3B44-F9C0-4A8B-8450-9F07D09A1A86}" name="Calc_EnviroVEU_1" displayName="Calc_EnviroVEU_1" ref="C242:K245" totalsRowShown="0" headerRowDxfId="377" headerRowBorderDxfId="376" tableBorderDxfId="375" headerRowCellStyle="Table col heading" dataCellStyle="Internal link/lookup">
  <tableColumns count="9">
    <tableColumn id="1" xr3:uid="{30D74465-1D99-43AF-8CAB-6E507855A3A4}" name="Cost item" dataCellStyle="Table cell"/>
    <tableColumn id="2" xr3:uid="{1600AA2F-0D95-42AF-83F2-66CBF45F3CA0}" name="Fixed/Variable" dataCellStyle="Table cell"/>
    <tableColumn id="3" xr3:uid="{164F3467-F6B3-4C63-8156-D333898A95EE}" name="Unit" dataCellStyle="Table cell"/>
    <tableColumn id="9" xr3:uid="{EF95EF79-FCA8-4A29-950C-B3FEC82FE49F}" name="Customer type" dataCellStyle="Table cell"/>
    <tableColumn id="4" xr3:uid="{FA5A43A2-D327-41C8-A5A5-BF22A9D1276E}" name="Ausnet" dataDxfId="374" dataCellStyle="Internal link/lookup"/>
    <tableColumn id="5" xr3:uid="{CB1D098F-76FA-4645-A017-A40B1C8931A0}" name="Citipower" dataDxfId="373" dataCellStyle="Internal link/lookup"/>
    <tableColumn id="6" xr3:uid="{6CB26880-0A29-48CB-8D27-40F6229EC6E1}" name="Jemena" dataDxfId="372" dataCellStyle="Internal link/lookup"/>
    <tableColumn id="7" xr3:uid="{37DC741F-B7B0-4F6D-8986-B2FED10372C0}" name="Powercor" dataDxfId="371" dataCellStyle="Internal link/lookup"/>
    <tableColumn id="8" xr3:uid="{146C5954-395B-4AF0-934E-F6F1F53FD175}" name="United Energy" dataDxfId="370" dataCellStyle="Internal link/lookup"/>
  </tableColumns>
  <tableStyleInfo name="Default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7F4255-2560-4C7D-87B7-90E01C8879BD}" name="Calc_EnviroLRET_1" displayName="Calc_EnviroLRET_1" ref="C248:K251" totalsRowShown="0" headerRowDxfId="369" headerRowBorderDxfId="368" tableBorderDxfId="367" headerRowCellStyle="Table col heading" dataCellStyle="Internal link/lookup">
  <tableColumns count="9">
    <tableColumn id="1" xr3:uid="{A6BACB87-44CA-4E82-A714-C5FE69256FAF}" name="Cost item" dataCellStyle="Table cell"/>
    <tableColumn id="2" xr3:uid="{075EE753-82B6-4FA7-AC6F-FE6940B01335}" name="Fixed/Variable" dataCellStyle="Table cell"/>
    <tableColumn id="3" xr3:uid="{87C5857A-1190-4CD1-A7CA-F67806FBE4CE}" name="Unit" dataCellStyle="Table cell"/>
    <tableColumn id="9" xr3:uid="{0808E3E2-EE13-4D5D-BCCF-B993FB523556}" name="Customer type" dataCellStyle="Table cell"/>
    <tableColumn id="4" xr3:uid="{25BA2561-A041-4FBF-A998-FD3797782130}" name="Ausnet" dataDxfId="366" dataCellStyle="Internal link/lookup"/>
    <tableColumn id="5" xr3:uid="{E3001C65-68EA-4A0B-A9EC-0AEF2E84FBD6}" name="Citipower" dataDxfId="365" dataCellStyle="Internal link/lookup"/>
    <tableColumn id="6" xr3:uid="{B118E905-DC3D-47F2-80F3-239BFB2E12CB}" name="Jemena" dataDxfId="364" dataCellStyle="Internal link/lookup"/>
    <tableColumn id="7" xr3:uid="{4C60D58B-60A7-46F1-93E5-005D19EAAD81}" name="Powercor" dataDxfId="363" dataCellStyle="Internal link/lookup"/>
    <tableColumn id="8" xr3:uid="{67A92AE4-113B-4F60-9A08-53B7D7BBE29B}" name="United Energy" dataDxfId="362" dataCellStyle="Internal link/lookup"/>
  </tableColumns>
  <tableStyleInfo name="Default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3EDBDF-1B04-4828-8F23-C85FCC2AFC8A}" name="Calc_EnviroSRES_1" displayName="Calc_EnviroSRES_1" ref="C254:K257" totalsRowShown="0" headerRowDxfId="361" headerRowBorderDxfId="360" tableBorderDxfId="359" headerRowCellStyle="Table col heading" dataCellStyle="Internal link/lookup">
  <tableColumns count="9">
    <tableColumn id="1" xr3:uid="{FBB72E81-32BC-476E-80F3-64EE236D4AA2}" name="Cost item" dataCellStyle="Table cell"/>
    <tableColumn id="2" xr3:uid="{5E322F16-D299-4FD0-8E26-3FB9272D73E5}" name="Fixed/Variable" dataCellStyle="Table cell"/>
    <tableColumn id="3" xr3:uid="{2F112381-7D54-4734-820D-C48BB8198AAB}" name="Unit" dataCellStyle="Table cell"/>
    <tableColumn id="9" xr3:uid="{6E851880-403E-4A11-A43C-42B46F7B71E5}" name="Customer type" dataCellStyle="Table cell"/>
    <tableColumn id="4" xr3:uid="{43477D4E-955D-4477-92D8-B68B99E47C99}" name="Ausnet" dataDxfId="358" dataCellStyle="Internal link/lookup"/>
    <tableColumn id="5" xr3:uid="{46DA8B4E-93BE-4D75-B964-43108072DBCA}" name="Citipower" dataDxfId="357" dataCellStyle="Internal link/lookup"/>
    <tableColumn id="6" xr3:uid="{B4FBE803-3A30-443C-AF14-4716F8DBA7B2}" name="Jemena" dataDxfId="356" dataCellStyle="Internal link/lookup"/>
    <tableColumn id="7" xr3:uid="{8791F4C9-6942-453C-8102-D4CBF1273CDC}" name="Powercor" dataDxfId="355" dataCellStyle="Internal link/lookup"/>
    <tableColumn id="8" xr3:uid="{103AD40C-04CA-4057-8483-C30B93760CD0}" name="United Energy" dataDxfId="354" dataCellStyle="Internal link/lookup"/>
  </tableColumns>
  <tableStyleInfo name="Default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A338246-BA11-41D9-8C6E-8C38BB16348D}" name="Calc_FiT_1" displayName="Calc_FiT_1" ref="C260:K261" totalsRowShown="0" headerRowDxfId="353" headerRowBorderDxfId="352" tableBorderDxfId="351" totalsRowBorderDxfId="350" headerRowCellStyle="Table col heading" dataCellStyle="Table cell">
  <tableColumns count="9">
    <tableColumn id="1" xr3:uid="{AFD9488A-7C4B-4F8E-ACF9-A4E4B8E8B998}" name="Cost item" dataDxfId="349" dataCellStyle="Table cell"/>
    <tableColumn id="2" xr3:uid="{16DB71A9-711A-4502-B5BF-7F371CCC192E}" name="Fixed/Variable" dataDxfId="348" dataCellStyle="Table cell"/>
    <tableColumn id="3" xr3:uid="{A88541AF-CF21-4C19-AF86-DD65AAFDF70F}" name="Unit" dataDxfId="347" dataCellStyle="Table cell"/>
    <tableColumn id="9" xr3:uid="{CCD1209E-6309-4A32-8212-14B34B01109C}" name="Customer type" dataDxfId="346" dataCellStyle="Table cell"/>
    <tableColumn id="4" xr3:uid="{EFC77A58-5F76-488A-A85D-5ED51551F605}" name="Ausnet" dataDxfId="345"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 id="5" xr3:uid="{1E393C59-41B6-47B9-8C7C-DF1243695081}" name="Citipower" dataDxfId="344"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 id="6" xr3:uid="{435400A7-321A-40E3-A6FB-8DA29E3C56CF}" name="Jemena" dataDxfId="343"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 id="7" xr3:uid="{E838E498-62F7-48EC-9A33-8E46B6F2846E}" name="Powercor" dataDxfId="342"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 id="8" xr3:uid="{E4EAE11B-C0B1-474A-AFE2-08D9725A3A2F}" name="United Energy" dataDxfId="341" dataCellStyle="Calculation">
      <calculatedColumnFormula array="1">IFERROR(
(IFERROR(INDEX(Calc_CPI_1[[CPI uplift factor]:[CPI uplift factor]],MATCH(Calc_FiT_1[[#This Row],[Cost item]:[Cost item]],Calc_CPI_1[[Cost item]:[Cost item]],0),1),0)+
INDEX(Input_ForRateCalc[],MATCH(Calc_FiT_1[[#This Row],[Cost item]:[Cost item]],Input_ForRateCalc[[Cost item]:[Cost item]],0),MATCH($D$5,Inputs!$C$8:$Y$8,0))),"-")</calculatedColumnFormula>
    </tableColumn>
  </tableColumns>
  <tableStyleInfo name="Default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DD51261-8483-4F72-A15D-EE34A34E1BAB}" name="Calc_Fixed_1" displayName="Calc_Fixed_1" ref="C9:K13" totalsRowShown="0" headerRowDxfId="340" dataDxfId="338" headerRowBorderDxfId="339" tableBorderDxfId="337" totalsRowBorderDxfId="336" headerRowCellStyle="Table col heading" dataCellStyle="Calculation">
  <tableColumns count="9">
    <tableColumn id="1" xr3:uid="{0DE4619C-AFE2-4FBE-9761-BAA79DB830F4}" name="Fixed costs" dataCellStyle="Table cell"/>
    <tableColumn id="2" xr3:uid="{E509A651-4C2C-44F0-B768-083D02C0617D}" name="Fixed/Variable" dataCellStyle="Table cell"/>
    <tableColumn id="3" xr3:uid="{EA8D5DA8-FE69-4B34-9288-63D99D8B64E2}" name="Unit" dataCellStyle="Table cell"/>
    <tableColumn id="4" xr3:uid="{7B42286D-64E9-4E5F-91BD-04A0111536FE}" name="Customer type" dataCellStyle="Table cell"/>
    <tableColumn id="5" xr3:uid="{11BA551C-7A3B-4DBA-8886-22B914901BA5}" name="Ausnet" dataDxfId="335" dataCellStyle="Calculation"/>
    <tableColumn id="6" xr3:uid="{C7D51D1D-F5A3-45D2-97BF-2D2C3522663C}" name="Citipower" dataDxfId="334" dataCellStyle="Calculation"/>
    <tableColumn id="7" xr3:uid="{98520615-2498-4B69-9E0F-1D3D02C38A91}" name="Jemena" dataDxfId="333" dataCellStyle="Calculation"/>
    <tableColumn id="8" xr3:uid="{9D038724-BFD4-4AE0-9E93-A285F400301A}" name="Powercor" dataDxfId="332" dataCellStyle="Calculation"/>
    <tableColumn id="9" xr3:uid="{7A6F7E36-B9EF-452A-B7C5-DCD9FEE784F5}" name="United Energy" dataDxfId="331" dataCellStyle="Calculation"/>
  </tableColumns>
  <tableStyleInfo name="Default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FF5E63F-6A48-4B35-938E-45458A34EE25}" name="Calc_Variable_1" displayName="Calc_Variable_1" ref="C50:K56" totalsRowShown="0" headerRowDxfId="330" dataDxfId="328" headerRowBorderDxfId="329" tableBorderDxfId="327" totalsRowBorderDxfId="326" headerRowCellStyle="Table col heading" dataCellStyle="Calculation">
  <tableColumns count="9">
    <tableColumn id="1" xr3:uid="{D01C5694-3942-4B70-B388-582619A4A730}" name="Variable costs" dataCellStyle="Table cell"/>
    <tableColumn id="2" xr3:uid="{7B18B367-5A4F-4675-BF52-307E9D2DFE67}" name="Fixed/Variable" dataCellStyle="Table cell"/>
    <tableColumn id="3" xr3:uid="{258FC869-F26D-469D-99EB-25477677C6D6}" name="Unit" dataCellStyle="Table cell"/>
    <tableColumn id="4" xr3:uid="{6772D669-4BEB-4A7B-8347-807634EAD556}" name="Customer type" dataCellStyle="Table cell"/>
    <tableColumn id="5" xr3:uid="{016FCE41-EF2A-4E35-9A7B-F1E430D7D105}" name="Ausnet" dataDxfId="325" dataCellStyle="Calculation">
      <calculatedColumnFormula>SUMIFS(Calc_NetworkV_1[Ausnet],Calc_NetworkV_1[[Cost item]:[Cost item]],$C51,Calc_NetworkV_1[[Customer type]:[Customer type]],$F51)</calculatedColumnFormula>
    </tableColumn>
    <tableColumn id="6" xr3:uid="{E2C0AA12-7131-46DC-85F6-23D2DC886FB0}" name="Citipower" dataDxfId="324" dataCellStyle="Calculation">
      <calculatedColumnFormula>SUMIFS(Calc_NetworkV_1[Citipower],Calc_NetworkV_1[[Cost item]:[Cost item]],$C51,Calc_NetworkV_1[[Customer type]:[Customer type]],$F51)</calculatedColumnFormula>
    </tableColumn>
    <tableColumn id="7" xr3:uid="{EF4DD9F0-6C3E-41F9-B55E-8140D1AD8185}" name="Jemena" dataDxfId="323" dataCellStyle="Calculation">
      <calculatedColumnFormula>SUMIFS(Calc_NetworkV_1[Jemena],Calc_NetworkV_1[[Cost item]:[Cost item]],$C51,Calc_NetworkV_1[[Customer type]:[Customer type]],$F51)</calculatedColumnFormula>
    </tableColumn>
    <tableColumn id="8" xr3:uid="{947CFCA4-E7A4-4A08-847F-78F175CA3E8A}" name="Powercor" dataDxfId="322" dataCellStyle="Calculation">
      <calculatedColumnFormula>SUMIFS(Calc_NetworkV_1[Powercor],Calc_NetworkV_1[[Cost item]:[Cost item]],$C51,Calc_NetworkV_1[[Customer type]:[Customer type]],$F51)</calculatedColumnFormula>
    </tableColumn>
    <tableColumn id="9" xr3:uid="{B3FA65E5-67A9-4C54-BE06-6A8BC367B8D2}" name="United Energy" dataDxfId="321" dataCellStyle="Calculation">
      <calculatedColumnFormula>SUMIFS(Calc_NetworkV_1[United Energy],Calc_NetworkV_1[[Cost item]:[Cost item]],$C51,Calc_NetworkV_1[[Customer type]:[Customer type]],$F51)</calculatedColumnFormula>
    </tableColumn>
  </tableColumns>
  <tableStyleInfo name="Default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42E7283-7EC9-4B31-8751-F22F33197074}" name="Calc_CPI_2" displayName="Calc_CPI_2" ref="C408:I424" totalsRowShown="0" headerRowDxfId="320" headerRowBorderDxfId="319" tableBorderDxfId="318" headerRowCellStyle="Table col heading">
  <tableColumns count="7">
    <tableColumn id="1" xr3:uid="{0392B365-335D-4A78-9B18-7271922DE1F6}" name="Cost item"/>
    <tableColumn id="3" xr3:uid="{048F43A9-A58B-455C-8B4D-B6DA137AECA7}" name="Fixed/Variable" dataDxfId="317"/>
    <tableColumn id="10" xr3:uid="{C0FE0C8C-F5D0-4BAB-8D99-F40D7F692479}" name="Unit" dataCellStyle="Table cell"/>
    <tableColumn id="11" xr3:uid="{73F71E33-E6A7-4E95-8250-4F73CE5393B0}" name="Customer type" dataDxfId="316" dataCellStyle="Table cell"/>
    <tableColumn id="2" xr3:uid="{EE0FDEAC-B5CB-423C-9DFF-2946D2F95BAB}" name="Adjust?" dataDxfId="315" dataCellStyle="Table cell">
      <calculatedColumnFormula>INDEX(Input_CostItemCPI[],MATCH(Calc_CPI_2[[#This Row],[Cost item]],Input_CostItemCPI[Cost item],0),MATCH(Calc_Rates!$D$266,Input_CostItemCPI[#Headers],0))</calculatedColumnFormula>
    </tableColumn>
    <tableColumn id="4" xr3:uid="{A927AA6D-A956-473D-9CBB-E2BEE704389A}" name="CPI increase" dataDxfId="314" dataCellStyle="Calculation">
      <calculatedColumnFormula array="1">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calculatedColumnFormula>
    </tableColumn>
    <tableColumn id="5" xr3:uid="{0AF73545-2A78-4EA1-9B7D-36FA6144550A}" name="CPI uplift factor" dataDxfId="313" dataCellStyle="Calculation">
      <calculatedColumnFormula array="1">IFERROR((H409)*
INDEX(Input_ForRateCalc[],MATCH(Calc_CPI_2[[#This Row],[Cost item]:[Cost item]],Input_ForRateCalc[Cost item],0),MATCH($D$266,Inputs!$C$8:$Y$8,0)),"-")</calculatedColumnFormula>
    </tableColumn>
  </tableColumns>
  <tableStyleInfo name="Default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EC6A44B-92E9-41E6-A5BE-92DF20C28082}" name="Calc_Losses_2" displayName="Calc_Losses_2" ref="C427:K430" totalsRowShown="0" headerRowDxfId="312" headerRowBorderDxfId="311" tableBorderDxfId="310" headerRowCellStyle="Table col heading">
  <tableColumns count="9">
    <tableColumn id="1" xr3:uid="{FF25D25B-B907-49F1-9788-25D8E0FAB9AB}" name="Cost item"/>
    <tableColumn id="2" xr3:uid="{C154E22A-4B96-4CA0-AE66-AA8979623137}" name="Fixed/Variable"/>
    <tableColumn id="3" xr3:uid="{7225B388-345E-4195-AF66-C05D1F0E3B4C}" name="Unit"/>
    <tableColumn id="9" xr3:uid="{875CEA24-D2EE-402A-AE5F-BA8557242C89}" name="Customer type" dataDxfId="309" dataCellStyle="Table cell"/>
    <tableColumn id="4" xr3:uid="{CB25BE8A-48BA-4885-8E65-317DB9BF37BB}" name="Ausnet" dataDxfId="308"/>
    <tableColumn id="5" xr3:uid="{0B2237C4-7DBE-4B58-8B34-036750CE9DF3}" name="Citipower" dataDxfId="307"/>
    <tableColumn id="6" xr3:uid="{E1C9F9AE-0936-4E2E-A598-882FD11E197E}" name="Jemena" dataDxfId="306"/>
    <tableColumn id="7" xr3:uid="{50A41108-5F62-4C52-92E2-598288A777B6}" name="Powercor" dataDxfId="305"/>
    <tableColumn id="8" xr3:uid="{5D722926-44FE-4315-8992-A62E3FA3705F}" name="United Energy" dataDxfId="304"/>
  </tableColumns>
  <tableStyleInfo name="Default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E7EFF8-8CC4-49A5-A4B0-B1F772307F26}" name="Calc_ROM_2" displayName="Calc_ROM_2" ref="C433:K434" totalsRowShown="0" headerRowDxfId="303" headerRowBorderDxfId="302" tableBorderDxfId="301" headerRowCellStyle="Table col heading" dataCellStyle="Table cell">
  <tableColumns count="9">
    <tableColumn id="1" xr3:uid="{955F46BD-E98D-4FF8-89E3-604BDBAD5C15}" name="Cost item" dataCellStyle="Table cell"/>
    <tableColumn id="2" xr3:uid="{6E181835-1B30-4227-88B8-00DC0A938429}" name="Fixed/Variable" dataCellStyle="Table cell"/>
    <tableColumn id="3" xr3:uid="{B4F569B5-76F1-4840-94CD-ED51F23ABBB5}" name="Unit" dataCellStyle="Table cell"/>
    <tableColumn id="9" xr3:uid="{7D750D5E-3C29-452B-BA22-9541DF61C38D}" name="Customer type" dataDxfId="300" dataCellStyle="Table cell"/>
    <tableColumn id="4" xr3:uid="{E687E301-7097-4D98-AEE6-E06378C143BE}" name="Ausnet" dataDxfId="299" dataCellStyle="Calculation">
      <calculatedColumnFormula array="1">IFERROR(INDEX(Input_ForRateCalc[],MATCH(Calc_ROM_2[[#This Row],[Cost item]:[Cost item]],Input_ForRateCalc[[Cost item]:[Cost item]],0),MATCH($D$266,Inputs!$C$8:$Y$8,0)),"-")</calculatedColumnFormula>
    </tableColumn>
    <tableColumn id="5" xr3:uid="{1A564FEB-91D3-41D0-938B-AF81CFA2D721}" name="Citipower" dataDxfId="298" dataCellStyle="Internal link/lookup">
      <calculatedColumnFormula array="1">IFERROR(INDEX(Input_ForRateCalc[],MATCH(Calc_ROM_2[[#This Row],[Cost item]:[Cost item]],Input_ForRateCalc[[Cost item]:[Cost item]],0),MATCH($D$266,Inputs!$C$8:$Y$8,0)),"-")</calculatedColumnFormula>
    </tableColumn>
    <tableColumn id="6" xr3:uid="{A4210194-9161-4D9A-B76B-92DB41A3D078}" name="Jemena" dataDxfId="297" dataCellStyle="Internal link/lookup">
      <calculatedColumnFormula array="1">IFERROR(INDEX(Input_ForRateCalc[],MATCH(Calc_ROM_2[[#This Row],[Cost item]:[Cost item]],Input_ForRateCalc[[Cost item]:[Cost item]],0),MATCH($D$266,Inputs!$C$8:$Y$8,0)),"-")</calculatedColumnFormula>
    </tableColumn>
    <tableColumn id="7" xr3:uid="{C0C4DC3C-E147-4E1D-AC30-72D37EB7845B}" name="Powercor" dataDxfId="296" dataCellStyle="Internal link/lookup">
      <calculatedColumnFormula array="1">IFERROR(INDEX(Input_ForRateCalc[],MATCH(Calc_ROM_2[[#This Row],[Cost item]:[Cost item]],Input_ForRateCalc[[Cost item]:[Cost item]],0),MATCH($D$266,Inputs!$C$8:$Y$8,0)),"-")</calculatedColumnFormula>
    </tableColumn>
    <tableColumn id="8" xr3:uid="{E4E7EB2A-0FA6-46E9-B531-356F9F153E84}" name="United Energy" dataDxfId="295" dataCellStyle="Internal link/lookup">
      <calculatedColumnFormula array="1">IFERROR(INDEX(Input_ForRateCalc[],MATCH(Calc_ROM_2[[#This Row],[Cost item]:[Cost item]],Input_ForRateCalc[[Cost item]:[Cost item]],0),MATCH($D$266,Inputs!$C$8:$Y$8,0)),"-")</calculatedColumnFormula>
    </tableColumn>
  </tableColumns>
  <tableStyleInfo name="Default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F880C2-B122-4BD6-AFB2-F6FEA0892944}" name="Calc_Retail_2" displayName="Calc_Retail_2" ref="C439:K441" totalsRowShown="0" headerRowDxfId="294" headerRowBorderDxfId="293" tableBorderDxfId="292" totalsRowBorderDxfId="291" headerRowCellStyle="Table col heading">
  <tableColumns count="9">
    <tableColumn id="1" xr3:uid="{5DBFD0B1-2F68-4D8D-9DD6-1CB8E0378AF5}" name="Cost item"/>
    <tableColumn id="2" xr3:uid="{DEEB39E3-E100-46E3-8373-164B77EDA971}" name="Fixed/Variable"/>
    <tableColumn id="3" xr3:uid="{E9B6E294-9507-43FE-8432-2DC6149A44BD}" name="Unit" dataCellStyle="Table cell"/>
    <tableColumn id="9" xr3:uid="{8E50245A-0ED0-4F17-87CE-4E85E60E4872}" name="Customer type" dataDxfId="290" dataCellStyle="Table cell"/>
    <tableColumn id="4" xr3:uid="{2CD61C95-A6E5-4E0F-9C24-3AEBDA5C897D}" name="Ausnet" dataDxfId="289" dataCellStyle="Calculation">
      <calculatedColumnFormula array="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calculatedColumnFormula>
    </tableColumn>
    <tableColumn id="5" xr3:uid="{4E050103-6C8B-4305-BD73-C70DDFA3DBF5}" name="Citipower" dataDxfId="288"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item]],0),MATCH($D$266,Inputs!$H$8:$U$8,0))+
INDEX(Input_ForRateCalc[[F-PreviousVDO_InputDate]:[F-PreviousVDO_Input2]],MATCH(Calc_Retail_2[[#This Row],[Cost item]:[Cost item]]&amp;" - 5 min settlement allowance",Input_ForRateCalc[[Cost item]:[Cost item]],0),MATCH($D$266,Inputs!$H$8:$U$8,0))+
INDEX(Input_ForRateCalc[[F-PreviousVDO_InputDate]:[F-PreviousVDO_Input2]],MATCH(Calc_Retail_2[[#This Row],[Cost item]:[Cost item]]&amp;" - regulatory cost allowance",Input_ForRateCalc[[Cost item]:[Cost item]],0),MATCH($D$266,Inputs!$H$8:$U$8,0))+
INDEX(Input_ForRateCalc[[F-PreviousVDO_InputDate]:[F-PreviousVDO_Input2]],MATCH(Calc_Retail_2[[#This Row],[Cost item]:[Cost item]]&amp;" - bad debt allowance",Input_ForRateCalc[[Cost item]:[Cost item]],0),MATCH($D$266,Inputs!$H$8:$U$8,0)),"-")</calculatedColumnFormula>
    </tableColumn>
    <tableColumn id="6" xr3:uid="{99907E92-AD35-4E5A-9AF4-6ADEACB6628B}" name="Jemena" dataDxfId="287"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item]],0),MATCH($D$266,Inputs!$H$8:$U$8,0))+
INDEX(Input_ForRateCalc[[F-PreviousVDO_InputDate]:[F-PreviousVDO_Input2]],MATCH(Calc_Retail_2[[#This Row],[Cost item]:[Cost item]]&amp;" - 5 min settlement allowance",Input_ForRateCalc[[Cost item]:[Cost item]],0),MATCH($D$266,Inputs!$H$8:$U$8,0))+
INDEX(Input_ForRateCalc[[F-PreviousVDO_InputDate]:[F-PreviousVDO_Input2]],MATCH(Calc_Retail_2[[#This Row],[Cost item]:[Cost item]]&amp;" - regulatory cost allowance",Input_ForRateCalc[[Cost item]:[Cost item]],0),MATCH($D$266,Inputs!$H$8:$U$8,0))+
INDEX(Input_ForRateCalc[[F-PreviousVDO_InputDate]:[F-PreviousVDO_Input2]],MATCH(Calc_Retail_2[[#This Row],[Cost item]:[Cost item]]&amp;" - bad debt allowance",Input_ForRateCalc[[Cost item]:[Cost item]],0),MATCH($D$266,Inputs!$H$8:$U$8,0)),"-")</calculatedColumnFormula>
    </tableColumn>
    <tableColumn id="7" xr3:uid="{85CED015-2903-4856-80DE-2EF0DF32CF22}" name="Powercor" dataDxfId="286"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item]],0),MATCH($D$266,Inputs!$H$8:$U$8,0))+
INDEX(Input_ForRateCalc[[F-PreviousVDO_InputDate]:[F-PreviousVDO_Input2]],MATCH(Calc_Retail_2[[#This Row],[Cost item]:[Cost item]]&amp;" - 5 min settlement allowance",Input_ForRateCalc[[Cost item]:[Cost item]],0),MATCH($D$266,Inputs!$H$8:$U$8,0))+
INDEX(Input_ForRateCalc[[F-PreviousVDO_InputDate]:[F-PreviousVDO_Input2]],MATCH(Calc_Retail_2[[#This Row],[Cost item]:[Cost item]]&amp;" - regulatory cost allowance",Input_ForRateCalc[[Cost item]:[Cost item]],0),MATCH($D$266,Inputs!$H$8:$U$8,0))+
INDEX(Input_ForRateCalc[[F-PreviousVDO_InputDate]:[F-PreviousVDO_Input2]],MATCH(Calc_Retail_2[[#This Row],[Cost item]:[Cost item]]&amp;" - bad debt allowance",Input_ForRateCalc[[Cost item]:[Cost item]],0),MATCH($D$266,Inputs!$H$8:$U$8,0)),"-")</calculatedColumnFormula>
    </tableColumn>
    <tableColumn id="8" xr3:uid="{E2C17A32-6146-4155-9533-31AA75FDB328}" name="United Energy" dataDxfId="285" dataCellStyle="Calculation">
      <calculatedColumnFormula array="1">IFERROR(
IFERROR(INDEX(Calc_CPI_2[[CPI uplift factor]:[CPI uplift factor]],MATCH($C440&amp;" - base",Calc_CPI_2[[Cost item]:[Cost item]],0),1),0)+
IFERROR(INDEX(Calc_CPI_2[[CPI uplift factor]:[CPI uplift factor]],MATCH($C440&amp;" - regulatory cost allowance",Calc_CPI_2[[Cost item]:[Cost item]],0),1),0)+
INDEX(Input_ForRateCalc[[F-PreviousVDO_InputDate]:[F-PreviousVDO_Input2]],MATCH(Calc_Retail_2[[#This Row],[Cost item]:[Cost item]]&amp;" - base",Input_ForRateCalc[[Cost item]:[Cost item]],0),MATCH($D$266,Inputs!$H$8:$U$8,0))+
INDEX(Input_ForRateCalc[[F-PreviousVDO_InputDate]:[F-PreviousVDO_Input2]],MATCH(Calc_Retail_2[[#This Row],[Cost item]:[Cost item]]&amp;" - 5 min settlement allowance",Input_ForRateCalc[[Cost item]:[Cost item]],0),MATCH($D$266,Inputs!$H$8:$U$8,0))+
INDEX(Input_ForRateCalc[[F-PreviousVDO_InputDate]:[F-PreviousVDO_Input2]],MATCH(Calc_Retail_2[[#This Row],[Cost item]:[Cost item]]&amp;" - regulatory cost allowance",Input_ForRateCalc[[Cost item]:[Cost item]],0),MATCH($D$266,Inputs!$H$8:$U$8,0))+
INDEX(Input_ForRateCalc[[F-PreviousVDO_InputDate]:[F-PreviousVDO_Input2]],MATCH(Calc_Retail_2[[#This Row],[Cost item]:[Cost item]]&amp;" - bad debt allowance",Input_ForRateCalc[[Cost item]:[Cost item]],0),MATCH($D$266,Inputs!$H$8:$U$8,0)),"-")</calculatedColumnFormula>
    </tableColumn>
  </tableColumns>
  <tableStyleInfo name="Default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1D12CF-C7E1-4924-9282-4EC84379844B}" name="Calc_OtherCosts_2" displayName="Calc_OtherCosts_2" ref="C445:K460" totalsRowShown="0" headerRowDxfId="284" headerRowBorderDxfId="283" tableBorderDxfId="282" totalsRowBorderDxfId="281" headerRowCellStyle="Table col heading" dataCellStyle="Table cell">
  <tableColumns count="9">
    <tableColumn id="1" xr3:uid="{A1B8058A-1AB1-41BC-8A43-72B5EA27A603}" name="Cost item" dataCellStyle="Table cell"/>
    <tableColumn id="2" xr3:uid="{D5EEF1DB-85C1-49E6-99B0-CF0394951EE2}" name="Fixed/Variable" dataCellStyle="Table cell"/>
    <tableColumn id="3" xr3:uid="{E4A2F631-BD69-4A5A-85B5-508D2E2B4A0C}" name="Unit" dataCellStyle="Table cell"/>
    <tableColumn id="9" xr3:uid="{0B803444-77B6-4D2D-BB75-CD29E2D46331}" name="Customer type" dataDxfId="280" dataCellStyle="Table cell"/>
    <tableColumn id="4" xr3:uid="{085016C6-CD9B-499F-9379-4BAE408451BD}" name="Ausnet" dataDxfId="279"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 id="5" xr3:uid="{D67C074D-746D-4063-961D-3BEBB731C5BF}" name="Citipower" dataDxfId="278"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 id="6" xr3:uid="{E2A0A5AD-48B1-4C7D-B517-722AFA356FB6}" name="Jemena" dataDxfId="277"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 id="7" xr3:uid="{F78830B5-0220-404E-AF64-292E9739DDDA}" name="Powercor" dataDxfId="276"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 id="8" xr3:uid="{79D9B0F6-4D30-4C42-89E5-7F30342FAA5E}" name="United Energy" dataDxfId="275"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calculatedColumnFormula>
    </tableColumn>
  </tableColumns>
  <tableStyleInfo name="Default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E0A9ED2-8D00-4F48-8D30-FD08A8C765E7}" name="Calc_NetworkF_2" displayName="Calc_NetworkF_2" ref="C465:K470" totalsRowShown="0" headerRowDxfId="274" headerRowBorderDxfId="273" tableBorderDxfId="272" totalsRowBorderDxfId="271" headerRowCellStyle="Table col heading">
  <tableColumns count="9">
    <tableColumn id="1" xr3:uid="{D38E552C-C6A6-40C2-9CA0-7FC7197AE66A}" name="Cost item"/>
    <tableColumn id="2" xr3:uid="{03758CD2-D50C-40CD-98A0-210010BE529C}" name="Fixed/Variable"/>
    <tableColumn id="3" xr3:uid="{A465FF89-A6AC-4B33-AB2F-144AD4966E2B}" name="Unit" dataCellStyle="Table cell"/>
    <tableColumn id="9" xr3:uid="{BE863A71-0407-4CC5-A963-E85A55602C43}" name="Customer type" dataDxfId="270" dataCellStyle="Table cell"/>
    <tableColumn id="4" xr3:uid="{E263191F-A889-48FA-AAEA-BCE459A10C20}" name="Ausnet" dataDxfId="269" dataCellStyle="Calculation">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calculatedColumnFormula>
    </tableColumn>
    <tableColumn id="5" xr3:uid="{E6E4BB6F-BD70-4891-95C8-F6841E10AE1F}" name="Citipower" dataDxfId="268">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calculatedColumnFormula>
    </tableColumn>
    <tableColumn id="6" xr3:uid="{74B2C5CE-E472-453B-BE1E-199DD74C52A8}" name="Jemena" dataDxfId="267">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calculatedColumnFormula>
    </tableColumn>
    <tableColumn id="7" xr3:uid="{BB022CED-F0B8-48AE-86ED-16EA04ED82D4}" name="Powercor" dataDxfId="266">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calculatedColumnFormula>
    </tableColumn>
    <tableColumn id="8" xr3:uid="{37BB4DBB-2AA0-4B3B-B81D-A3BEDA786117}" name="United Energy" dataDxfId="265">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calculatedColumnFormula>
    </tableColumn>
  </tableColumns>
  <tableStyleInfo name="Default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72C9E2E-BCF3-4E06-AE4B-999827903A85}" name="Calc_NetworkV_2" displayName="Calc_NetworkV_2" ref="C473:K484" totalsRowShown="0" headerRowDxfId="264" dataDxfId="262" headerRowBorderDxfId="263" tableBorderDxfId="261" totalsRowBorderDxfId="260" headerRowCellStyle="Table col heading" dataCellStyle="Calculation">
  <tableColumns count="9">
    <tableColumn id="1" xr3:uid="{A42221E9-38CD-4719-9CB9-680E3FE0AB3B}" name="Cost item" dataCellStyle="Table cell"/>
    <tableColumn id="2" xr3:uid="{427969E6-F9FD-4A2F-AE33-CB0C35F67BA9}" name="Fixed/Variable" dataCellStyle="Table cell"/>
    <tableColumn id="3" xr3:uid="{2BA6E17D-E067-4AAC-B77F-219CB9F95259}" name="Unit" dataCellStyle="Table cell"/>
    <tableColumn id="9" xr3:uid="{D92AB887-DC72-4FF5-AC76-00519F97E33D}" name="Customer type" dataDxfId="259" dataCellStyle="Table cell"/>
    <tableColumn id="4" xr3:uid="{036757F4-CC3E-4CFE-BEE6-59E663C8DD43}" name="Ausnet" dataDxfId="258"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calculatedColumnFormula>
    </tableColumn>
    <tableColumn id="5" xr3:uid="{AE94E996-3010-41EE-98D2-09418CBEF705}" name="Citipower" dataDxfId="257"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calculatedColumnFormula>
    </tableColumn>
    <tableColumn id="6" xr3:uid="{C3B601D0-315D-46AC-86AD-25A56993C77D}" name="Jemena" dataDxfId="256"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calculatedColumnFormula>
    </tableColumn>
    <tableColumn id="7" xr3:uid="{75D9B400-5B56-4251-876D-D3B2AD0EDE08}" name="Powercor" dataDxfId="255"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calculatedColumnFormula>
    </tableColumn>
    <tableColumn id="8" xr3:uid="{72E976D5-6CF4-4BF4-8596-EF5DDC69965F}" name="United Energy" dataDxfId="254"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calculatedColumnFormula>
    </tableColumn>
  </tableColumns>
  <tableStyleInfo name="Default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AECED-8885-4699-9018-976951DCEAEC}" name="Calc_WholesaleRES_2" displayName="Calc_WholesaleRES_2" ref="C489:K492" totalsRowShown="0" headerRowDxfId="253" headerRowBorderDxfId="252" tableBorderDxfId="251" headerRowCellStyle="Table col heading">
  <tableColumns count="9">
    <tableColumn id="1" xr3:uid="{55616D8A-0BC7-47DE-A9AD-A18C20CAD8E8}" name="Cost item"/>
    <tableColumn id="2" xr3:uid="{8849EA41-8407-4971-A187-A2595136364B}" name="Fixed/Variable"/>
    <tableColumn id="3" xr3:uid="{7467E916-F8C7-4E84-9658-A30010C5DDFB}" name="Unit"/>
    <tableColumn id="9" xr3:uid="{DD46CE72-BA1A-4017-990D-6941FE945045}" name="Customer type" dataDxfId="250" dataCellStyle="Table cell"/>
    <tableColumn id="4" xr3:uid="{809DE305-D85D-4DA6-9F81-6D2F651C2EC0}" name="Ausnet" dataDxfId="249"/>
    <tableColumn id="5" xr3:uid="{ED0D7F05-C22B-4EC1-8CDE-AF6D2FD6166E}" name="Citipower" dataDxfId="248"/>
    <tableColumn id="6" xr3:uid="{B4B973FC-6C95-4B31-B9D7-8BFBB8D04D0F}" name="Jemena" dataDxfId="247"/>
    <tableColumn id="7" xr3:uid="{52008CB4-E4CB-481A-A36B-0E4ECF3E2C84}" name="Powercor" dataDxfId="246"/>
    <tableColumn id="8" xr3:uid="{5F24B15A-3CAE-4F6C-B56E-177E8642134E}" name="United Energy" dataDxfId="245"/>
  </tableColumns>
  <tableStyleInfo name="Default tab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7C98C9-DEA2-499D-BCEC-1ADC2B76173B}" name="Calc_WholesaleSME_2" displayName="Calc_WholesaleSME_2" ref="C495:K498" totalsRowShown="0" headerRowDxfId="244" headerRowBorderDxfId="243" tableBorderDxfId="242" headerRowCellStyle="Table col heading">
  <tableColumns count="9">
    <tableColumn id="1" xr3:uid="{2F0330C9-FA4B-4B76-809A-3FFC706FA169}" name="Cost item"/>
    <tableColumn id="2" xr3:uid="{78653F00-2B8C-4BEB-99B3-5D899DAF194B}" name="Fixed/Variable"/>
    <tableColumn id="3" xr3:uid="{EB7E3CD7-5F6B-4CB7-9B55-B1A551960A87}" name="Unit"/>
    <tableColumn id="9" xr3:uid="{565AFD53-96DA-4A2D-874C-56C80926C3E1}" name="Customer type" dataDxfId="241" dataCellStyle="Table cell"/>
    <tableColumn id="4" xr3:uid="{2D68E5B7-6558-44D7-A7DD-E465C5C7F977}" name="Ausnet" dataDxfId="240"/>
    <tableColumn id="5" xr3:uid="{E0249D4F-24CE-4366-AD41-D943CD45AF8A}" name="Citipower" dataDxfId="239"/>
    <tableColumn id="6" xr3:uid="{05111774-1FD7-46E5-904E-F77A51A63099}" name="Jemena" dataDxfId="238"/>
    <tableColumn id="7" xr3:uid="{60E0B7A4-662F-4DCA-B8BD-3A1A03F20EC4}" name="Powercor" dataDxfId="237"/>
    <tableColumn id="8" xr3:uid="{BC8EA099-7982-4976-92A9-37CF7F323A04}" name="United Energy" dataDxfId="236"/>
  </tableColumns>
  <tableStyleInfo name="Default tab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FABF61-76BF-48EF-B505-776F278BB84F}" name="Calc_EnviroVEU_2" displayName="Calc_EnviroVEU_2" ref="C503:K507" totalsRowCount="1" headerRowDxfId="235" headerRowBorderDxfId="234" tableBorderDxfId="233" headerRowCellStyle="Table col heading" dataCellStyle="Internal link/lookup">
  <tableColumns count="9">
    <tableColumn id="1" xr3:uid="{5EDF66C7-C7F9-42E7-B17E-0A2D1BB3D8EA}" name="Cost item" totalsRowDxfId="232" dataCellStyle="Table cell"/>
    <tableColumn id="2" xr3:uid="{1DD3DB1A-FA8C-40B9-96A5-CCF273541652}" name="Fixed/Variable" totalsRowDxfId="231" dataCellStyle="Table cell"/>
    <tableColumn id="3" xr3:uid="{F4DF5AAD-28C1-430F-A85B-FE98F6BCA66F}" name="Unit" totalsRowDxfId="230" dataCellStyle="Table cell"/>
    <tableColumn id="9" xr3:uid="{39F18777-7928-4E45-A6E5-4949449D9B17}" name="Customer type" totalsRowDxfId="229" dataCellStyle="Table cell"/>
    <tableColumn id="4" xr3:uid="{72BCCABF-61A1-496B-A1F1-313913406971}" name="Ausnet" dataDxfId="228" totalsRowDxfId="227" dataCellStyle="Internal link/lookup"/>
    <tableColumn id="5" xr3:uid="{3632AAF8-9994-487F-B2AE-D91E6898616F}" name="Citipower" dataDxfId="226" totalsRowDxfId="225" dataCellStyle="Internal link/lookup"/>
    <tableColumn id="6" xr3:uid="{2D670DF7-A7E1-4815-8D99-FEBF3D8719A9}" name="Jemena" dataDxfId="224" totalsRowDxfId="223" dataCellStyle="Internal link/lookup"/>
    <tableColumn id="7" xr3:uid="{F31CC8AE-80E4-4035-B43D-29D83AB0E44B}" name="Powercor" dataDxfId="222" totalsRowDxfId="221" dataCellStyle="Internal link/lookup"/>
    <tableColumn id="8" xr3:uid="{ABB21325-49FB-44E1-9BEE-EF0B2D015359}" name="United Energy" totalsRowFunction="custom" dataDxfId="220" totalsRowDxfId="219" dataCellStyle="Internal link/lookup">
      <totalsRowFormula>K506*1000</totalsRowFormula>
    </tableColumn>
  </tableColumns>
  <tableStyleInfo name="Default tab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D7F563-8C27-44C8-A251-94ED92356BAB}" name="Calc_EnviroLRET_2" displayName="Calc_EnviroLRET_2" ref="C509:K512" totalsRowShown="0" headerRowDxfId="218" headerRowBorderDxfId="217" tableBorderDxfId="216" headerRowCellStyle="Table col heading" dataCellStyle="Internal link/lookup">
  <tableColumns count="9">
    <tableColumn id="1" xr3:uid="{2E796124-0F36-4D5C-9E02-8A0D3471F3AC}" name="Cost item" dataCellStyle="Table cell"/>
    <tableColumn id="2" xr3:uid="{C0EFC863-A147-4A4B-9CD5-3BEDACFA83D3}" name="Fixed/Variable" dataCellStyle="Table cell"/>
    <tableColumn id="3" xr3:uid="{3E3D2AF2-16D7-4872-891A-23E6EF08388C}" name="Unit" dataCellStyle="Table cell"/>
    <tableColumn id="9" xr3:uid="{6D9C9597-8B4B-456E-BE78-2619427622CB}" name="Customer type" dataDxfId="215" dataCellStyle="Table cell"/>
    <tableColumn id="4" xr3:uid="{D42DF87B-2F3A-445A-A591-A957064999AE}" name="Ausnet" dataDxfId="214" dataCellStyle="Internal link/lookup"/>
    <tableColumn id="5" xr3:uid="{0D536E01-9C54-40A5-872F-7AEC6B5E5964}" name="Citipower" dataDxfId="213" dataCellStyle="Internal link/lookup"/>
    <tableColumn id="6" xr3:uid="{61156598-626D-4F85-A017-2C9888B3AD91}" name="Jemena" dataDxfId="212" dataCellStyle="Internal link/lookup"/>
    <tableColumn id="7" xr3:uid="{4EE5EB45-9330-4B64-B7A3-C08F48938D41}" name="Powercor" dataDxfId="211" dataCellStyle="Internal link/lookup"/>
    <tableColumn id="8" xr3:uid="{99C9DEB0-D84E-402A-BBDC-1CDA9A808BD7}" name="United Energy" dataDxfId="210" dataCellStyle="Internal link/lookup"/>
  </tableColumns>
  <tableStyleInfo name="Default tab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14BBD54-9845-4747-B0FC-4306CC6FFD10}" name="Calc_EnviroSRES_2" displayName="Calc_EnviroSRES_2" ref="C515:K518" totalsRowShown="0" headerRowDxfId="209" headerRowBorderDxfId="208" tableBorderDxfId="207" headerRowCellStyle="Table col heading" dataCellStyle="Internal link/lookup">
  <tableColumns count="9">
    <tableColumn id="1" xr3:uid="{791A5626-6473-40AB-9ACB-89DB21A7706B}" name="Cost item" dataCellStyle="Table cell"/>
    <tableColumn id="2" xr3:uid="{5511F733-1BC6-4C83-BDCA-2DACD06711C1}" name="Fixed/Variable" dataCellStyle="Table cell"/>
    <tableColumn id="3" xr3:uid="{4BB6E085-34C6-4694-AFAC-02FEBC452056}" name="Unit" dataCellStyle="Table cell"/>
    <tableColumn id="9" xr3:uid="{23533F4A-2712-4732-89B5-7AA0D1A80ABF}" name="Customer type" dataDxfId="206" dataCellStyle="Table cell"/>
    <tableColumn id="4" xr3:uid="{5C3D7028-D35B-4243-9BD5-803DE0C1F090}" name="Ausnet" dataDxfId="205" dataCellStyle="Internal link/lookup"/>
    <tableColumn id="5" xr3:uid="{2A46EF8F-490F-41DC-BB79-D94A9890A10A}" name="Citipower" dataDxfId="204" dataCellStyle="Internal link/lookup"/>
    <tableColumn id="6" xr3:uid="{9CEE5387-7B05-4CC5-82B7-0186B5B65A5A}" name="Jemena" dataDxfId="203" dataCellStyle="Internal link/lookup"/>
    <tableColumn id="7" xr3:uid="{81F3FABF-D50E-455F-9DE6-D4EE60D73723}" name="Powercor" dataDxfId="202" dataCellStyle="Internal link/lookup"/>
    <tableColumn id="8" xr3:uid="{B347FCC2-B745-42AC-8178-54348C53A812}" name="United Energy" dataDxfId="201" dataCellStyle="Internal link/lookup"/>
  </tableColumns>
  <tableStyleInfo name="Default tab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51D2367-9227-4BB4-96FF-F19EC747EAA3}" name="Calc_FiT_2" displayName="Calc_FiT_2" ref="C521:K522" totalsRowShown="0" headerRowDxfId="200" headerRowBorderDxfId="199" tableBorderDxfId="198" totalsRowBorderDxfId="197" headerRowCellStyle="Table col heading" dataCellStyle="Table cell">
  <tableColumns count="9">
    <tableColumn id="1" xr3:uid="{87D3B033-452C-4EAA-8C49-35E3405C2143}" name="Cost item" dataDxfId="196" dataCellStyle="Table cell"/>
    <tableColumn id="2" xr3:uid="{88359BC3-F007-4EE1-9B81-A4C460102BB2}" name="Fixed/Variable" dataDxfId="195" dataCellStyle="Table cell"/>
    <tableColumn id="3" xr3:uid="{6626E15A-F702-4BE7-A73A-E6EA86DA6540}" name="Unit" dataDxfId="194" dataCellStyle="Table cell"/>
    <tableColumn id="9" xr3:uid="{375ED3D3-A6C3-4331-B4C7-7DB2F31B8B1F}" name="Customer type" dataDxfId="193" dataCellStyle="Table cell"/>
    <tableColumn id="4" xr3:uid="{36245F65-6230-4EA2-BF7F-0CC113135C97}" name="Ausnet" dataDxfId="192"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 id="5" xr3:uid="{CA2D09F7-DE00-4523-8ABA-06C29613DAF0}" name="Citipower" dataDxfId="191"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 id="6" xr3:uid="{2815AC9D-D500-4E33-A24F-57B0B3A74BA5}" name="Jemena" dataDxfId="190"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 id="7" xr3:uid="{F06523DB-0763-4ABE-944B-6D5B8C4BAA9D}" name="Powercor" dataDxfId="189"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 id="8" xr3:uid="{FE932EEE-12EB-40EF-9237-94951095FD12}" name="United Energy" dataDxfId="188" dataCellStyle="Calculation">
      <calculatedColumnFormula array="1">IFERROR(
(IFERROR(INDEX(Calc_CPI_2[[CPI uplift factor]:[CPI uplift factor]],MATCH($C522,Calc_CPI_2[[Cost item]:[Cost item]],0),1),0)+
INDEX(Input_ForRateCalc[],MATCH(Calc_FiT_2[[#This Row],[Cost item]:[Cost item]],Input_ForRateCalc[[Cost item]:[Cost item]],0),MATCH($D$266,Inputs!$C$8:$Y$8,0))),"-")</calculatedColumnFormula>
    </tableColumn>
  </tableColumns>
  <tableStyleInfo name="Default tab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D68F95-F088-46C9-93E7-6B5656B787E5}" name="Calc_Fixed_2" displayName="Calc_Fixed_2" ref="C270:K274" totalsRowShown="0" headerRowDxfId="187" dataDxfId="185" headerRowBorderDxfId="186" tableBorderDxfId="184" totalsRowBorderDxfId="183" headerRowCellStyle="Table col heading" dataCellStyle="Calculation">
  <tableColumns count="9">
    <tableColumn id="1" xr3:uid="{6D433DCD-FDD1-461C-BE51-5F64B0028857}" name="Fixed costs" dataCellStyle="Table cell"/>
    <tableColumn id="2" xr3:uid="{ADD02781-6CE5-4079-841C-11C03E2E9665}" name="Fixed/Variable" dataCellStyle="Table cell"/>
    <tableColumn id="3" xr3:uid="{1A92D67E-B492-4C85-8E9E-B5B091B406F6}" name="Unit" dataCellStyle="Table cell"/>
    <tableColumn id="4" xr3:uid="{472EC734-2FCF-49D5-9742-7BF822185EDF}" name="Customer type" dataCellStyle="Table cell"/>
    <tableColumn id="5" xr3:uid="{D7EEA12E-6348-4F58-8BC0-7924D6482FE3}" name="Ausnet" dataDxfId="182" dataCellStyle="Calculation"/>
    <tableColumn id="6" xr3:uid="{6CBEE716-3155-4B4C-AF50-A4352518DBD3}" name="Citipower" dataDxfId="181" dataCellStyle="Calculation"/>
    <tableColumn id="7" xr3:uid="{F520C065-E9F5-4EDB-8DA0-EBF051D23BA5}" name="Jemena" dataDxfId="180" dataCellStyle="Calculation"/>
    <tableColumn id="8" xr3:uid="{D9BCCDE5-85BC-4D9C-9B03-D4A1BA943D08}" name="Powercor" dataDxfId="179" dataCellStyle="Calculation"/>
    <tableColumn id="9" xr3:uid="{7F674C9A-9F59-4BC3-B55A-1EF91EB24F45}" name="United Energy" dataDxfId="178" dataCellStyle="Calculation"/>
  </tableColumns>
  <tableStyleInfo name="Default tab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7C4114-DAEF-40E2-A897-DCCBA31E9DF7}" name="Calc_Variable_2" displayName="Calc_Variable_2" ref="C311:K317" totalsRowShown="0" headerRowDxfId="177" dataDxfId="175" headerRowBorderDxfId="176" tableBorderDxfId="174" totalsRowBorderDxfId="173" headerRowCellStyle="Table col heading" dataCellStyle="Calculation">
  <tableColumns count="9">
    <tableColumn id="1" xr3:uid="{E9428663-265E-4639-87C7-9F3BDBC5CB8E}" name="Variable costs" dataCellStyle="Table cell"/>
    <tableColumn id="2" xr3:uid="{4887F817-6E0C-4AC4-8D7F-575231CC1492}" name="Fixed/Variable" dataCellStyle="Table cell"/>
    <tableColumn id="3" xr3:uid="{A9B72F22-10DA-429E-8D83-86BB113D7F7D}" name="Unit" dataCellStyle="Table cell"/>
    <tableColumn id="4" xr3:uid="{25484AC1-7C71-4B3F-B0B2-22999836C216}" name="Customer type" dataCellStyle="Table cell"/>
    <tableColumn id="5" xr3:uid="{A6B6DA7D-C141-458D-B657-090C44FFD74B}" name="Ausnet" dataDxfId="172" dataCellStyle="Calculation">
      <calculatedColumnFormula>SUMIFS(Calc_NetworkV_1[Ausnet],Calc_NetworkV_1[[Cost item]:[Cost item]],$C312,Calc_NetworkV_1[[Customer type]:[Customer type]],$F312)</calculatedColumnFormula>
    </tableColumn>
    <tableColumn id="6" xr3:uid="{847207F5-00A7-4B3E-AEB3-B65DA23D2D91}" name="Citipower" dataDxfId="171" dataCellStyle="Calculation">
      <calculatedColumnFormula>SUMIFS(Calc_NetworkV_1[Citipower],Calc_NetworkV_1[[Cost item]:[Cost item]],$C312,Calc_NetworkV_1[[Customer type]:[Customer type]],$F312)</calculatedColumnFormula>
    </tableColumn>
    <tableColumn id="7" xr3:uid="{0C1FD2BC-AE5F-4E00-AC3A-28398FA94E09}" name="Jemena" dataDxfId="170" dataCellStyle="Calculation">
      <calculatedColumnFormula>SUMIFS(Calc_NetworkV_1[Jemena],Calc_NetworkV_1[[Cost item]:[Cost item]],$C312,Calc_NetworkV_1[[Customer type]:[Customer type]],$F312)</calculatedColumnFormula>
    </tableColumn>
    <tableColumn id="8" xr3:uid="{E174452F-B3A9-4A57-BB2E-7C173F27A50E}" name="Powercor" dataDxfId="169" dataCellStyle="Calculation">
      <calculatedColumnFormula>SUMIFS(Calc_NetworkV_1[Powercor],Calc_NetworkV_1[[Cost item]:[Cost item]],$C312,Calc_NetworkV_1[[Customer type]:[Customer type]],$F312)</calculatedColumnFormula>
    </tableColumn>
    <tableColumn id="9" xr3:uid="{141CD577-64AA-4FBA-A116-0412EB02F72E}" name="United Energy" dataDxfId="168" dataCellStyle="Calculation">
      <calculatedColumnFormula>SUMIFS(Calc_NetworkV_1[United Energy],Calc_NetworkV_1[[Cost item]:[Cost item]],$C312,Calc_NetworkV_1[[Customer type]:[Customer type]],$F312)</calculatedColumnFormula>
    </tableColumn>
  </tableColumns>
  <tableStyleInfo name="Default tab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D4BA07-FFEF-46D7-8C6B-485F53BD797C}" name="Calc_TUV_Env_1" displayName="Calc_TUV_Env_1" ref="C15:O57" totalsRowShown="0" headerRowDxfId="167" headerRowBorderDxfId="166" tableBorderDxfId="165" headerRowCellStyle="Table col heading" dataCellStyle="Table cell">
  <tableColumns count="13">
    <tableColumn id="1" xr3:uid="{9A3E1522-EF60-458C-A033-8259CC991250}" name="Cost item" dataCellStyle="Table cell"/>
    <tableColumn id="3" xr3:uid="{AA6A5485-9931-42FB-A21B-7887DFCCA014}" name="VDO decision" dataCellStyle="Table cell"/>
    <tableColumn id="11" xr3:uid="{63469E02-A8E6-4904-A4D1-AA605090A9A1}" name="Decision/Actual" dataCellStyle="Table cell"/>
    <tableColumn id="13" xr3:uid="{6A4C01CA-5362-400A-B621-C790E4ECD057}" name="Decision ref" dataCellStyle="Table cell"/>
    <tableColumn id="4" xr3:uid="{8ABEC6A4-07CC-490E-98FE-DD358CAF5DEF}" name="Pass through (Yes/No)" dataCellStyle="Table cell"/>
    <tableColumn id="12" xr3:uid="{9AA432CC-A2AE-4FBD-93D9-8298E3AA8C5C}" name="Fixed/Variable" dataCellStyle="Table cell"/>
    <tableColumn id="2" xr3:uid="{83818C8B-F883-42B7-993F-A248AF1DD74B}" name="Unit" dataCellStyle="Table cell"/>
    <tableColumn id="5" xr3:uid="{768912C1-1664-4D27-8D20-D52821CA2B28}" name="Customer type" dataCellStyle="Table cell"/>
    <tableColumn id="6" xr3:uid="{04DDD5E9-508C-40C4-947C-1D357D975B8B}" name="Ausnet" dataDxfId="164" dataCellStyle="Table cell"/>
    <tableColumn id="7" xr3:uid="{CD0C679D-D835-4294-85E9-654B7B6E8BE3}" name="Citipower" dataDxfId="163" dataCellStyle="Table cell"/>
    <tableColumn id="8" xr3:uid="{02ABE665-7668-45F8-AD39-37CF4EF95002}" name="Jemena" dataDxfId="162" dataCellStyle="Table cell"/>
    <tableColumn id="9" xr3:uid="{79A5E329-7BA6-4A9F-8AC8-3B57AFA0DAD3}" name="Powercor" dataDxfId="161" dataCellStyle="Table cell"/>
    <tableColumn id="10" xr3:uid="{1C09CFC8-36A6-407C-B07B-AAF64193F92A}" name="United Energy" dataDxfId="160" dataCellStyle="Table cell"/>
  </tableColumns>
  <tableStyleInfo name="Default tab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8368D-D2AA-4ABB-80C1-FE62922A7BBF}" name="Calc_TUV_Env_2" displayName="Calc_TUV_Env_2" ref="C245:O284" totalsRowShown="0" headerRowDxfId="159" headerRowBorderDxfId="158" tableBorderDxfId="157" headerRowCellStyle="Table col heading" dataCellStyle="Table cell">
  <tableColumns count="13">
    <tableColumn id="1" xr3:uid="{DEAB59F0-3313-48E1-848D-A0C5FC8C4A7D}" name="Cost item" dataCellStyle="Table cell"/>
    <tableColumn id="11" xr3:uid="{07468E5A-1C05-4869-8028-31B5FD6FE643}" name="VDO decision" dataCellStyle="Table cell"/>
    <tableColumn id="12" xr3:uid="{E0CA252D-08A0-47E0-AE7D-A94CDBF23AEB}" name="Decision/Actual" dataCellStyle="Table cell"/>
    <tableColumn id="13" xr3:uid="{8E626171-48B0-4F76-8FBA-CD121EEF8146}" name="Decision ref" dataCellStyle="Table cell"/>
    <tableColumn id="4" xr3:uid="{90758148-81F3-46AE-977E-3B565EE1655E}" name="Pass through (Yes/No)" dataCellStyle="Table cell"/>
    <tableColumn id="3" xr3:uid="{F3E9F982-5696-4FC0-9018-6739485A8E32}" name="Fixed/Variable" dataCellStyle="Table cell"/>
    <tableColumn id="2" xr3:uid="{E2711737-C5E5-4DFE-B4D7-6C39AB9F3BBA}" name="Unit" dataCellStyle="Table cell"/>
    <tableColumn id="5" xr3:uid="{F1CEFF4A-CFB0-4FB8-B8F7-00ACC7559123}" name="Customer type" dataCellStyle="Table cell"/>
    <tableColumn id="6" xr3:uid="{19C836A4-81F0-4E02-8F62-124FF79FB078}" name="Ausnet" dataDxfId="156" dataCellStyle="Table cell"/>
    <tableColumn id="7" xr3:uid="{AEE24C25-A8BC-420E-B521-18899E5AA37E}" name="Citipower" dataDxfId="155" dataCellStyle="Table cell"/>
    <tableColumn id="8" xr3:uid="{AEB8CFC9-76A8-427E-A724-08B3A335C7AF}" name="Jemena" dataDxfId="154" dataCellStyle="Table cell"/>
    <tableColumn id="9" xr3:uid="{96BC78E1-488C-466C-AC22-9843F217394B}" name="Powercor" dataDxfId="153" dataCellStyle="Table cell"/>
    <tableColumn id="10" xr3:uid="{745E68ED-8623-427C-AE81-7FDF8DAA9F5A}" name="United Energy" dataDxfId="152" dataCellStyle="Table cell"/>
  </tableColumns>
  <tableStyleInfo name="Default tab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6B3887C2-F913-4ADF-BCE5-B4DB6FECDE42}" name="Calc_TUV_Net_1" displayName="Calc_TUV_Net_1" ref="C103:O230" totalsRowShown="0" headerRowDxfId="151" headerRowBorderDxfId="150" tableBorderDxfId="149" headerRowCellStyle="Table col heading" dataCellStyle="Table cell">
  <tableColumns count="13">
    <tableColumn id="1" xr3:uid="{C8BD7E1E-1DD8-46D7-A978-1371F62E5C22}" name="Cost item" dataCellStyle="Table cell"/>
    <tableColumn id="3" xr3:uid="{BB851345-3385-4E9C-BBF0-1BB75D6986E3}" name="VDO decision" dataCellStyle="Table cell"/>
    <tableColumn id="11" xr3:uid="{2B5E42B7-64E5-4CF9-903A-7E0F07472F89}" name="Decision/Actual" dataDxfId="148" dataCellStyle="Table cell"/>
    <tableColumn id="13" xr3:uid="{97AFA7C6-4729-480D-A539-A29F6733B180}" name="Decision ref" dataDxfId="147" dataCellStyle="Table cell"/>
    <tableColumn id="4" xr3:uid="{6C80B2D3-AB24-44F7-9DCD-E09360E88A84}" name="Pass through (Yes/No)" dataCellStyle="Table cell"/>
    <tableColumn id="12" xr3:uid="{FAF72939-7F43-4CA3-84B9-7001023E887A}" name="Fixed/Variable" dataCellStyle="Table cell"/>
    <tableColumn id="2" xr3:uid="{2B3E2C74-E92B-4B9B-BB93-24F7CEA69A4D}" name="Unit" dataCellStyle="Table cell"/>
    <tableColumn id="5" xr3:uid="{4C99CA6A-B8ED-4428-9001-5AF3B5520E55}" name="Customer type" dataCellStyle="Table cell"/>
    <tableColumn id="6" xr3:uid="{CF828979-524A-4DF9-B9B9-A6566CC50F44}" name="Ausnet" dataDxfId="146" dataCellStyle="Table cell">
      <calculatedColumnFormula>INDEX(Input_ForRateCalc[],MATCH($C104&amp;" - "&amp;K$103,Input_ForRateCalc[Cost item],0),MATCH(#REF!,Inputs!$C$8:$Q$8,0))</calculatedColumnFormula>
    </tableColumn>
    <tableColumn id="7" xr3:uid="{E72609C9-3164-4E3F-A82E-30ED89F2C915}" name="Citipower" dataDxfId="145" dataCellStyle="Table cell"/>
    <tableColumn id="8" xr3:uid="{ACFA6199-47C9-4850-BA0D-492483CB2DEB}" name="Jemena" dataDxfId="144" dataCellStyle="Table cell"/>
    <tableColumn id="9" xr3:uid="{0CCEDAC3-4F03-43F7-BBA9-1A2EBDE5BE72}" name="Powercor" dataDxfId="143" dataCellStyle="Table cell"/>
    <tableColumn id="10" xr3:uid="{AAB1F354-BEAF-414F-BA5C-28182E45CA95}" name="United Energy" dataDxfId="142" dataCellStyle="Table cell"/>
  </tableColumns>
  <tableStyleInfo name="Default tab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F98EC66F-AA68-4EDB-80C0-49E40603808F}" name="Calc_TUV_Net_2" displayName="Calc_TUV_Net_2" ref="C331:O458" totalsRowShown="0" headerRowDxfId="141" headerRowBorderDxfId="140" tableBorderDxfId="139" headerRowCellStyle="Table col heading" dataCellStyle="Table cell">
  <tableColumns count="13">
    <tableColumn id="1" xr3:uid="{802AF59F-8604-4B66-B903-49ADFE4E3CCF}" name="Cost item" dataCellStyle="Table cell"/>
    <tableColumn id="3" xr3:uid="{8EB27DDD-18AE-433F-A5B3-E76F9D20AD45}" name="VDO decision" dataCellStyle="Table cell"/>
    <tableColumn id="11" xr3:uid="{054988D7-4073-41D7-B3ED-090DF14BF35A}" name="Decision/Actual" dataDxfId="138" dataCellStyle="Table cell"/>
    <tableColumn id="13" xr3:uid="{BA0352E2-EB7C-493C-8993-65E9EE06C836}" name="Decision ref" dataDxfId="137" dataCellStyle="Table cell"/>
    <tableColumn id="4" xr3:uid="{B8CE70A9-6CC9-4624-8AEC-7C8BCC92192C}" name="Pass through (Yes/No)" dataCellStyle="Table cell"/>
    <tableColumn id="12" xr3:uid="{FEDE33B8-16DB-4276-A069-90785447428F}" name="Fixed/Variable" dataCellStyle="Table cell"/>
    <tableColumn id="2" xr3:uid="{ACF285C0-BF63-4F73-AB4F-234265ED90CC}" name="Unit" dataCellStyle="Table cell"/>
    <tableColumn id="5" xr3:uid="{ADAC2617-D3E7-4BB8-A4F4-61EC5A4F109C}" name="Customer type" dataCellStyle="Table cell"/>
    <tableColumn id="6" xr3:uid="{DA662F0E-03DC-4EB7-A888-9EACD0EA6005}" name="Ausnet" dataDxfId="136" dataCellStyle="Table cell">
      <calculatedColumnFormula>INDEX(Input_ForRateCalc[],MATCH($C332&amp;" - "&amp;K$103,Input_ForRateCalc[Cost item],0),MATCH(#REF!,Inputs!$C$8:$Q$8,0))</calculatedColumnFormula>
    </tableColumn>
    <tableColumn id="7" xr3:uid="{7DB7A116-3678-474F-83C5-D1168C6C71C3}" name="Citipower" dataDxfId="135" dataCellStyle="Table cell"/>
    <tableColumn id="8" xr3:uid="{B5696C6B-ABCE-4541-B404-66A016EC8947}" name="Jemena" dataDxfId="134" dataCellStyle="Table cell"/>
    <tableColumn id="9" xr3:uid="{D039B53D-61BC-47A9-9CFB-2D46DD3B9A03}" name="Powercor" dataDxfId="133" dataCellStyle="Table cell"/>
    <tableColumn id="10" xr3:uid="{EF8C0228-0A1F-40C9-B385-AB92F6CA0C3C}" name="United Energy" dataDxfId="132" dataCellStyle="Table cell"/>
  </tableColumns>
  <tableStyleInfo name="Default tab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D055C5D-D1CA-45B7-8D3A-DEFFFED99BA7}" name="TUNet_Usage_Actual_2" displayName="TUNet_Usage_Actual_2" ref="C312:F319" totalsRowShown="0" headerRowDxfId="131" headerRowBorderDxfId="130" tableBorderDxfId="129" totalsRowBorderDxfId="128" headerRowCellStyle="Table col heading">
  <tableColumns count="4">
    <tableColumn id="1" xr3:uid="{28874C8A-C156-40BF-A055-DDB875FFA0D4}" name="Description"/>
    <tableColumn id="4" xr3:uid="{1B4BDA76-AE03-4FF7-9CFC-38F17C7DF6E4}" name="VDO decision"/>
    <tableColumn id="2" xr3:uid="{17A7A0D3-28A8-4CE6-936E-F72D83CD961B}" name="Customer type" dataDxfId="127" dataCellStyle="Table cell"/>
    <tableColumn id="3" xr3:uid="{7E3A8B2D-4674-4822-AF6C-48930867276F}" name="Value" dataDxfId="126" dataCellStyle="Table cell"/>
  </tableColumns>
  <tableStyleInfo name="Default tab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D4EB641-0DAC-4188-BFB1-262EBF68F214}" name="TUNet_Usage_Actual_1" displayName="TUNet_Usage_Actual_1" ref="C84:F91" totalsRowShown="0" headerRowDxfId="125" headerRowBorderDxfId="124" tableBorderDxfId="123" totalsRowBorderDxfId="122" headerRowCellStyle="Table col heading">
  <tableColumns count="4">
    <tableColumn id="1" xr3:uid="{DF878388-1FA3-415B-AEDD-161C1919B838}" name="Description"/>
    <tableColumn id="4" xr3:uid="{84EADD7B-F51E-412C-8E94-AC0CBC19B57F}" name="VDO decision" dataDxfId="121" dataCellStyle="Auto-populated">
      <calculatedColumnFormula>INDEX(Inputs!$H$10:$Q$10,1,MATCH($D$5,Inputs!$H$8:$Q$8,0))</calculatedColumnFormula>
    </tableColumn>
    <tableColumn id="2" xr3:uid="{425C28FB-44A3-4B7F-9A78-0A22116B43DA}" name="Customer type" dataDxfId="120" dataCellStyle="Table cell"/>
    <tableColumn id="3" xr3:uid="{E37F2044-12A9-4467-A63A-24B0657C5167}" name="Value" dataDxfId="119" dataCellStyle="Table cell"/>
  </tableColumns>
  <tableStyleInfo name="Default tab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45BCF77-CD47-4788-AE60-2582F6BED31B}" name="TUNet_Usage_PerRate_2" displayName="TUNet_Usage_PerRate_2" ref="C322:J328" totalsRowShown="0" headerRowDxfId="118" dataDxfId="116" headerRowBorderDxfId="117" tableBorderDxfId="115" headerRowCellStyle="Table col heading" dataCellStyle="Table cell">
  <tableColumns count="8">
    <tableColumn id="1" xr3:uid="{E8C7C3E9-1B26-46E0-A663-1DE39AE4D2C0}" name="Description" dataDxfId="114" dataCellStyle="Table cell"/>
    <tableColumn id="2" xr3:uid="{DF74788D-B1C9-4A01-B1A6-5EAF60A5F171}" name="VDO decision" dataDxfId="113" dataCellStyle="Auto-populated">
      <calculatedColumnFormula>INDEX(Inputs!$H$10:$Q$10,1,MATCH($D$235,Inputs!$H$8:$Q$8,0))</calculatedColumnFormula>
    </tableColumn>
    <tableColumn id="3" xr3:uid="{83EEC5EB-CF34-4F33-8180-0BEEF7880743}" name="Customer type" dataDxfId="112" dataCellStyle="Table cell"/>
    <tableColumn id="4" xr3:uid="{C1263D2C-8A88-4BC9-BAA1-B9848AFA365B}" name="Ausnet" dataDxfId="111" dataCellStyle="Table cell"/>
    <tableColumn id="5" xr3:uid="{3CF3B8DA-29D3-4ECD-9F95-B43381124E67}" name="Citipower" dataDxfId="110" dataCellStyle="Table cell"/>
    <tableColumn id="6" xr3:uid="{8443C700-E09C-4871-8A19-F1CF5F7F18C5}" name="Jemena" dataDxfId="109" dataCellStyle="Table cell"/>
    <tableColumn id="7" xr3:uid="{C0C7F693-766A-44F0-9355-01AF25816965}" name="Powercor" dataDxfId="108" dataCellStyle="Table cell"/>
    <tableColumn id="8" xr3:uid="{164E8A61-7E00-4646-A499-3A3CF12C6416}" name="United Energy" dataDxfId="107" dataCellStyle="Table cell"/>
  </tableColumns>
  <tableStyleInfo name="Default tab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290D667-A4D7-4671-9874-2284EC2678F4}" name="TUNet_Usage_PerRate_1" displayName="TUNet_Usage_PerRate_1" ref="C94:J100" totalsRowShown="0" headerRowDxfId="106" dataDxfId="104" headerRowBorderDxfId="105" tableBorderDxfId="103" headerRowCellStyle="Table col heading" dataCellStyle="Table cell">
  <tableColumns count="8">
    <tableColumn id="1" xr3:uid="{6A8EE9E9-FD7F-4BAE-9667-4BEE14FBF643}" name="Description" dataDxfId="102" dataCellStyle="Table cell"/>
    <tableColumn id="2" xr3:uid="{71F24345-BDE3-4B02-B60B-052DAE341DAA}" name="VDO decision" dataDxfId="101" dataCellStyle="Auto-populated">
      <calculatedColumnFormula>INDEX(Inputs!$H$10:$Q$10,1,MATCH($D$5,Inputs!$H$8:$Q$8,0))</calculatedColumnFormula>
    </tableColumn>
    <tableColumn id="3" xr3:uid="{2DE31F73-71D0-4149-8C55-8C6CB0899630}" name="Customer type" dataDxfId="100" dataCellStyle="Table cell"/>
    <tableColumn id="4" xr3:uid="{559B296F-1ED7-477A-9A22-F41F2956040E}" name="Ausnet" dataDxfId="99" dataCellStyle="Table cell"/>
    <tableColumn id="5" xr3:uid="{9E6DF55C-DF9C-470F-87BB-1DE64F2879D3}" name="Citipower" dataDxfId="98" dataCellStyle="Table cell"/>
    <tableColumn id="6" xr3:uid="{DEB90EB0-CBB8-48EC-ACA0-948C53D65573}" name="Jemena" dataDxfId="97" dataCellStyle="Table cell"/>
    <tableColumn id="7" xr3:uid="{BCB28824-5A3E-47B5-B8F4-1BDD7B8F06D3}" name="Powercor" dataDxfId="96" dataCellStyle="Table cell"/>
    <tableColumn id="8" xr3:uid="{08441778-95AA-43DA-B706-B90571C5C6CA}" name="United Energy" dataDxfId="95" dataCellStyle="Table cell"/>
  </tableColumns>
  <tableStyleInfo name="Default tabl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4D2CFF59-1E5D-4A47-96A5-64C9EA3C528A}" name="Calc_TUV_NetGroup_1" displayName="Calc_TUV_NetGroup_1" ref="C10:L19" totalsRowShown="0" headerRowDxfId="94" headerRowBorderDxfId="93" tableBorderDxfId="92" totalsRowBorderDxfId="91" headerRowCellStyle="Table col heading" dataCellStyle="Table cell">
  <tableColumns count="10">
    <tableColumn id="1" xr3:uid="{8EF54E5A-D91D-4298-89FD-EFC67CFE0DD4}" name="Cost item" dataCellStyle="Table cell"/>
    <tableColumn id="2" xr3:uid="{84190791-6BFC-4A79-B93B-C4866579D043}" name="Fixed/Variable" dataCellStyle="Table cell"/>
    <tableColumn id="3" xr3:uid="{769CC324-A856-4800-B91F-1A2F23BCF882}" name="Unit" dataDxfId="90" dataCellStyle="Table cell"/>
    <tableColumn id="4" xr3:uid="{0869432B-AD12-48DC-AA94-60F2AF283928}" name="Customer type" dataCellStyle="Table cell"/>
    <tableColumn id="10" xr3:uid="{2D9A4D99-6B97-45E1-BFC0-B4B5F1A63637}" name="Cost element" dataCellStyle="Table cell"/>
    <tableColumn id="5" xr3:uid="{633ADCA7-E47D-4FBF-B95A-08C92B09A782}" name="Ausnet" dataCellStyle="Table cell">
      <calculatedColumnFormula array="1">IFERROR(SUMIFS(INDEX(Calc_TUV_Net_1[[Ausnet]:[United Energy]],0,MATCH(Calc_TUV_NetGroup_1[[#Headers],[Ausnet]],Calc_TUV_Net_1[[#Headers],[Ausnet]:[United Energy]],0)),
Calc_TUV_Net_1[Cost item],Calc_TUV_NetGroup_1[[#This Row],[Cost item]]&amp;" cost true up",
Calc_TUV_Net_1[Customer type],Calc_TUV_NetGroup_1[[#This Row],[Customer type]]),"-")</calculatedColumnFormula>
    </tableColumn>
    <tableColumn id="6" xr3:uid="{F041680C-4CA3-4784-93F1-6F2393CEA3D1}" name="Citipower" dataCellStyle="Table cell">
      <calculatedColumnFormula array="1">IFERROR(SUMIFS(INDEX(Calc_TUV_Net_1[[Ausnet]:[United Energy]],0,MATCH(Calc_TUV_NetGroup_1[[#Headers],[Citipower]],Calc_TUV_Net_1[[#Headers],[Ausnet]:[United Energy]],0)),
Calc_TUV_Net_1[Cost item],Calc_TUV_NetGroup_1[[#This Row],[Cost item]]&amp;" cost true up",
Calc_TUV_Net_1[Customer type],Calc_TUV_NetGroup_1[[#This Row],[Customer type]]),"-")</calculatedColumnFormula>
    </tableColumn>
    <tableColumn id="7" xr3:uid="{EAEA72E6-8228-47AC-A1B7-9E9AD032E3C2}" name="Jemena" dataCellStyle="Table cell">
      <calculatedColumnFormula array="1">IFERROR(SUMIFS(INDEX(Calc_TUV_Net_1[[Ausnet]:[United Energy]],0,MATCH(Calc_TUV_NetGroup_1[[#Headers],[Jemena]],Calc_TUV_Net_1[[#Headers],[Ausnet]:[United Energy]],0)),
Calc_TUV_Net_1[Cost item],Calc_TUV_NetGroup_1[[#This Row],[Cost item]]&amp;" cost true up",
Calc_TUV_Net_1[Customer type],Calc_TUV_NetGroup_1[[#This Row],[Customer type]]),"-")</calculatedColumnFormula>
    </tableColumn>
    <tableColumn id="8" xr3:uid="{4375E2F2-823F-43AA-9CF8-D2D45DCDED3C}" name="Powercor" dataCellStyle="Table cell">
      <calculatedColumnFormula array="1">IFERROR(SUMIFS(INDEX(Calc_TUV_Net_1[[Ausnet]:[United Energy]],0,MATCH(Calc_TUV_NetGroup_1[[#Headers],[Powercor]],Calc_TUV_Net_1[[#Headers],[Ausnet]:[United Energy]],0)),
Calc_TUV_Net_1[Cost item],Calc_TUV_NetGroup_1[[#This Row],[Cost item]]&amp;" cost true up",
Calc_TUV_Net_1[Customer type],Calc_TUV_NetGroup_1[[#This Row],[Customer type]]),"-")</calculatedColumnFormula>
    </tableColumn>
    <tableColumn id="9" xr3:uid="{CEE57B37-3775-45C1-98C7-DD7F7D8E2BA0}" name="United Energy" dataDxfId="89" dataCellStyle="Internal link/lookup">
      <calculatedColumnFormula array="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calculatedColumnFormula>
    </tableColumn>
  </tableColumns>
  <tableStyleInfo name="Default tabl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1D5CE5C-A7FD-4197-8202-4CC5CB5898FF}" name="Calc_TUR_Net_1" displayName="Calc_TUR_Net_1" ref="C27:L31" totalsRowShown="0" headerRowDxfId="88" headerRowBorderDxfId="87" tableBorderDxfId="86" totalsRowBorderDxfId="85" headerRowCellStyle="Table col heading" dataCellStyle="Table cell">
  <tableColumns count="10">
    <tableColumn id="1" xr3:uid="{96F69DDD-7037-4C9B-A249-9FA4BE31F052}" name="Rate type" dataCellStyle="Table cell"/>
    <tableColumn id="2" xr3:uid="{51C955C3-5452-4093-B916-4551E0C3E040}" name="Fixed/Variable" dataCellStyle="Table cell"/>
    <tableColumn id="3" xr3:uid="{E1277D1F-56B0-47A1-9F4F-B169635AF99E}" name="Unit" dataDxfId="84" dataCellStyle="Table cell"/>
    <tableColumn id="4" xr3:uid="{3E7740D7-E476-4509-87CD-7D23F9E3747F}" name="Customer type" dataCellStyle="Table cell"/>
    <tableColumn id="10" xr3:uid="{15876CB1-BDA5-40C1-AC3B-33A0F20AAC93}" name="Cost element" dataCellStyle="Table cell"/>
    <tableColumn id="5" xr3:uid="{7F803B0D-7C22-4C4A-9B48-AA4986ED7D5F}" name="Ausnet" dataDxfId="83" dataCellStyle="Table cell">
      <calculatedColumnFormula array="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6" xr3:uid="{AA7550F8-9E8A-49A7-9D44-4F718B588574}" name="Citipower" dataCellStyle="Table cell">
      <calculatedColumnFormula array="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7" xr3:uid="{39C8AE9E-CD64-486E-A690-2982460B8CBA}" name="Jemena" dataCellStyle="Table cell">
      <calculatedColumnFormula array="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8" xr3:uid="{F9ECED3E-FBA7-4474-85E3-046AD064484D}" name="Powercor" dataCellStyle="Table cell">
      <calculatedColumnFormula array="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9" xr3:uid="{3F3EEF4C-7BBA-4E7C-BF35-6557F7A4646C}" name="United Energy" dataCellStyle="Table cell">
      <calculatedColumnFormula array="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s>
  <tableStyleInfo name="Default tabl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F52C258-3781-49C1-93FF-ED4580772ABC}" name="Calc_TUV_NetGroup_2" displayName="Calc_TUV_NetGroup_2" ref="C140:L149" totalsRowShown="0" headerRowDxfId="82" headerRowBorderDxfId="81" tableBorderDxfId="80" totalsRowBorderDxfId="79" headerRowCellStyle="Table col heading" dataCellStyle="Table cell">
  <tableColumns count="10">
    <tableColumn id="1" xr3:uid="{96D57AE1-EAFB-4AE0-9A16-5641BF28AB88}" name="Cost item" dataCellStyle="Table cell"/>
    <tableColumn id="2" xr3:uid="{45E5DC47-42D8-4C19-A53B-34F01C430921}" name="Fixed/Variable" dataCellStyle="Table cell"/>
    <tableColumn id="3" xr3:uid="{8A839F41-6127-4498-BB74-2A33BD70C444}" name="Unit" dataDxfId="78" dataCellStyle="Table cell"/>
    <tableColumn id="4" xr3:uid="{4AA6621C-AD01-4FA5-A52D-3B9C375567E2}" name="Customer type" dataCellStyle="Table cell"/>
    <tableColumn id="10" xr3:uid="{895BEAC1-AD7F-4A6E-97EF-2E1519C868CA}" name="Cost element" dataCellStyle="Table cell"/>
    <tableColumn id="5" xr3:uid="{74F5D4C2-2436-4C64-B88E-48412B7FA8CF}" name="Ausnet" dataDxfId="77" dataCellStyle="Internal link/lookup">
      <calculatedColumnFormula array="1">IFERROR(SUMIFS(INDEX(Calc_TUV_Net_2[[Ausnet]:[United Energy]],0,MATCH(Calc_TUV_NetGroup_2[[#Headers],[Ausnet]],Calc_TUV_Net_2[[#Headers],[Ausnet]:[United Energy]],0)),
Calc_TUV_Net_2[Cost item],Calc_TUV_NetGroup_2[[#This Row],[Cost item]]&amp;" cost true up",
Calc_TUV_Net_2[Customer type],Calc_TUV_NetGroup_2[[#This Row],[Customer type]]),"-")</calculatedColumnFormula>
    </tableColumn>
    <tableColumn id="6" xr3:uid="{74FFEFDF-9C46-4F0B-8874-6F37BD69D5B7}" name="Citipower" dataCellStyle="Table cell">
      <calculatedColumnFormula array="1">IFERROR(SUMIFS(INDEX(Calc_TUV_Net_2[[Ausnet]:[United Energy]],0,MATCH(Calc_TUV_NetGroup_2[[#Headers],[Citipower]],Calc_TUV_Net_2[[#Headers],[Ausnet]:[United Energy]],0)),
Calc_TUV_Net_2[Cost item],Calc_TUV_NetGroup_2[[#This Row],[Cost item]]&amp;" cost true up",
Calc_TUV_Net_2[Customer type],Calc_TUV_NetGroup_2[[#This Row],[Customer type]]),"-")</calculatedColumnFormula>
    </tableColumn>
    <tableColumn id="7" xr3:uid="{0FDAD0C1-BE4E-41E2-BF53-BA901AB1B2F3}" name="Jemena" dataCellStyle="Table cell">
      <calculatedColumnFormula array="1">IFERROR(SUMIFS(INDEX(Calc_TUV_Net_2[[Ausnet]:[United Energy]],0,MATCH(Calc_TUV_NetGroup_2[[#Headers],[Jemena]],Calc_TUV_Net_2[[#Headers],[Ausnet]:[United Energy]],0)),
Calc_TUV_Net_2[Cost item],Calc_TUV_NetGroup_2[[#This Row],[Cost item]]&amp;" cost true up",
Calc_TUV_Net_2[Customer type],Calc_TUV_NetGroup_2[[#This Row],[Customer type]]),"-")</calculatedColumnFormula>
    </tableColumn>
    <tableColumn id="8" xr3:uid="{B1FD8009-9B3A-4206-977D-C65BF274EDE2}" name="Powercor" dataCellStyle="Table cell">
      <calculatedColumnFormula array="1">IFERROR(SUMIFS(INDEX(Calc_TUV_Net_2[[Ausnet]:[United Energy]],0,MATCH(Calc_TUV_NetGroup_2[[#Headers],[Powercor]],Calc_TUV_Net_2[[#Headers],[Ausnet]:[United Energy]],0)),
Calc_TUV_Net_2[Cost item],Calc_TUV_NetGroup_2[[#This Row],[Cost item]]&amp;" cost true up",
Calc_TUV_Net_2[Customer type],Calc_TUV_NetGroup_2[[#This Row],[Customer type]]),"-")</calculatedColumnFormula>
    </tableColumn>
    <tableColumn id="9" xr3:uid="{72761EAB-764C-4B07-AEDE-D8BF0E5F5B5C}" name="United Energy" dataCellStyle="Table cell">
      <calculatedColumnFormula array="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calculatedColumnFormula>
    </tableColumn>
  </tableColumns>
  <tableStyleInfo name="Default tabl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DC4A019-850F-494F-98C1-0BFBD305CF6C}" name="Calc_TUR_Net_2" displayName="Calc_TUR_Net_2" ref="C157:L161" totalsRowShown="0" headerRowDxfId="76" headerRowBorderDxfId="75" tableBorderDxfId="74" totalsRowBorderDxfId="73" headerRowCellStyle="Table col heading" dataCellStyle="Table cell">
  <tableColumns count="10">
    <tableColumn id="1" xr3:uid="{508F5893-0986-4EA2-B925-B2EFB5554C3F}" name="Rate type" dataCellStyle="Table cell"/>
    <tableColumn id="2" xr3:uid="{B7A36EFE-FB09-4217-904A-912BBEC39451}" name="Fixed/Variable" dataCellStyle="Table cell"/>
    <tableColumn id="3" xr3:uid="{AA5BEA6C-3068-493A-9312-D43ED42985A2}" name="Unit" dataDxfId="72" dataCellStyle="Table cell"/>
    <tableColumn id="4" xr3:uid="{6849D791-ED42-40F6-88F6-33FD3B78900C}" name="Customer type" dataCellStyle="Table cell"/>
    <tableColumn id="10" xr3:uid="{CAFC397D-BF7C-4BA6-BEFB-0F1D12042B14}" name="Cost element" dataCellStyle="Table cell"/>
    <tableColumn id="5" xr3:uid="{1A63BAF3-86BD-4481-AB28-EA4C2604DE32}" name="Ausnet" dataDxfId="71" dataCellStyle="Table cell">
      <calculatedColumnFormula array="1">IFERROR(
IF(OR(
AND(Calc_TUR_Net_2[[#Headers],[Ausnet]]="Ausnet",Calc_TUR_Net_2[[#This Row],[Rate type]]="Single rate"),
AND(Calc_TUR_Net_2[[#Headers],[Ausnet]]&lt;&gt;"Ausnet",OR(Calc_TUR_Net_2[[#This Row],[Rate type]]="Block 1",Calc_TUR_Net_2[[#This Row],[Rate type]]="Balance"))),"-",
IF(Calc_TUR_Net_2[[#This Row],[Fixed/Variable]]="Fixed",
SUMIFS(Calc_TUV_NetGroup_2[Ausnet],
Calc_TUV_NetGroup_2[Cost item],Calc_TUR_Net_2[[#This Row],[Rate type]],
Calc_TUV_NetGroup_2[Customer type],Calc_TUR_Net_2[[#This Row],[Customer type]],
Calc_TUV_NetGroup_2[Cost element],Calc_TUR_Net_2[[#This Row],[Cost element]])/_xlfn.DAYS(TUR_EndDate,TUR_StartDate),
(SUMIFS(Calc_TUV_NetGroup_2[Ausnet],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 id="6" xr3:uid="{AD72CD18-01CA-4969-807E-1EF3C8B94066}" name="Citipower" dataCellStyle="Table cell">
      <calculatedColumnFormula array="1">IFERROR(
IF(OR(
AND(Calc_TUR_Net_2[[#Headers],[Citipower]]="Ausnet",Calc_TUR_Net_2[[#This Row],[Rate type]]="Single rate"),
AND(Calc_TUR_Net_2[[#Headers],[Citipower]]&lt;&gt;"Ausnet",OR(Calc_TUR_Net_2[[#This Row],[Rate type]]="Block 1",Calc_TUR_Net_2[[#This Row],[Rate type]]="Balance"))),"-",
IF(Calc_TUR_Net_2[[#This Row],[Fixed/Variable]]="Fixed",
SUMIFS(Calc_TUV_NetGroup_2[Citipower],
Calc_TUV_NetGroup_2[Cost item],Calc_TUR_Net_2[[#This Row],[Rate type]],
Calc_TUV_NetGroup_2[Customer type],Calc_TUR_Net_2[[#This Row],[Customer type]],
Calc_TUV_NetGroup_2[Cost element],Calc_TUR_Net_2[[#This Row],[Cost element]])/_xlfn.DAYS(TUR_EndDate,TUR_StartDate),
(SUMIFS(Calc_TUV_NetGroup_2[Citipower],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 id="7" xr3:uid="{BDACC691-E68C-4508-B968-4DA4567D6FDC}" name="Jemena" dataCellStyle="Table cell">
      <calculatedColumnFormula array="1">IFERROR(
IF(OR(
AND(Calc_TUR_Net_2[[#Headers],[Jemena]]="Ausnet",Calc_TUR_Net_2[[#This Row],[Rate type]]="Single rate"),
AND(Calc_TUR_Net_2[[#Headers],[Jemena]]&lt;&gt;"Ausnet",OR(Calc_TUR_Net_2[[#This Row],[Rate type]]="Block 1",Calc_TUR_Net_2[[#This Row],[Rate type]]="Balance"))),"-",
IF(Calc_TUR_Net_2[[#This Row],[Fixed/Variable]]="Fixed",
SUMIFS(Calc_TUV_NetGroup_2[Jemena],
Calc_TUV_NetGroup_2[Cost item],Calc_TUR_Net_2[[#This Row],[Rate type]],
Calc_TUV_NetGroup_2[Customer type],Calc_TUR_Net_2[[#This Row],[Customer type]],
Calc_TUV_NetGroup_2[Cost element],Calc_TUR_Net_2[[#This Row],[Cost element]])/_xlfn.DAYS(TUR_EndDate,TUR_StartDate),
(SUMIFS(Calc_TUV_NetGroup_2[Jemena],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 id="8" xr3:uid="{DFE8DC4B-790A-4026-BDAA-688FB431C951}" name="Powercor" dataCellStyle="Table cell">
      <calculatedColumnFormula array="1">IFERROR(
IF(OR(
AND(Calc_TUR_Net_2[[#Headers],[Powercor]]="Ausnet",Calc_TUR_Net_2[[#This Row],[Rate type]]="Single rate"),
AND(Calc_TUR_Net_2[[#Headers],[Powercor]]&lt;&gt;"Ausnet",OR(Calc_TUR_Net_2[[#This Row],[Rate type]]="Block 1",Calc_TUR_Net_2[[#This Row],[Rate type]]="Balance"))),"-",
IF(Calc_TUR_Net_2[[#This Row],[Fixed/Variable]]="Fixed",
SUMIFS(Calc_TUV_NetGroup_2[Powercor],
Calc_TUV_NetGroup_2[Cost item],Calc_TUR_Net_2[[#This Row],[Rate type]],
Calc_TUV_NetGroup_2[Customer type],Calc_TUR_Net_2[[#This Row],[Customer type]],
Calc_TUV_NetGroup_2[Cost element],Calc_TUR_Net_2[[#This Row],[Cost element]])/_xlfn.DAYS(TUR_EndDate,TUR_StartDate),
(SUMIFS(Calc_TUV_NetGroup_2[Powercor],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 id="9" xr3:uid="{116286F6-B1EA-474F-919D-97933C9FFD8E}" name="United Energy" dataCellStyle="Table cell">
      <calculatedColumnFormula array="1">IFERROR(
IF(OR(
AND(Calc_TUR_Net_2[[#Headers],[United Energy]]="Ausnet",Calc_TUR_Net_2[[#This Row],[Rate type]]="Single rate"),
AND(Calc_TUR_Net_2[[#Headers],[United Energy]]&lt;&gt;"Ausnet",OR(Calc_TUR_Net_2[[#This Row],[Rate type]]="Block 1",Calc_TUR_Net_2[[#This Row],[Rate type]]="Balance"))),"-",
IF(Calc_TUR_Net_2[[#This Row],[Fixed/Variable]]="Fixed",
SUMIFS(Calc_TUV_NetGroup_2[United Energy],
Calc_TUV_NetGroup_2[Cost item],Calc_TUR_Net_2[[#This Row],[Rate type]],
Calc_TUV_NetGroup_2[Customer type],Calc_TUR_Net_2[[#This Row],[Customer type]],
Calc_TUV_NetGroup_2[Cost element],Calc_TUR_Net_2[[#This Row],[Cost element]])/_xlfn.DAYS(TUR_EndDate,TUR_StartDate),
(SUMIFS(Calc_TUV_NetGroup_2[United Energy],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type]],Input_Usage[Ref],0),MATCH(Calc_TU_rates!$D$135,Inputs!$I$140:$M$140,0))*
(TU_NET_RateMths/MiY)))*INDEX(#REF!,MATCH(Calc_TUR_Net_2[[#This Row],[Rate type]],#REF!,0),MATCH(Calc_TUR_Net_2[[#This Row],[Customer type]],#REF!,0)))),"-")</calculatedColumnFormula>
    </tableColumn>
  </tableColumns>
  <tableStyleInfo name="Default tabl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6098B90B-1344-4E60-B447-B890077F8628}" name="Calc_TUR_Env_1" displayName="Calc_TUR_Env_1" ref="C63:L96" totalsRowShown="0" headerRowDxfId="70" headerRowBorderDxfId="69" tableBorderDxfId="68" totalsRowBorderDxfId="67" headerRowCellStyle="Table col heading" dataCellStyle="Table cell">
  <autoFilter ref="C63:L96" xr:uid="{6098B90B-1344-4E60-B447-B890077F8628}"/>
  <sortState xmlns:xlrd2="http://schemas.microsoft.com/office/spreadsheetml/2017/richdata2" ref="C64:L96">
    <sortCondition ref="F63:F96"/>
  </sortState>
  <tableColumns count="10">
    <tableColumn id="1" xr3:uid="{E332C2D4-CE8D-433A-9ADC-D8857F562942}" name="Rate type" dataCellStyle="Table cell"/>
    <tableColumn id="2" xr3:uid="{FD1AF85E-E765-4BB5-8EC8-A06734719E82}" name="True up" dataCellStyle="Table cell"/>
    <tableColumn id="3" xr3:uid="{66195402-7784-4DD6-BFD4-6D91BEEDF8B0}" name="Unit" dataDxfId="66" dataCellStyle="Table cell"/>
    <tableColumn id="4" xr3:uid="{EAE4A069-891C-411F-9742-DF18ADDA3EA8}" name="Customer type" dataCellStyle="Table cell"/>
    <tableColumn id="5" xr3:uid="{ACC8F195-ADA3-40DC-919D-25E00F5290C5}" name="Cost element" dataDxfId="65" dataCellStyle="Table cell"/>
    <tableColumn id="6" xr3:uid="{A72E99F3-93C6-4BF6-B455-BB551880D6F9}" name="Ausnet" dataDxfId="64" dataCellStyle="Table cell">
      <calculatedColumnFormula array="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calculatedColumnFormula>
    </tableColumn>
    <tableColumn id="7" xr3:uid="{5A3D3D9B-379A-4FAE-B0D3-6769ACEE354F}" name="Citipower" dataDxfId="63" dataCellStyle="Table cell">
      <calculatedColumnFormula array="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calculatedColumnFormula>
    </tableColumn>
    <tableColumn id="8" xr3:uid="{3AA2F046-55C7-4C97-8768-89AA876C4F26}" name="Jemena" dataDxfId="62" dataCellStyle="Table cell">
      <calculatedColumnFormula array="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calculatedColumnFormula>
    </tableColumn>
    <tableColumn id="9" xr3:uid="{892CB232-15D1-4FBB-B203-B4FB00635D8D}" name="Powercor" dataDxfId="61" dataCellStyle="Table cell">
      <calculatedColumnFormula array="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calculatedColumnFormula>
    </tableColumn>
    <tableColumn id="10" xr3:uid="{3A2D3832-2CE2-4857-A3A9-52809919DD21}" name="United Energy" dataDxfId="60" dataCellStyle="Table cell">
      <calculatedColumnFormula array="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calculatedColumnFormula>
    </tableColumn>
  </tableColumns>
  <tableStyleInfo name="Default tabl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BD8EC13-7FD6-4873-9A8A-AF27A1752654}" name="Calc_TUR_ENV_2" displayName="Calc_TUR_ENV_2" ref="C193:L226" totalsRowShown="0" headerRowDxfId="59" headerRowBorderDxfId="58" tableBorderDxfId="57" totalsRowBorderDxfId="56" headerRowCellStyle="Table col heading" dataCellStyle="Table cell">
  <tableColumns count="10">
    <tableColumn id="1" xr3:uid="{D7402472-7D51-45A2-9F7E-32054A9C2AD1}" name="Rate type" dataCellStyle="Table cell"/>
    <tableColumn id="2" xr3:uid="{F4F50483-5EB8-47B9-8D7E-627214C0558E}" name="True up" dataCellStyle="Table cell"/>
    <tableColumn id="3" xr3:uid="{07E06059-0FC6-4AB4-8825-B95E8D18E5B8}" name="Unit" dataDxfId="55" dataCellStyle="Table cell"/>
    <tableColumn id="4" xr3:uid="{EAD4F5E9-2E38-4436-A301-DED41D02DFE3}" name="Customer type" dataCellStyle="Table cell"/>
    <tableColumn id="5" xr3:uid="{0DC1F14F-359A-46F9-BCA5-E770B1F92F26}" name="Cost element" dataDxfId="54" dataCellStyle="Table cell"/>
    <tableColumn id="6" xr3:uid="{29A716A7-E637-4169-A549-5FF4D3815C70}" name="Ausnet" dataDxfId="53" dataCellStyle="Table cell">
      <calculatedColumnFormula array="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calculatedColumnFormula>
    </tableColumn>
    <tableColumn id="7" xr3:uid="{BB0FA067-EEAA-48E9-BA9B-E23C98706BA6}" name="Citipower" dataDxfId="52" dataCellStyle="Table cell">
      <calculatedColumnFormula array="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calculatedColumnFormula>
    </tableColumn>
    <tableColumn id="8" xr3:uid="{F79E3A5D-B4CB-4D5B-B931-80D771F44DFA}" name="Jemena" dataDxfId="51" dataCellStyle="Table cell">
      <calculatedColumnFormula array="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calculatedColumnFormula>
    </tableColumn>
    <tableColumn id="9" xr3:uid="{7C67EE55-D28A-4FC5-ADEA-A4209390FD33}" name="Powercor" dataDxfId="50" dataCellStyle="Table cell">
      <calculatedColumnFormula array="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calculatedColumnFormula>
    </tableColumn>
    <tableColumn id="10" xr3:uid="{B4D050EC-0A71-4081-81A2-AFA078DCC264}" name="United Energy" dataDxfId="49" dataCellStyle="Table cell">
      <calculatedColumnFormula array="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calculatedColumnFormula>
    </tableColumn>
  </tableColumns>
  <tableStyleInfo name="Default tabl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8CEC897-179F-44BD-825C-BF0EE47BDAFA}" name="Calc_TUV_EnvGroup_1" displayName="Calc_TUV_EnvGroup_1" ref="C53:L56" totalsRowShown="0" headerRowDxfId="48" headerRowBorderDxfId="47" tableBorderDxfId="46" totalsRowBorderDxfId="45" headerRowCellStyle="Table col heading" dataCellStyle="Table cell">
  <tableColumns count="10">
    <tableColumn id="1" xr3:uid="{771BEA51-0FCE-4793-A637-2E8F5130E753}" name="Cost item" dataCellStyle="Table cell"/>
    <tableColumn id="2" xr3:uid="{3C34CCF2-954E-4687-8C99-E8D7D3C7ED75}" name="Fixed/Variable" dataCellStyle="Table cell"/>
    <tableColumn id="3" xr3:uid="{3C619B4E-BAC1-47C4-8ECC-6C46384996FD}" name="Unit" dataDxfId="44" dataCellStyle="Table cell"/>
    <tableColumn id="4" xr3:uid="{1503A5BC-F78F-4CF2-8C21-4A9FDC822142}" name="Customer type" dataCellStyle="Table cell"/>
    <tableColumn id="10" xr3:uid="{DE17B893-52B8-4859-B65F-88EF53883407}" name="Cost element" dataCellStyle="Table cell"/>
    <tableColumn id="5" xr3:uid="{629ABBA2-7FF9-4A02-9450-29C885B8A013}" name="Ausnet" dataCellStyle="Table cell"/>
    <tableColumn id="6" xr3:uid="{A7018C6B-64E8-46E4-8B26-2CC338AA6532}" name="Citipower" dataCellStyle="Table cell"/>
    <tableColumn id="7" xr3:uid="{94C35522-202F-48D0-8FA8-A1D7265F3B2F}" name="Jemena" dataCellStyle="Table cell"/>
    <tableColumn id="8" xr3:uid="{FEB8FEBC-4FE0-4AB3-97D0-522C200D0F26}" name="Powercor" dataCellStyle="Table cell"/>
    <tableColumn id="9" xr3:uid="{0B954CA1-2B1F-466E-85CC-83463172A299}" name="United Energy" dataDxfId="43" dataCellStyle="Internal link/lookup"/>
  </tableColumns>
  <tableStyleInfo name="Default tabl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86494F6-C76D-4BC0-9178-C720B04554FE}" name="Calc_TUV_ENVGroup_2" displayName="Calc_TUV_ENVGroup_2" ref="C183:L186" totalsRowShown="0" headerRowDxfId="42" headerRowBorderDxfId="41" tableBorderDxfId="40" totalsRowBorderDxfId="39" headerRowCellStyle="Table col heading" dataCellStyle="Table cell">
  <tableColumns count="10">
    <tableColumn id="1" xr3:uid="{F0BC8329-99A3-492E-B008-C6618C682212}" name="Cost item" dataCellStyle="Table cell"/>
    <tableColumn id="2" xr3:uid="{261548EE-86CB-4D51-A270-6FBA44A0057A}" name="Fixed/Variable" dataCellStyle="Table cell"/>
    <tableColumn id="3" xr3:uid="{2124D95F-7020-4F59-A852-6176E8CC21B4}" name="Unit" dataDxfId="38" dataCellStyle="Table cell"/>
    <tableColumn id="4" xr3:uid="{71CD4922-C40D-4E7C-9EA0-A9982C2437A5}" name="Customer type" dataCellStyle="Table cell"/>
    <tableColumn id="10" xr3:uid="{435000DE-70B4-4E67-9743-C7CF9651578E}" name="Cost element" dataDxfId="37" dataCellStyle="Table cell"/>
    <tableColumn id="5" xr3:uid="{E6640A9F-DA07-42FE-9755-14B74DDFEF89}" name="Ausnet" dataDxfId="36" dataCellStyle="Table cell"/>
    <tableColumn id="6" xr3:uid="{A0AEEBC5-C581-4732-B8E1-39B16BDC01CD}" name="Citipower" dataDxfId="35" dataCellStyle="Table cell">
      <calculatedColumnFormula array="1">IFERROR(SUMIFS(INDEX(Calc_TUV_Net_2[[Ausnet]:[United Energy]],0,MATCH(Calc_TUV_ENVGroup_2[[#Headers],[Citipower]],Calc_TUV_Net_2[[#Headers],[Ausnet]:[United Energy]],0)),
Calc_TUV_Net_2[Cost item],Calc_TUV_ENVGroup_2[[#This Row],[Cost item]]&amp;" cost true up",
Calc_TUV_Net_2[Customer type],Calc_TUV_ENVGroup_2[[#This Row],[Customer type]]),"-")</calculatedColumnFormula>
    </tableColumn>
    <tableColumn id="7" xr3:uid="{6686C12D-E8CE-44B6-86AA-D3D4B4EEC21A}" name="Jemena" dataDxfId="34" dataCellStyle="Table cell">
      <calculatedColumnFormula array="1">IFERROR(SUMIFS(INDEX(Calc_TUV_Net_2[[Ausnet]:[United Energy]],0,MATCH(Calc_TUV_ENVGroup_2[[#Headers],[Jemena]],Calc_TUV_Net_2[[#Headers],[Ausnet]:[United Energy]],0)),
Calc_TUV_Net_2[Cost item],Calc_TUV_ENVGroup_2[[#This Row],[Cost item]]&amp;" cost true up",
Calc_TUV_Net_2[Customer type],Calc_TUV_ENVGroup_2[[#This Row],[Customer type]]),"-")</calculatedColumnFormula>
    </tableColumn>
    <tableColumn id="8" xr3:uid="{2B48CA0E-7C6A-447D-84BC-7C8DC5D8197A}" name="Powercor" dataDxfId="33" dataCellStyle="Table cell">
      <calculatedColumnFormula array="1">IFERROR(SUMIFS(INDEX(Calc_TUV_Net_2[[Ausnet]:[United Energy]],0,MATCH(Calc_TUV_ENVGroup_2[[#Headers],[Powercor]],Calc_TUV_Net_2[[#Headers],[Ausnet]:[United Energy]],0)),
Calc_TUV_Net_2[Cost item],Calc_TUV_ENVGroup_2[[#This Row],[Cost item]]&amp;" cost true up",
Calc_TUV_Net_2[Customer type],Calc_TUV_ENVGroup_2[[#This Row],[Customer type]]),"-")</calculatedColumnFormula>
    </tableColumn>
    <tableColumn id="9" xr3:uid="{D5759CE0-CE25-4D79-9B28-831164F69512}" name="United Energy" dataDxfId="32" dataCellStyle="Table cell">
      <calculatedColumnFormula array="1">IFERROR(SUMIFS(INDEX(Calc_TUV_Net_2[[Ausnet]:[United Energy]],0,MATCH(Calc_TUV_ENVGroup_2[[#Headers],[United Energy]],Calc_TUV_Net_2[[#Headers],[Ausnet]:[United Energy]],0)),
Calc_TUV_Net_2[Cost item],Calc_TUV_ENVGroup_2[[#This Row],[Cost item]]&amp;" cost true up",
Calc_TUV_Net_2[Customer type],Calc_TUV_ENVGroup_2[[#This Row],[Customer type]]),"-")</calculatedColumnFormula>
    </tableColumn>
  </tableColumns>
  <tableStyleInfo name="Default tabl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2119432-BFD7-410E-AC02-B994D7186C74}" name="Calc_TUR_NetCL_2" displayName="Calc_TUR_NetCL_2" ref="C169:L170" totalsRowShown="0" headerRowDxfId="31" headerRowBorderDxfId="30" tableBorderDxfId="29" totalsRowBorderDxfId="28" headerRowCellStyle="Table col heading" dataCellStyle="Table cell">
  <tableColumns count="10">
    <tableColumn id="1" xr3:uid="{250CD9E3-6609-471C-9E86-99C77F0D99AD}" name="Rate type" dataCellStyle="Table cell"/>
    <tableColumn id="2" xr3:uid="{F56014D6-7A66-4938-9EA2-05BCBE838096}" name="Fixed/Variable" dataCellStyle="Table cell"/>
    <tableColumn id="3" xr3:uid="{27488AE4-DCA7-4E26-AC06-EA3AC43E6F02}" name="Unit" dataDxfId="27" dataCellStyle="Table cell"/>
    <tableColumn id="4" xr3:uid="{E6C5C828-5404-4056-A7FF-A47AAAE4C1FA}" name="Customer type" dataCellStyle="Table cell"/>
    <tableColumn id="10" xr3:uid="{352754BD-2E48-49B6-B8BC-35ECD0C11618}" name="Cost element" dataCellStyle="Table cell"/>
    <tableColumn id="5" xr3:uid="{C89509F0-7280-48A9-9C33-75CABE27E750}" name="Ausnet" dataDxfId="26" dataCellStyle="Table cell">
      <calculatedColumnFormula array="1">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calculatedColumnFormula>
    </tableColumn>
    <tableColumn id="6" xr3:uid="{EF042FEE-7E15-4F68-AC3F-9FD7707A4D9B}" name="Citipower" dataCellStyle="Table cell"/>
    <tableColumn id="7" xr3:uid="{06249A30-F6F3-4247-93BB-2C86EEC6DEC5}" name="Jemena" dataCellStyle="Table cell"/>
    <tableColumn id="8" xr3:uid="{ADFB6444-F462-4C6B-9C8C-5540AFAAD687}" name="Powercor" dataCellStyle="Table cell"/>
    <tableColumn id="9" xr3:uid="{A7722DF8-138B-4745-8DD1-C510A66F4E73}" name="United Energy" dataCellStyle="Table cell"/>
  </tableColumns>
  <tableStyleInfo name="Default tabl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227F24C-42F8-4AE0-9A70-1BD0C12EA8EE}" name="Calc_TUR_NetCL_1" displayName="Calc_TUR_NetCL_1" ref="C39:L40" totalsRowShown="0" headerRowDxfId="25" headerRowBorderDxfId="24" tableBorderDxfId="23" totalsRowBorderDxfId="22" headerRowCellStyle="Table col heading" dataCellStyle="Table cell">
  <tableColumns count="10">
    <tableColumn id="1" xr3:uid="{DA6CC4AC-9652-47ED-82AB-B9B19FD9C7F5}" name="Rate type" dataCellStyle="Table cell"/>
    <tableColumn id="2" xr3:uid="{6D1E7D9E-190F-45ED-9632-337B0D472194}" name="Fixed/Variable" dataCellStyle="Table cell"/>
    <tableColumn id="3" xr3:uid="{ED7F7BCC-3930-4637-8921-40D1E00C361C}" name="Unit" dataDxfId="21" dataCellStyle="Table cell"/>
    <tableColumn id="4" xr3:uid="{7A785ECA-F808-441B-9B5D-1B9DEA6F34D7}" name="Customer type" dataCellStyle="Table cell"/>
    <tableColumn id="10" xr3:uid="{B9966583-1E1A-492D-9408-6C4009A57E6A}" name="Cost element" dataCellStyle="Table cell"/>
    <tableColumn id="5" xr3:uid="{EA04CD4D-68AC-48C2-B0BF-3ECC0EE5787D}" name="Ausnet" dataDxfId="20" dataCellStyle="Table cell">
      <calculatedColumnFormula array="1">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6" xr3:uid="{46821881-310C-4951-A3CF-F7A6C66F0869}" name="Citipower" dataCellStyle="Table cell">
      <calculatedColumnFormula array="1">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7" xr3:uid="{31D12BC3-067D-425E-BF1D-6123D7808287}" name="Jemena" dataCellStyle="Table cell">
      <calculatedColumnFormula array="1">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8" xr3:uid="{64F8C960-1857-4A7B-8766-D9D6EF3483A6}" name="Powercor" dataCellStyle="Table cell">
      <calculatedColumnFormula array="1">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9" xr3:uid="{C652B29B-6227-4922-92CB-9F9FA949DA57}" name="United Energy" dataCellStyle="Table cell">
      <calculatedColumnFormula array="1">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s>
  <tableStyleInfo name="Default tabl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8509A4-B85B-4A8D-AF40-29DFBA0E9DBD}" name="LU_Units" displayName="LU_Units" ref="E7:E20" totalsRowShown="0" dataDxfId="18" headerRowBorderDxfId="19" tableBorderDxfId="17" totalsRowBorderDxfId="16" headerRowCellStyle="Table col heading" dataCellStyle="Hard-coded">
  <tableColumns count="1">
    <tableColumn id="1" xr3:uid="{9C6E56E0-72A9-4D72-9F61-583216BE24AD}" name="Units" dataDxfId="15" dataCellStyle="Hard-coded"/>
  </tableColumns>
  <tableStyleInfo name="Default tabl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1C4FA7-4A02-4FE2-8E4B-E86988411993}" name="LU_FixedVariable" displayName="LU_FixedVariable" ref="C7:C10" totalsRowShown="0" dataDxfId="13" headerRowBorderDxfId="14" tableBorderDxfId="12" totalsRowBorderDxfId="11" headerRowCellStyle="Table col heading" dataCellStyle="Hard-coded">
  <tableColumns count="1">
    <tableColumn id="1" xr3:uid="{6E304742-6DCB-4D36-AA6E-D41E67A17680}" name="Fixed/Variable" dataDxfId="10" dataCellStyle="Hard-coded"/>
  </tableColumns>
  <tableStyleInfo name="Default tabl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E1678C-13B5-41F4-9732-B8998A6F29D0}" name="LU_CustType" displayName="LU_CustType" ref="G7:G10" totalsRowShown="0" dataDxfId="8" headerRowBorderDxfId="9" tableBorderDxfId="7" totalsRowBorderDxfId="6" headerRowCellStyle="Table col heading" dataCellStyle="Hard-coded">
  <tableColumns count="1">
    <tableColumn id="1" xr3:uid="{E4257759-0421-4BCD-A015-75722E8DBCF3}" name="Customer type" dataDxfId="5" dataCellStyle="Hard-coded"/>
  </tableColumns>
  <tableStyleInfo name="Default tabl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DA846E-6B6E-42E3-B6E6-BFA08ECB3EFE}" name="LU_UsageProfiles" displayName="LU_UsageProfiles" ref="I7:I13" totalsRowShown="0" dataDxfId="3" headerRowBorderDxfId="4" tableBorderDxfId="2" totalsRowBorderDxfId="1" headerRowCellStyle="Table col heading" dataCellStyle="Hard-coded">
  <autoFilter ref="I7:I13" xr:uid="{C360791E-1C8C-48A7-B83A-F08229D11B5E}"/>
  <tableColumns count="1">
    <tableColumn id="1" xr3:uid="{D93DFBC2-B77B-456C-A30C-DC8C8723D2BF}" name="Usage profiles" dataDxfId="0" dataCellStyle="Hard-coded"/>
  </tableColumns>
  <tableStyleInfo name="Default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6.bin"/><Relationship Id="rId5" Type="http://schemas.openxmlformats.org/officeDocument/2006/relationships/table" Target="../tables/table1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printerSettings" Target="../printerSettings/printerSettings10.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 Id="rId9" Type="http://schemas.openxmlformats.org/officeDocument/2006/relationships/table" Target="../tables/table3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2.bin"/><Relationship Id="rId4" Type="http://schemas.openxmlformats.org/officeDocument/2006/relationships/table" Target="../tables/table34.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1.xml"/><Relationship Id="rId13" Type="http://schemas.openxmlformats.org/officeDocument/2006/relationships/table" Target="../tables/table46.xml"/><Relationship Id="rId18" Type="http://schemas.openxmlformats.org/officeDocument/2006/relationships/table" Target="../tables/table51.xml"/><Relationship Id="rId26" Type="http://schemas.openxmlformats.org/officeDocument/2006/relationships/table" Target="../tables/table59.xml"/><Relationship Id="rId3" Type="http://schemas.openxmlformats.org/officeDocument/2006/relationships/table" Target="../tables/table36.xml"/><Relationship Id="rId21" Type="http://schemas.openxmlformats.org/officeDocument/2006/relationships/table" Target="../tables/table54.xml"/><Relationship Id="rId7" Type="http://schemas.openxmlformats.org/officeDocument/2006/relationships/table" Target="../tables/table40.xml"/><Relationship Id="rId12" Type="http://schemas.openxmlformats.org/officeDocument/2006/relationships/table" Target="../tables/table45.xml"/><Relationship Id="rId17" Type="http://schemas.openxmlformats.org/officeDocument/2006/relationships/table" Target="../tables/table50.xml"/><Relationship Id="rId25" Type="http://schemas.openxmlformats.org/officeDocument/2006/relationships/table" Target="../tables/table58.xml"/><Relationship Id="rId2" Type="http://schemas.openxmlformats.org/officeDocument/2006/relationships/table" Target="../tables/table35.xml"/><Relationship Id="rId16" Type="http://schemas.openxmlformats.org/officeDocument/2006/relationships/table" Target="../tables/table49.xml"/><Relationship Id="rId20" Type="http://schemas.openxmlformats.org/officeDocument/2006/relationships/table" Target="../tables/table53.xml"/><Relationship Id="rId29" Type="http://schemas.openxmlformats.org/officeDocument/2006/relationships/table" Target="../tables/table62.xml"/><Relationship Id="rId1" Type="http://schemas.openxmlformats.org/officeDocument/2006/relationships/printerSettings" Target="../printerSettings/printerSettings13.bin"/><Relationship Id="rId6" Type="http://schemas.openxmlformats.org/officeDocument/2006/relationships/table" Target="../tables/table39.xml"/><Relationship Id="rId11" Type="http://schemas.openxmlformats.org/officeDocument/2006/relationships/table" Target="../tables/table44.xml"/><Relationship Id="rId24" Type="http://schemas.openxmlformats.org/officeDocument/2006/relationships/table" Target="../tables/table57.xml"/><Relationship Id="rId5" Type="http://schemas.openxmlformats.org/officeDocument/2006/relationships/table" Target="../tables/table38.xml"/><Relationship Id="rId15" Type="http://schemas.openxmlformats.org/officeDocument/2006/relationships/table" Target="../tables/table48.xml"/><Relationship Id="rId23" Type="http://schemas.openxmlformats.org/officeDocument/2006/relationships/table" Target="../tables/table56.xml"/><Relationship Id="rId28" Type="http://schemas.openxmlformats.org/officeDocument/2006/relationships/table" Target="../tables/table61.xml"/><Relationship Id="rId10" Type="http://schemas.openxmlformats.org/officeDocument/2006/relationships/table" Target="../tables/table43.xml"/><Relationship Id="rId19" Type="http://schemas.openxmlformats.org/officeDocument/2006/relationships/table" Target="../tables/table52.xml"/><Relationship Id="rId31" Type="http://schemas.openxmlformats.org/officeDocument/2006/relationships/table" Target="../tables/table64.xml"/><Relationship Id="rId4" Type="http://schemas.openxmlformats.org/officeDocument/2006/relationships/table" Target="../tables/table37.xml"/><Relationship Id="rId9" Type="http://schemas.openxmlformats.org/officeDocument/2006/relationships/table" Target="../tables/table42.xml"/><Relationship Id="rId14" Type="http://schemas.openxmlformats.org/officeDocument/2006/relationships/table" Target="../tables/table47.xml"/><Relationship Id="rId22" Type="http://schemas.openxmlformats.org/officeDocument/2006/relationships/table" Target="../tables/table55.xml"/><Relationship Id="rId27" Type="http://schemas.openxmlformats.org/officeDocument/2006/relationships/table" Target="../tables/table60.xml"/><Relationship Id="rId30" Type="http://schemas.openxmlformats.org/officeDocument/2006/relationships/table" Target="../tables/table63.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71.xml"/><Relationship Id="rId3" Type="http://schemas.openxmlformats.org/officeDocument/2006/relationships/table" Target="../tables/table66.xml"/><Relationship Id="rId7" Type="http://schemas.openxmlformats.org/officeDocument/2006/relationships/table" Target="../tables/table70.xml"/><Relationship Id="rId2" Type="http://schemas.openxmlformats.org/officeDocument/2006/relationships/table" Target="../tables/table65.xml"/><Relationship Id="rId1" Type="http://schemas.openxmlformats.org/officeDocument/2006/relationships/printerSettings" Target="../printerSettings/printerSettings14.bin"/><Relationship Id="rId6" Type="http://schemas.openxmlformats.org/officeDocument/2006/relationships/table" Target="../tables/table69.xml"/><Relationship Id="rId5" Type="http://schemas.openxmlformats.org/officeDocument/2006/relationships/table" Target="../tables/table68.xml"/><Relationship Id="rId4" Type="http://schemas.openxmlformats.org/officeDocument/2006/relationships/table" Target="../tables/table67.xml"/><Relationship Id="rId9" Type="http://schemas.openxmlformats.org/officeDocument/2006/relationships/table" Target="../tables/table72.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79.xml"/><Relationship Id="rId3" Type="http://schemas.openxmlformats.org/officeDocument/2006/relationships/table" Target="../tables/table74.xml"/><Relationship Id="rId7" Type="http://schemas.openxmlformats.org/officeDocument/2006/relationships/table" Target="../tables/table78.xml"/><Relationship Id="rId2" Type="http://schemas.openxmlformats.org/officeDocument/2006/relationships/table" Target="../tables/table73.xml"/><Relationship Id="rId1" Type="http://schemas.openxmlformats.org/officeDocument/2006/relationships/printerSettings" Target="../printerSettings/printerSettings15.bin"/><Relationship Id="rId6" Type="http://schemas.openxmlformats.org/officeDocument/2006/relationships/table" Target="../tables/table77.xml"/><Relationship Id="rId11" Type="http://schemas.openxmlformats.org/officeDocument/2006/relationships/table" Target="../tables/table82.xml"/><Relationship Id="rId5" Type="http://schemas.openxmlformats.org/officeDocument/2006/relationships/table" Target="../tables/table76.xml"/><Relationship Id="rId10" Type="http://schemas.openxmlformats.org/officeDocument/2006/relationships/table" Target="../tables/table81.xml"/><Relationship Id="rId4" Type="http://schemas.openxmlformats.org/officeDocument/2006/relationships/table" Target="../tables/table75.xml"/><Relationship Id="rId9" Type="http://schemas.openxmlformats.org/officeDocument/2006/relationships/table" Target="../tables/table8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sc.vic.gov.au/victorian-energy-upgrades-program/participating-veu-program/energy-retailers-veu-program"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84.xml"/><Relationship Id="rId2" Type="http://schemas.openxmlformats.org/officeDocument/2006/relationships/table" Target="../tables/table83.xml"/><Relationship Id="rId1" Type="http://schemas.openxmlformats.org/officeDocument/2006/relationships/printerSettings" Target="../printerSettings/printerSettings20.bin"/><Relationship Id="rId5" Type="http://schemas.openxmlformats.org/officeDocument/2006/relationships/table" Target="../tables/table86.xml"/><Relationship Id="rId4" Type="http://schemas.openxmlformats.org/officeDocument/2006/relationships/table" Target="../tables/table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A4734-09F3-4CCE-8A5E-5CCFBB5FA602}">
  <sheetPr>
    <tabColor theme="0" tint="-0.499984740745262"/>
    <pageSetUpPr autoPageBreaks="0"/>
  </sheetPr>
  <dimension ref="B7:B11"/>
  <sheetViews>
    <sheetView showGridLines="0" tabSelected="1" zoomScale="90" zoomScaleNormal="90" workbookViewId="0">
      <selection activeCell="B6" sqref="B6"/>
    </sheetView>
  </sheetViews>
  <sheetFormatPr defaultColWidth="9.1796875" defaultRowHeight="14.5"/>
  <cols>
    <col min="2" max="2" width="85.453125" customWidth="1"/>
  </cols>
  <sheetData>
    <row r="7" spans="2:2" ht="98">
      <c r="B7" s="206" t="s">
        <v>518</v>
      </c>
    </row>
    <row r="8" spans="2:2" ht="49">
      <c r="B8" s="206"/>
    </row>
    <row r="9" spans="2:2" ht="23.5">
      <c r="B9" s="204" t="s">
        <v>519</v>
      </c>
    </row>
    <row r="11" spans="2:2" ht="31">
      <c r="B11" s="205" t="s">
        <v>506</v>
      </c>
    </row>
  </sheetData>
  <sheetProtection algorithmName="SHA-512" hashValue="/BlRRJwZ1cVlNfF6KJpKap4RZKX2HV2Qavdrvu93S/XKFBnEE4Ld0Ihg+7wpi1o3tiiOe6OGW5jOsvUd7qehyg==" saltValue="u5mxJVZgdeCf/y+Crvm5cg==" spinCount="100000" sheet="1" objects="1" scenarios="1"/>
  <pageMargins left="0.7" right="0.7" top="0.75" bottom="0.75" header="0.3" footer="0.3"/>
  <pageSetup paperSize="9" orientation="portrait"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C9E0-BE5F-4892-896D-1BCD09BCAA16}">
  <sheetPr>
    <tabColor theme="0" tint="-0.499984740745262"/>
    <pageSetUpPr autoPageBreaks="0"/>
  </sheetPr>
  <dimension ref="B1:B29"/>
  <sheetViews>
    <sheetView showGridLines="0" zoomScale="90" zoomScaleNormal="90" workbookViewId="0"/>
  </sheetViews>
  <sheetFormatPr defaultRowHeight="14.5"/>
  <cols>
    <col min="2" max="2" width="200.54296875" customWidth="1"/>
  </cols>
  <sheetData>
    <row r="1" spans="2:2" ht="28.5">
      <c r="B1" s="33" t="s">
        <v>0</v>
      </c>
    </row>
    <row r="3" spans="2:2" ht="28.5">
      <c r="B3" s="33" t="s">
        <v>1</v>
      </c>
    </row>
    <row r="5" spans="2:2">
      <c r="B5" s="235" t="s">
        <v>2</v>
      </c>
    </row>
    <row r="6" spans="2:2">
      <c r="B6" s="235"/>
    </row>
    <row r="7" spans="2:2">
      <c r="B7" s="235"/>
    </row>
    <row r="8" spans="2:2">
      <c r="B8" s="235"/>
    </row>
    <row r="9" spans="2:2">
      <c r="B9" s="235"/>
    </row>
    <row r="10" spans="2:2">
      <c r="B10" s="235"/>
    </row>
    <row r="11" spans="2:2">
      <c r="B11" s="235"/>
    </row>
    <row r="12" spans="2:2">
      <c r="B12" s="235"/>
    </row>
    <row r="13" spans="2:2">
      <c r="B13" s="235"/>
    </row>
    <row r="14" spans="2:2">
      <c r="B14" s="235"/>
    </row>
    <row r="15" spans="2:2">
      <c r="B15" s="235"/>
    </row>
    <row r="16" spans="2:2">
      <c r="B16" s="235"/>
    </row>
    <row r="17" spans="2:2">
      <c r="B17" s="235"/>
    </row>
    <row r="18" spans="2:2">
      <c r="B18" s="235"/>
    </row>
    <row r="19" spans="2:2">
      <c r="B19" s="235"/>
    </row>
    <row r="20" spans="2:2">
      <c r="B20" s="235"/>
    </row>
    <row r="21" spans="2:2">
      <c r="B21" s="235"/>
    </row>
    <row r="22" spans="2:2">
      <c r="B22" s="235"/>
    </row>
    <row r="23" spans="2:2">
      <c r="B23" s="235"/>
    </row>
    <row r="24" spans="2:2">
      <c r="B24" s="235"/>
    </row>
    <row r="25" spans="2:2">
      <c r="B25" s="235"/>
    </row>
    <row r="26" spans="2:2">
      <c r="B26" s="235"/>
    </row>
    <row r="27" spans="2:2">
      <c r="B27" s="235"/>
    </row>
    <row r="28" spans="2:2">
      <c r="B28" s="235"/>
    </row>
    <row r="29" spans="2:2">
      <c r="B29" s="235"/>
    </row>
  </sheetData>
  <sheetProtection algorithmName="SHA-512" hashValue="pYtpgKDPOd1/fMPJK27Ek1kdeV7MXWqGzDo8rhISfoavU2UmK0j3ti5f/b6ikNtlwjXRVus9rkAXVxosdeDZFQ==" saltValue="f3rXuReGOXN6bLj7GUuayQ==" spinCount="100000" sheet="1" objects="1" scenarios="1"/>
  <mergeCells count="1">
    <mergeCell ref="B5:B29"/>
  </mergeCells>
  <pageMargins left="0.7" right="0.7" top="0.75" bottom="0.75" header="0.3" footer="0.3"/>
  <pageSetup paperSize="9" orientation="portrait" r:id="rId1"/>
  <headerFooter>
    <oddHeader>&amp;C&amp;B&amp;"Arial"&amp;12&amp;Kff0000​‌OFFICIAL‌​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480C-27A2-4B3E-9741-0B6D9B41C818}">
  <sheetPr codeName="Sheet4">
    <tabColor rgb="FF7F7F7F"/>
    <pageSetUpPr autoPageBreaks="0"/>
  </sheetPr>
  <dimension ref="A1:FV37"/>
  <sheetViews>
    <sheetView showGridLines="0" zoomScaleNormal="100" workbookViewId="0">
      <pane xSplit="5" topLeftCell="F1" activePane="topRight" state="frozen"/>
      <selection activeCell="B33" sqref="B33"/>
      <selection pane="topRight"/>
    </sheetView>
  </sheetViews>
  <sheetFormatPr defaultColWidth="9.453125" defaultRowHeight="14.5" zeroHeight="1"/>
  <cols>
    <col min="1" max="1" width="5.54296875" style="17" customWidth="1"/>
    <col min="2" max="2" width="25.54296875" style="4" customWidth="1"/>
    <col min="3" max="3" width="50.54296875" style="4" customWidth="1"/>
    <col min="4" max="4" width="25.54296875" style="4" customWidth="1"/>
    <col min="5" max="5" width="75.54296875" style="4" customWidth="1"/>
    <col min="6" max="178" width="5.54296875" style="4" customWidth="1"/>
  </cols>
  <sheetData>
    <row r="1" spans="1:178" ht="25.4" customHeight="1">
      <c r="A1" s="27"/>
      <c r="B1" s="22" t="str">
        <f>Disclaimer!$B$1</f>
        <v>VDO calculation model</v>
      </c>
      <c r="C1" s="22"/>
      <c r="D1" s="22"/>
      <c r="E1" s="22"/>
    </row>
    <row r="2" spans="1:178" ht="25.4" customHeight="1">
      <c r="A2" s="24">
        <f ca="1">_xlfn.SHEET()</f>
        <v>3</v>
      </c>
      <c r="B2" s="23" t="s">
        <v>3</v>
      </c>
      <c r="C2" s="23"/>
      <c r="D2" s="23"/>
      <c r="E2" s="23"/>
    </row>
    <row r="3" spans="1:178" ht="25.4" customHeight="1">
      <c r="A3" s="28"/>
      <c r="B3" s="3" t="s">
        <v>497</v>
      </c>
      <c r="C3" s="3" t="s">
        <v>4</v>
      </c>
      <c r="D3" s="3" t="s">
        <v>5</v>
      </c>
      <c r="E3" s="3" t="s">
        <v>6</v>
      </c>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row>
    <row r="4" spans="1:178" ht="30" customHeight="1">
      <c r="A4" s="29"/>
      <c r="B4" s="9" t="s">
        <v>498</v>
      </c>
      <c r="C4" s="9" t="s">
        <v>8</v>
      </c>
      <c r="D4" s="232" t="str">
        <f t="shared" ref="D4:D16" si="0">C4</f>
        <v>User guide</v>
      </c>
      <c r="E4" s="9" t="s">
        <v>9</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row>
    <row r="5" spans="1:178" ht="30" customHeight="1">
      <c r="A5" s="29"/>
      <c r="B5" s="9" t="s">
        <v>498</v>
      </c>
      <c r="C5" s="9" t="s">
        <v>45</v>
      </c>
      <c r="D5" s="232" t="str">
        <f t="shared" si="0"/>
        <v>OP_Rates</v>
      </c>
      <c r="E5" s="9" t="s">
        <v>491</v>
      </c>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row>
    <row r="6" spans="1:178" ht="30" customHeight="1">
      <c r="A6" s="29"/>
      <c r="B6" s="9" t="s">
        <v>498</v>
      </c>
      <c r="C6" s="9" t="s">
        <v>50</v>
      </c>
      <c r="D6" s="232" t="str">
        <f t="shared" si="0"/>
        <v>OP_CMAB</v>
      </c>
      <c r="E6" s="9" t="s">
        <v>492</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row>
    <row r="7" spans="1:178" ht="30" customHeight="1">
      <c r="A7" s="29"/>
      <c r="B7" s="9" t="s">
        <v>498</v>
      </c>
      <c r="C7" s="9" t="s">
        <v>560</v>
      </c>
      <c r="D7" s="232" t="str">
        <f t="shared" si="0"/>
        <v>CH_CostStack_RES</v>
      </c>
      <c r="E7" s="9" t="s">
        <v>564</v>
      </c>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row>
    <row r="8" spans="1:178" ht="30" customHeight="1">
      <c r="A8" s="29"/>
      <c r="B8" s="9" t="s">
        <v>498</v>
      </c>
      <c r="C8" s="9" t="s">
        <v>562</v>
      </c>
      <c r="D8" s="232" t="str">
        <f t="shared" si="0"/>
        <v>CH_CostStack_SME</v>
      </c>
      <c r="E8" s="9" t="s">
        <v>565</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row>
    <row r="9" spans="1:178" ht="30" customHeight="1">
      <c r="A9" s="29"/>
      <c r="B9" s="9" t="s">
        <v>498</v>
      </c>
      <c r="C9" s="9" t="s">
        <v>561</v>
      </c>
      <c r="D9" s="232" t="str">
        <f t="shared" si="0"/>
        <v>CH_CostStack_SME_10k</v>
      </c>
      <c r="E9" s="9" t="s">
        <v>566</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row>
    <row r="10" spans="1:178" ht="30" customHeight="1">
      <c r="A10" s="29"/>
      <c r="B10" s="9" t="s">
        <v>498</v>
      </c>
      <c r="C10" s="9" t="s">
        <v>46</v>
      </c>
      <c r="D10" s="232" t="str">
        <f>C10</f>
        <v>Inputs</v>
      </c>
      <c r="E10" s="9" t="s">
        <v>496</v>
      </c>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row>
    <row r="11" spans="1:178" ht="30" customHeight="1">
      <c r="A11" s="29"/>
      <c r="B11" s="9" t="s">
        <v>498</v>
      </c>
      <c r="C11" s="9" t="s">
        <v>12</v>
      </c>
      <c r="D11" s="232" t="str">
        <f>C11</f>
        <v>General assumptions</v>
      </c>
      <c r="E11" s="9" t="s">
        <v>13</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row>
    <row r="12" spans="1:178" ht="30" customHeight="1">
      <c r="A12" s="29"/>
      <c r="B12" s="9" t="s">
        <v>498</v>
      </c>
      <c r="C12" s="9" t="s">
        <v>48</v>
      </c>
      <c r="D12" s="232" t="str">
        <f>C12</f>
        <v>CPI</v>
      </c>
      <c r="E12" s="9" t="s">
        <v>499</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row>
    <row r="13" spans="1:178" ht="30" customHeight="1">
      <c r="A13" s="29"/>
      <c r="B13" s="9" t="s">
        <v>498</v>
      </c>
      <c r="C13" s="9" t="s">
        <v>43</v>
      </c>
      <c r="D13" s="232" t="str">
        <f t="shared" si="0"/>
        <v>Calc_Rates</v>
      </c>
      <c r="E13" s="9" t="s">
        <v>493</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row>
    <row r="14" spans="1:178" ht="30" customHeight="1">
      <c r="A14" s="29"/>
      <c r="B14" s="9" t="s">
        <v>498</v>
      </c>
      <c r="C14" s="9" t="s">
        <v>49</v>
      </c>
      <c r="D14" s="232" t="str">
        <f t="shared" si="0"/>
        <v>Calc_TU_values</v>
      </c>
      <c r="E14" s="9" t="s">
        <v>494</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row>
    <row r="15" spans="1:178" ht="30" customHeight="1">
      <c r="A15" s="29"/>
      <c r="B15" s="9" t="s">
        <v>498</v>
      </c>
      <c r="C15" s="9" t="s">
        <v>44</v>
      </c>
      <c r="D15" s="232" t="str">
        <f t="shared" si="0"/>
        <v>Calc_TU_rates</v>
      </c>
      <c r="E15" s="9" t="s">
        <v>495</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row>
    <row r="16" spans="1:178" ht="30" customHeight="1">
      <c r="A16" s="29"/>
      <c r="B16" s="9" t="s">
        <v>498</v>
      </c>
      <c r="C16" s="9" t="s">
        <v>11</v>
      </c>
      <c r="D16" s="232" t="str">
        <f t="shared" si="0"/>
        <v>Sources</v>
      </c>
      <c r="E16" s="9" t="s">
        <v>543</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row>
    <row r="17" spans="1:178" ht="30" customHeight="1">
      <c r="A17" s="29"/>
      <c r="B17" s="9"/>
      <c r="C17" s="9"/>
      <c r="D17" s="197"/>
      <c r="E17" s="9"/>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row>
    <row r="18" spans="1:178" ht="30" customHeight="1">
      <c r="A18" s="29"/>
      <c r="B18" s="9"/>
      <c r="C18" s="9"/>
      <c r="D18" s="197"/>
      <c r="E18" s="9"/>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row>
    <row r="19" spans="1:178" ht="30" customHeight="1">
      <c r="A19" s="29"/>
      <c r="B19" s="9"/>
      <c r="C19" s="9"/>
      <c r="D19" s="197"/>
      <c r="E19" s="9"/>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row>
    <row r="20" spans="1:178" ht="30" customHeight="1">
      <c r="A20" s="29"/>
      <c r="B20" s="9"/>
      <c r="C20" s="9"/>
      <c r="D20" s="11"/>
      <c r="E20" s="9"/>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row>
    <row r="21" spans="1:178" ht="30" customHeight="1">
      <c r="A21" s="29"/>
      <c r="B21" s="9"/>
      <c r="C21" s="9"/>
      <c r="D21" s="11"/>
      <c r="E21" s="9"/>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row>
    <row r="22" spans="1:178" ht="30" customHeight="1">
      <c r="A22" s="29"/>
      <c r="B22" s="9"/>
      <c r="C22" s="9"/>
      <c r="D22" s="11"/>
      <c r="E22" s="9"/>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row>
    <row r="23" spans="1:178" ht="30" customHeight="1">
      <c r="A23" s="29"/>
      <c r="B23" s="9"/>
      <c r="C23" s="9"/>
      <c r="D23" s="16"/>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row>
    <row r="24" spans="1:178" ht="30" customHeight="1">
      <c r="A24" s="29"/>
      <c r="B24" s="9"/>
      <c r="C24" s="9"/>
      <c r="D24" s="11"/>
      <c r="E24" s="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row>
    <row r="25" spans="1:178" ht="30" customHeight="1">
      <c r="A25" s="29"/>
      <c r="B25" s="9"/>
      <c r="C25" s="9"/>
      <c r="D25" s="11"/>
      <c r="E25" s="9"/>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row>
    <row r="26" spans="1:178"/>
    <row r="27" spans="1:178"/>
    <row r="28" spans="1:178"/>
    <row r="29" spans="1:178"/>
    <row r="30" spans="1:178"/>
    <row r="31" spans="1:178"/>
    <row r="32" spans="1:178"/>
    <row r="33"/>
    <row r="34"/>
    <row r="35"/>
    <row r="36"/>
    <row r="37"/>
  </sheetData>
  <sheetProtection algorithmName="SHA-512" hashValue="EM9GughXGDDhkdiqUHLRXl0l2mAIoMgc3mqK8hS2RvuMOdmH3sICBl+RfT+BR18L/hF2m5lwKWljM8YZUcx5ng==" saltValue="4y9bw3lY0wwxsNJy08IcUw==" spinCount="100000" sheet="1" objects="1" scenarios="1"/>
  <hyperlinks>
    <hyperlink ref="D6" location="OP_CMAB!A1" display="OP_CMAB!A1" xr:uid="{557A832B-07DC-4F1C-B4A2-32216D396E4C}"/>
    <hyperlink ref="D5" location="OP_Rates!A1" display="OP_Rates!A1" xr:uid="{84DFDE5C-6F07-4EE8-A5BD-05DBC00CEE94}"/>
    <hyperlink ref="D4" location="'User Guide'!A1" display="'User Guide'!A1" xr:uid="{E721E707-B7D5-43DF-8B6A-0DD12EBBB2F4}"/>
    <hyperlink ref="D7" location="CH_CostStack_RES!A1" display="CH_CostStack_RES!A1" xr:uid="{3643E939-F77E-4E36-9670-C28029F4E2DF}"/>
    <hyperlink ref="D8" location="CH_CostStack_SME!A1" display="CH_CostStack_SME!A1" xr:uid="{36F90D6B-DE16-4C71-8CEB-75490C4AB5B3}"/>
    <hyperlink ref="D9" location="'CH_CostStack_SME 10k'!A1" display="'CH_CostStack_SME 10k'!A1" xr:uid="{3138496E-C97E-405B-9AA0-879E6E9863DA}"/>
    <hyperlink ref="D10" location="Inputs!A1" display="Inputs!A1" xr:uid="{0760FC0B-5481-4F96-92DF-E398EA96C4B9}"/>
    <hyperlink ref="D11" location="'General Assumptions'!A1" display="'General Assumptions'!A1" xr:uid="{54705E4E-27E0-432E-AF7E-0FF201644F37}"/>
    <hyperlink ref="D12" location="'CPI'!A1" display="'CPI'!A1" xr:uid="{D6814561-27B8-4FA9-8702-073966D6363D}"/>
    <hyperlink ref="D13" location="Calc_Rates!A1" display="Calc_Rates!A1" xr:uid="{F8F5BB87-5E55-4A6D-92B6-F0B80332159A}"/>
    <hyperlink ref="D14" location="Calc_TU_values!A1" display="Calc_TU_values!A1" xr:uid="{1709CBC2-D8AE-4E9B-920B-3887A88BABA7}"/>
    <hyperlink ref="D15" location="Calc_TU_rates!A1" display="Calc_TU_rates!A1" xr:uid="{D4057A16-6760-4BD8-BAC8-A336B6EBF949}"/>
    <hyperlink ref="D16" location="Sources!A1" display="Sources!A1" xr:uid="{F68BDF3E-5886-445E-AD8D-F954DEFA1E5E}"/>
  </hyperlinks>
  <pageMargins left="0.7" right="0.7" top="0.75" bottom="0.75" header="0.3" footer="0.3"/>
  <pageSetup paperSize="9" orientation="portrait" r:id="rId1"/>
  <headerFooter>
    <oddHeader>&amp;C&amp;B&amp;"Arial"&amp;12&amp;Kff0000​‌OFFICIAL‌​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B9C-54D8-4CA7-9EA5-3139E3BA5210}">
  <sheetPr codeName="Sheet14">
    <tabColor rgb="FF7F7F7F"/>
    <pageSetUpPr autoPageBreaks="0"/>
  </sheetPr>
  <dimension ref="A1:Z112"/>
  <sheetViews>
    <sheetView showGridLines="0" topLeftCell="B1" zoomScale="90" zoomScaleNormal="90" workbookViewId="0">
      <pane ySplit="3" topLeftCell="A4" activePane="bottomLeft" state="frozen"/>
      <selection activeCell="B33" sqref="B33"/>
      <selection pane="bottomLeft" activeCell="B1" sqref="B1"/>
    </sheetView>
  </sheetViews>
  <sheetFormatPr defaultColWidth="9.453125" defaultRowHeight="14.5" outlineLevelCol="1"/>
  <cols>
    <col min="1" max="1" width="100.54296875" hidden="1" customWidth="1" outlineLevel="1"/>
    <col min="2" max="2" width="10.54296875" style="6" customWidth="1" collapsed="1"/>
    <col min="3" max="3" width="50.54296875" customWidth="1"/>
    <col min="4" max="26" width="25.54296875" customWidth="1"/>
  </cols>
  <sheetData>
    <row r="1" spans="1:26" ht="15" customHeight="1">
      <c r="A1" s="1" t="s">
        <v>15</v>
      </c>
      <c r="B1" s="231" t="s">
        <v>569</v>
      </c>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c r="A2" s="236" t="s">
        <v>16</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c r="A3" s="236"/>
      <c r="B3" s="24">
        <f ca="1">_xlfn.SHEET()</f>
        <v>4</v>
      </c>
      <c r="C3" s="23" t="s">
        <v>17</v>
      </c>
      <c r="D3" s="23"/>
      <c r="E3" s="23"/>
      <c r="F3" s="23"/>
      <c r="G3" s="23"/>
      <c r="H3" s="23"/>
      <c r="I3" s="23"/>
      <c r="J3" s="23"/>
      <c r="K3" s="23"/>
      <c r="L3" s="23"/>
      <c r="M3" s="23"/>
      <c r="N3" s="23"/>
      <c r="O3" s="23"/>
      <c r="P3" s="23"/>
      <c r="Q3" s="23"/>
      <c r="R3" s="23"/>
      <c r="S3" s="23"/>
      <c r="T3" s="23"/>
      <c r="U3" s="23"/>
      <c r="V3" s="23"/>
      <c r="W3" s="23"/>
      <c r="X3" s="23"/>
      <c r="Y3" s="23"/>
      <c r="Z3" s="23"/>
    </row>
    <row r="4" spans="1:26">
      <c r="B4"/>
    </row>
    <row r="5" spans="1:26" ht="16" thickBot="1">
      <c r="A5" s="1" t="s">
        <v>18</v>
      </c>
      <c r="B5" s="216">
        <f ca="1">MAX(B$3:B4)+0.01</f>
        <v>4.01</v>
      </c>
      <c r="C5" s="25" t="s">
        <v>19</v>
      </c>
      <c r="D5" s="25"/>
      <c r="E5" s="25"/>
      <c r="F5" s="25"/>
      <c r="G5" s="25"/>
      <c r="H5" s="25"/>
      <c r="I5" s="25"/>
      <c r="J5" s="25"/>
      <c r="K5" s="25"/>
      <c r="L5" s="25"/>
      <c r="M5" s="25"/>
      <c r="N5" s="25"/>
      <c r="O5" s="25"/>
      <c r="P5" s="25"/>
      <c r="Q5" s="25"/>
      <c r="R5" s="25"/>
      <c r="S5" s="25"/>
      <c r="T5" s="25"/>
      <c r="U5" s="25"/>
      <c r="V5" s="25"/>
      <c r="W5" s="25"/>
      <c r="X5" s="25"/>
      <c r="Y5" s="25"/>
      <c r="Z5" s="25"/>
    </row>
    <row r="6" spans="1:26">
      <c r="B6"/>
    </row>
    <row r="7" spans="1:26">
      <c r="B7"/>
    </row>
    <row r="8" spans="1:26">
      <c r="B8"/>
    </row>
    <row r="9" spans="1:26">
      <c r="B9"/>
    </row>
    <row r="10" spans="1:26">
      <c r="B10"/>
    </row>
    <row r="11" spans="1:26">
      <c r="B11"/>
    </row>
    <row r="12" spans="1:26">
      <c r="B12"/>
    </row>
    <row r="13" spans="1:26">
      <c r="B13"/>
    </row>
    <row r="14" spans="1:26">
      <c r="B14"/>
    </row>
    <row r="15" spans="1:26">
      <c r="B15"/>
    </row>
    <row r="16" spans="1:26">
      <c r="B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spans="1:26">
      <c r="B33"/>
    </row>
    <row r="34" spans="1:26">
      <c r="B34"/>
    </row>
    <row r="35" spans="1:26">
      <c r="B35"/>
    </row>
    <row r="36" spans="1:26">
      <c r="B36"/>
    </row>
    <row r="37" spans="1:26">
      <c r="B37"/>
    </row>
    <row r="38" spans="1:26">
      <c r="B38"/>
    </row>
    <row r="39" spans="1:26" ht="16" thickBot="1">
      <c r="A39" s="1" t="s">
        <v>18</v>
      </c>
      <c r="B39" s="216">
        <f ca="1">MAX(B$3:B38)+0.01</f>
        <v>4.0199999999999996</v>
      </c>
      <c r="C39" s="25" t="s">
        <v>20</v>
      </c>
      <c r="D39" s="25"/>
      <c r="E39" s="25"/>
      <c r="F39" s="25"/>
      <c r="G39" s="25"/>
      <c r="H39" s="25"/>
      <c r="I39" s="25"/>
      <c r="J39" s="25"/>
      <c r="K39" s="25"/>
      <c r="L39" s="25"/>
      <c r="M39" s="25"/>
      <c r="N39" s="25"/>
      <c r="O39" s="25"/>
      <c r="P39" s="25"/>
      <c r="Q39" s="25"/>
      <c r="R39" s="25"/>
      <c r="S39" s="25"/>
      <c r="T39" s="25"/>
      <c r="U39" s="25"/>
      <c r="V39" s="25"/>
      <c r="W39" s="25"/>
      <c r="X39" s="25"/>
      <c r="Y39" s="25"/>
      <c r="Z39" s="25"/>
    </row>
    <row r="40" spans="1:26">
      <c r="B40"/>
    </row>
    <row r="41" spans="1:26">
      <c r="B41"/>
    </row>
    <row r="42" spans="1:26" ht="15.5">
      <c r="B42"/>
      <c r="C42" s="26" t="s">
        <v>21</v>
      </c>
    </row>
    <row r="43" spans="1:26">
      <c r="B43"/>
    </row>
    <row r="44" spans="1:26">
      <c r="B44"/>
    </row>
    <row r="45" spans="1:26">
      <c r="B45"/>
    </row>
    <row r="46" spans="1:26">
      <c r="B46"/>
    </row>
    <row r="47" spans="1:26">
      <c r="B47"/>
    </row>
    <row r="48" spans="1:26">
      <c r="B48"/>
    </row>
    <row r="49" spans="2:3">
      <c r="B49"/>
    </row>
    <row r="50" spans="2:3">
      <c r="B50"/>
    </row>
    <row r="51" spans="2:3">
      <c r="B51"/>
    </row>
    <row r="52" spans="2:3">
      <c r="B52"/>
    </row>
    <row r="53" spans="2:3">
      <c r="B53"/>
    </row>
    <row r="54" spans="2:3">
      <c r="B54"/>
    </row>
    <row r="55" spans="2:3">
      <c r="B55"/>
    </row>
    <row r="56" spans="2:3">
      <c r="B56"/>
    </row>
    <row r="57" spans="2:3">
      <c r="B57"/>
    </row>
    <row r="58" spans="2:3">
      <c r="B58"/>
    </row>
    <row r="59" spans="2:3">
      <c r="B59"/>
    </row>
    <row r="60" spans="2:3">
      <c r="B60"/>
    </row>
    <row r="61" spans="2:3" ht="15.5">
      <c r="B61"/>
      <c r="C61" s="26" t="s">
        <v>22</v>
      </c>
    </row>
    <row r="62" spans="2:3">
      <c r="B62"/>
    </row>
    <row r="63" spans="2:3">
      <c r="B63"/>
    </row>
    <row r="64" spans="2:3">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3">
      <c r="B81"/>
    </row>
    <row r="82" spans="2:3">
      <c r="B82"/>
    </row>
    <row r="83" spans="2:3">
      <c r="B83"/>
    </row>
    <row r="84" spans="2:3">
      <c r="B84"/>
    </row>
    <row r="85" spans="2:3">
      <c r="B85"/>
    </row>
    <row r="86" spans="2:3">
      <c r="B86"/>
    </row>
    <row r="87" spans="2:3">
      <c r="B87"/>
    </row>
    <row r="88" spans="2:3">
      <c r="B88"/>
    </row>
    <row r="89" spans="2:3">
      <c r="B89"/>
    </row>
    <row r="90" spans="2:3">
      <c r="B90"/>
    </row>
    <row r="91" spans="2:3">
      <c r="B91"/>
    </row>
    <row r="92" spans="2:3">
      <c r="B92"/>
    </row>
    <row r="93" spans="2:3">
      <c r="B93"/>
    </row>
    <row r="94" spans="2:3">
      <c r="B94"/>
    </row>
    <row r="95" spans="2:3">
      <c r="B95"/>
    </row>
    <row r="96" spans="2:3" ht="15.5">
      <c r="B96"/>
      <c r="C96" s="26" t="s">
        <v>23</v>
      </c>
    </row>
    <row r="97" spans="1:26" ht="15.5">
      <c r="B97"/>
      <c r="C97" s="26"/>
    </row>
    <row r="98" spans="1:26">
      <c r="B98"/>
    </row>
    <row r="99" spans="1:26">
      <c r="B99"/>
    </row>
    <row r="100" spans="1:26">
      <c r="B100"/>
    </row>
    <row r="101" spans="1:26">
      <c r="B101"/>
    </row>
    <row r="102" spans="1:26">
      <c r="B102"/>
    </row>
    <row r="103" spans="1:26">
      <c r="B103"/>
    </row>
    <row r="104" spans="1:26">
      <c r="B104"/>
    </row>
    <row r="105" spans="1:26">
      <c r="B105"/>
    </row>
    <row r="106" spans="1:26" ht="16" thickBot="1">
      <c r="A106" s="1" t="s">
        <v>18</v>
      </c>
      <c r="B106" s="216">
        <f ca="1">MAX(B$3:B105)+0.01</f>
        <v>4.0299999999999994</v>
      </c>
      <c r="C106" s="25" t="s">
        <v>24</v>
      </c>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8" spans="1:26" ht="25.4" customHeight="1">
      <c r="C108" s="80" t="s">
        <v>10</v>
      </c>
    </row>
    <row r="109" spans="1:26" ht="25.4" customHeight="1">
      <c r="C109" s="79" t="s">
        <v>25</v>
      </c>
    </row>
    <row r="110" spans="1:26" ht="25.4" customHeight="1">
      <c r="C110" s="81" t="s">
        <v>26</v>
      </c>
    </row>
    <row r="111" spans="1:26" ht="25.4" customHeight="1">
      <c r="C111" s="82" t="s">
        <v>27</v>
      </c>
    </row>
    <row r="112" spans="1:26" ht="25.4" customHeight="1">
      <c r="C112" s="83" t="s">
        <v>28</v>
      </c>
    </row>
  </sheetData>
  <sheetProtection algorithmName="SHA-512" hashValue="FJZuqcix6YOTVQi5o3N2ZqqEI1Eq5LcHx6xfb4V3qHg8ez4BWiBw8JtJjT5XPEpiaE3R22YGzS8jNBSgx+OraA==" saltValue="0/nplBO6On9hIErrpwuQww==" spinCount="100000" sheet="1" objects="1" scenarios="1"/>
  <mergeCells count="1">
    <mergeCell ref="A2:A3"/>
  </mergeCells>
  <hyperlinks>
    <hyperlink ref="B1" location="Contents!A1" display="&lt;&lt; Back to contents" xr:uid="{B6AADF83-8369-4890-8CC6-36CAA1AF2DE8}"/>
  </hyperlinks>
  <pageMargins left="0.7" right="0.7" top="0.75" bottom="0.75" header="0.3" footer="0.3"/>
  <pageSetup paperSize="9" orientation="portrait" r:id="rId1"/>
  <headerFooter>
    <oddHeader>&amp;C&amp;B&amp;"Arial"&amp;12&amp;Kff0000​‌OFFICIAL‌​</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6FE-7522-432C-9E07-B6421590DE6E}">
  <sheetPr>
    <tabColor rgb="FFCE0058"/>
    <pageSetUpPr autoPageBreaks="0"/>
  </sheetPr>
  <dimension ref="A1:X173"/>
  <sheetViews>
    <sheetView showGridLines="0" topLeftCell="B1" zoomScale="90" zoomScaleNormal="90" workbookViewId="0">
      <pane ySplit="3" topLeftCell="A4" activePane="bottomLeft" state="frozen"/>
      <selection activeCell="B33" sqref="B33"/>
      <selection pane="bottomLeft" activeCell="B1" sqref="B1"/>
    </sheetView>
  </sheetViews>
  <sheetFormatPr defaultColWidth="9.453125" defaultRowHeight="14.5" outlineLevelRow="2" outlineLevelCol="1"/>
  <cols>
    <col min="1" max="1" width="100.54296875" hidden="1" customWidth="1" outlineLevel="1"/>
    <col min="2" max="2" width="10.54296875" style="6" customWidth="1" collapsed="1"/>
    <col min="3" max="3" width="30.54296875" customWidth="1"/>
    <col min="4" max="4" width="15.54296875" customWidth="1"/>
    <col min="5" max="5" width="16.453125" customWidth="1"/>
    <col min="6" max="12" width="15.54296875" customWidth="1"/>
    <col min="13" max="13" width="30.54296875" customWidth="1"/>
    <col min="14" max="14" width="15.54296875" customWidth="1"/>
    <col min="15" max="15" width="16.453125" customWidth="1"/>
    <col min="16" max="22" width="15.54296875" customWidth="1"/>
  </cols>
  <sheetData>
    <row r="1" spans="1:22" ht="15" customHeight="1">
      <c r="A1" s="1" t="s">
        <v>15</v>
      </c>
      <c r="B1" s="231" t="s">
        <v>569</v>
      </c>
      <c r="C1" s="19"/>
      <c r="D1" s="19"/>
      <c r="E1" s="19"/>
      <c r="F1" s="102" t="s">
        <v>52</v>
      </c>
      <c r="G1" s="87"/>
      <c r="H1" s="19"/>
      <c r="I1" s="19"/>
      <c r="J1" s="19"/>
      <c r="K1" s="19"/>
      <c r="L1" s="19"/>
      <c r="M1" s="19"/>
      <c r="N1" s="19"/>
      <c r="O1" s="19"/>
      <c r="P1" s="19"/>
      <c r="Q1" s="19"/>
      <c r="R1" s="19"/>
      <c r="S1" s="19"/>
      <c r="T1" s="19"/>
      <c r="U1" s="19"/>
      <c r="V1" s="19"/>
    </row>
    <row r="2" spans="1:22" s="4" customFormat="1" ht="50.15" customHeight="1">
      <c r="A2" s="236" t="s">
        <v>16</v>
      </c>
      <c r="B2" s="22"/>
      <c r="C2" s="22" t="str">
        <f>Disclaimer!$B$1</f>
        <v>VDO calculation model</v>
      </c>
      <c r="D2" s="22"/>
      <c r="E2" s="22"/>
      <c r="F2" s="156" t="str">
        <f>Calc_Rates!$D$5</f>
        <v>VDO 2023-24 - Final</v>
      </c>
      <c r="G2" s="156" t="str">
        <f>Calc_Rates!$D$266</f>
        <v>VDO 2022-23 - Final</v>
      </c>
      <c r="H2" s="22"/>
      <c r="I2" s="22"/>
      <c r="J2" s="22"/>
      <c r="K2" s="22"/>
      <c r="L2" s="22"/>
      <c r="M2" s="22"/>
      <c r="N2" s="22"/>
      <c r="O2" s="22"/>
      <c r="P2" s="22"/>
      <c r="Q2" s="22"/>
      <c r="R2" s="22"/>
      <c r="S2" s="22"/>
      <c r="T2" s="22"/>
      <c r="U2" s="22"/>
      <c r="V2" s="22"/>
    </row>
    <row r="3" spans="1:22" s="4" customFormat="1" ht="30" customHeight="1">
      <c r="A3" s="236"/>
      <c r="B3" s="24">
        <f ca="1">_xlfn.SHEET()</f>
        <v>5</v>
      </c>
      <c r="C3" s="23" t="str">
        <f>"VDO rates"</f>
        <v>VDO rates</v>
      </c>
      <c r="D3" s="23"/>
      <c r="E3" s="23"/>
      <c r="F3" s="86">
        <f>SUM(G55:K62,Q55:U62,G44:K51,Q44:U51,G66:K74,Q66:U74)</f>
        <v>0</v>
      </c>
      <c r="G3" s="86">
        <f>SUM(G128:K135,Q128:U135,G117:K124,Q117:U124,G139:K147,Q139:U147)</f>
        <v>0</v>
      </c>
      <c r="H3" s="23"/>
      <c r="I3" s="23"/>
      <c r="J3" s="23"/>
      <c r="K3" s="23"/>
      <c r="L3" s="23"/>
      <c r="M3" s="23"/>
      <c r="N3" s="23"/>
      <c r="O3" s="23"/>
      <c r="P3" s="23"/>
      <c r="Q3" s="23"/>
      <c r="R3" s="23"/>
      <c r="S3" s="23"/>
      <c r="T3" s="23"/>
      <c r="U3" s="23"/>
      <c r="V3" s="23"/>
    </row>
    <row r="4" spans="1:22">
      <c r="B4"/>
    </row>
    <row r="5" spans="1:22" ht="16" thickBot="1">
      <c r="A5" s="1" t="s">
        <v>18</v>
      </c>
      <c r="B5" s="216">
        <f ca="1">MAX(B$3:B4)+0.01</f>
        <v>5.01</v>
      </c>
      <c r="C5" s="25" t="str">
        <f>"VDO rates - "&amp;Calc_Rates!$D$5</f>
        <v>VDO rates - VDO 2023-24 - Final</v>
      </c>
      <c r="D5" s="25"/>
      <c r="E5" s="25"/>
      <c r="F5" s="25"/>
      <c r="G5" s="25"/>
      <c r="H5" s="25"/>
      <c r="I5" s="25"/>
      <c r="J5" s="25"/>
      <c r="K5" s="25"/>
      <c r="L5" s="25"/>
      <c r="M5" s="25"/>
      <c r="N5" s="25"/>
      <c r="O5" s="25"/>
      <c r="P5" s="25"/>
      <c r="Q5" s="25"/>
      <c r="R5" s="25"/>
      <c r="S5" s="25"/>
      <c r="T5" s="25"/>
      <c r="U5" s="25"/>
      <c r="V5" s="25"/>
    </row>
    <row r="6" spans="1:22" outlineLevel="1"/>
    <row r="7" spans="1:22" ht="15.5" outlineLevel="1">
      <c r="C7" s="26" t="s">
        <v>53</v>
      </c>
      <c r="M7" s="26" t="s">
        <v>54</v>
      </c>
      <c r="P7" s="78"/>
      <c r="Q7" s="78"/>
      <c r="R7" s="78"/>
    </row>
    <row r="8" spans="1:22" ht="15.5" outlineLevel="1">
      <c r="C8" s="111" t="s">
        <v>55</v>
      </c>
      <c r="D8" s="111" t="s">
        <v>56</v>
      </c>
      <c r="E8" s="111" t="s">
        <v>57</v>
      </c>
      <c r="F8" s="111" t="s">
        <v>7</v>
      </c>
      <c r="G8" s="54" t="s">
        <v>58</v>
      </c>
      <c r="H8" s="54" t="s">
        <v>59</v>
      </c>
      <c r="I8" s="54" t="s">
        <v>60</v>
      </c>
      <c r="J8" s="54" t="s">
        <v>61</v>
      </c>
      <c r="K8" s="54" t="s">
        <v>62</v>
      </c>
      <c r="M8" s="111" t="s">
        <v>55</v>
      </c>
      <c r="N8" s="111" t="s">
        <v>56</v>
      </c>
      <c r="O8" s="111" t="s">
        <v>57</v>
      </c>
      <c r="P8" s="111" t="s">
        <v>7</v>
      </c>
      <c r="Q8" s="54" t="s">
        <v>58</v>
      </c>
      <c r="R8" s="54" t="s">
        <v>59</v>
      </c>
      <c r="S8" s="54" t="s">
        <v>60</v>
      </c>
      <c r="T8" s="54" t="s">
        <v>61</v>
      </c>
      <c r="U8" s="54" t="s">
        <v>62</v>
      </c>
    </row>
    <row r="9" spans="1:22" outlineLevel="1">
      <c r="C9" s="20" t="s">
        <v>63</v>
      </c>
      <c r="D9" s="20" t="s">
        <v>64</v>
      </c>
      <c r="E9" s="20" t="s">
        <v>65</v>
      </c>
      <c r="F9" s="20" t="s">
        <v>7</v>
      </c>
      <c r="G9" s="135" cm="1">
        <f t="array" ref="G9">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1.3250999999999999</v>
      </c>
      <c r="H9" s="135" cm="1">
        <f t="array" ref="H9">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1.1525000000000001</v>
      </c>
      <c r="I9" s="135" cm="1">
        <f t="array" ref="I9">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1.1437999999999999</v>
      </c>
      <c r="J9" s="135" cm="1">
        <f t="array" ref="J9">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1.3002</v>
      </c>
      <c r="K9" s="135" cm="1">
        <f t="array" ref="K9">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1.0813999999999999</v>
      </c>
      <c r="M9" s="20" t="s">
        <v>63</v>
      </c>
      <c r="N9" s="20" t="s">
        <v>64</v>
      </c>
      <c r="O9" s="20" t="s">
        <v>66</v>
      </c>
      <c r="P9" s="20" t="s">
        <v>7</v>
      </c>
      <c r="Q9" s="135" cm="1">
        <f t="array" ref="Q9">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1.3250999999999999</v>
      </c>
      <c r="R9" s="135" cm="1">
        <f t="array" ref="R9">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1.3433999999999999</v>
      </c>
      <c r="S9" s="135" cm="1">
        <f t="array" ref="S9">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1.3057000000000001</v>
      </c>
      <c r="T9" s="135" cm="1">
        <f t="array" ref="T9">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1.4275</v>
      </c>
      <c r="U9" s="135" cm="1">
        <f t="array" ref="U9">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1.2404999999999999</v>
      </c>
    </row>
    <row r="10" spans="1:22" outlineLevel="1">
      <c r="C10" s="20" t="s">
        <v>67</v>
      </c>
      <c r="D10" s="20" t="s">
        <v>68</v>
      </c>
      <c r="E10" s="20" t="s">
        <v>65</v>
      </c>
      <c r="F10" s="20" t="s">
        <v>7</v>
      </c>
      <c r="G10" s="135" cm="1">
        <f t="array" ref="G10">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0.3851</v>
      </c>
      <c r="H10" s="135" cm="1">
        <f t="array" ref="H10">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0" s="135" cm="1">
        <f t="array" ref="I10">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0" s="135" cm="1">
        <f t="array" ref="J10">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0" s="135" cm="1">
        <f t="array" ref="K10">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0" s="20" t="s">
        <v>67</v>
      </c>
      <c r="N10" s="20" t="s">
        <v>68</v>
      </c>
      <c r="O10" s="20" t="s">
        <v>66</v>
      </c>
      <c r="P10" s="20" t="s">
        <v>7</v>
      </c>
      <c r="Q10" s="135" cm="1">
        <f t="array" ref="Q10">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0.41549999999999998</v>
      </c>
      <c r="R10" s="135" cm="1">
        <f t="array" ref="R10">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0" s="135" cm="1">
        <f t="array" ref="S10">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0" s="135" cm="1">
        <f t="array" ref="T10">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0" s="135" cm="1">
        <f t="array" ref="U10">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1" spans="1:22" outlineLevel="1">
      <c r="C11" s="20" t="s">
        <v>69</v>
      </c>
      <c r="D11" s="20" t="s">
        <v>68</v>
      </c>
      <c r="E11" s="20" t="s">
        <v>65</v>
      </c>
      <c r="F11" s="20" t="s">
        <v>7</v>
      </c>
      <c r="G11" s="135" cm="1">
        <f t="array" ref="G1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0.39550000000000002</v>
      </c>
      <c r="H11" s="135" cm="1">
        <f t="array" ref="H1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1" s="135" cm="1">
        <f t="array" ref="I1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1" s="135" cm="1">
        <f t="array" ref="J1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1" s="135" cm="1">
        <f t="array" ref="K1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1" s="20" t="s">
        <v>69</v>
      </c>
      <c r="N11" s="20" t="s">
        <v>68</v>
      </c>
      <c r="O11" s="20" t="s">
        <v>66</v>
      </c>
      <c r="P11" s="20" t="s">
        <v>7</v>
      </c>
      <c r="Q11" s="135" cm="1">
        <f t="array" ref="Q1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0.43809999999999999</v>
      </c>
      <c r="R11" s="135" cm="1">
        <f t="array" ref="R1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1" s="135" cm="1">
        <f t="array" ref="S1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1" s="135" cm="1">
        <f t="array" ref="T1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1" s="135" cm="1">
        <f t="array" ref="U1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2" spans="1:22" outlineLevel="1">
      <c r="C12" s="20" t="s">
        <v>70</v>
      </c>
      <c r="D12" s="20" t="s">
        <v>68</v>
      </c>
      <c r="E12" s="20" t="s">
        <v>65</v>
      </c>
      <c r="F12" s="20" t="s">
        <v>7</v>
      </c>
      <c r="G12" s="135" cm="1">
        <f t="array" ref="G12">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H12" s="135" cm="1">
        <f t="array" ref="H12">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0.28710000000000002</v>
      </c>
      <c r="I12" s="135" cm="1">
        <f t="array" ref="I12">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0.32519999999999999</v>
      </c>
      <c r="J12" s="135" cm="1">
        <f t="array" ref="J12">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0.32919999999999999</v>
      </c>
      <c r="K12" s="135" cm="1">
        <f t="array" ref="K12">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0.31740000000000002</v>
      </c>
      <c r="M12" s="20" t="s">
        <v>70</v>
      </c>
      <c r="N12" s="20" t="s">
        <v>68</v>
      </c>
      <c r="O12" s="20" t="s">
        <v>66</v>
      </c>
      <c r="P12" s="20" t="s">
        <v>7</v>
      </c>
      <c r="Q12" s="135" cm="1">
        <f t="array" ref="Q12">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2" s="135" cm="1">
        <f t="array" ref="R12">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0.28339999999999999</v>
      </c>
      <c r="S12" s="135" cm="1">
        <f t="array" ref="S12">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0.33069999999999999</v>
      </c>
      <c r="T12" s="135" cm="1">
        <f t="array" ref="T12">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0.30620000000000003</v>
      </c>
      <c r="U12" s="135" cm="1">
        <f t="array" ref="U12">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0.30280000000000001</v>
      </c>
    </row>
    <row r="13" spans="1:22" outlineLevel="1">
      <c r="C13" s="20" t="s">
        <v>71</v>
      </c>
      <c r="D13" s="20" t="s">
        <v>64</v>
      </c>
      <c r="E13" s="20" t="s">
        <v>65</v>
      </c>
      <c r="F13" s="20" t="s">
        <v>7</v>
      </c>
      <c r="G13" s="135" cm="1">
        <f t="array" ref="G13">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1.3250999999999999</v>
      </c>
      <c r="H13" s="135" cm="1">
        <f t="array" ref="H13">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1.1525000000000001</v>
      </c>
      <c r="I13" s="135" cm="1">
        <f t="array" ref="I13">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1.1437999999999999</v>
      </c>
      <c r="J13" s="135" cm="1">
        <f t="array" ref="J13">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1.3002</v>
      </c>
      <c r="K13" s="135" cm="1">
        <f t="array" ref="K13">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1.0813999999999999</v>
      </c>
      <c r="M13" s="20" t="s">
        <v>71</v>
      </c>
      <c r="N13" s="20" t="s">
        <v>64</v>
      </c>
      <c r="O13" s="20" t="s">
        <v>66</v>
      </c>
      <c r="P13" s="20" t="s">
        <v>7</v>
      </c>
      <c r="Q13" s="135" cm="1">
        <f t="array" ref="Q13">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1.3250999999999999</v>
      </c>
      <c r="R13" s="135" cm="1">
        <f t="array" ref="R13">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1.3433999999999999</v>
      </c>
      <c r="S13" s="135" cm="1">
        <f t="array" ref="S13">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1.68</v>
      </c>
      <c r="T13" s="135" cm="1">
        <f t="array" ref="T13">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1.4275</v>
      </c>
      <c r="U13" s="135" cm="1">
        <f t="array" ref="U13">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1.2404999999999999</v>
      </c>
    </row>
    <row r="14" spans="1:22" outlineLevel="1">
      <c r="C14" s="20" t="s">
        <v>72</v>
      </c>
      <c r="D14" s="20" t="s">
        <v>68</v>
      </c>
      <c r="E14" s="20" t="s">
        <v>65</v>
      </c>
      <c r="F14" s="20" t="s">
        <v>7</v>
      </c>
      <c r="G14" s="135" cm="1">
        <f t="array" ref="G14">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0.49320000000000003</v>
      </c>
      <c r="H14" s="135" cm="1">
        <f t="array" ref="H14">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0.37190000000000001</v>
      </c>
      <c r="I14" s="135" cm="1">
        <f t="array" ref="I14">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0.39250000000000002</v>
      </c>
      <c r="J14" s="135" cm="1">
        <f t="array" ref="J14">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0.42649999999999999</v>
      </c>
      <c r="K14" s="135" cm="1">
        <f t="array" ref="K14">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0.41199999999999998</v>
      </c>
      <c r="M14" s="20" t="s">
        <v>72</v>
      </c>
      <c r="N14" s="20" t="s">
        <v>68</v>
      </c>
      <c r="O14" s="20" t="s">
        <v>66</v>
      </c>
      <c r="P14" s="20" t="s">
        <v>7</v>
      </c>
      <c r="Q14" s="135" cm="1">
        <f t="array" ref="Q14">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0.42680000000000001</v>
      </c>
      <c r="R14" s="135" cm="1">
        <f t="array" ref="R14">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0.34279999999999999</v>
      </c>
      <c r="S14" s="135" cm="1">
        <f t="array" ref="S14">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0.36870000000000003</v>
      </c>
      <c r="T14" s="135" cm="1">
        <f t="array" ref="T14">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0.39500000000000002</v>
      </c>
      <c r="U14" s="135" cm="1">
        <f t="array" ref="U14">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0.37280000000000002</v>
      </c>
    </row>
    <row r="15" spans="1:22" outlineLevel="1">
      <c r="C15" s="20" t="s">
        <v>73</v>
      </c>
      <c r="D15" s="20" t="s">
        <v>68</v>
      </c>
      <c r="E15" s="20" t="s">
        <v>65</v>
      </c>
      <c r="F15" s="20" t="s">
        <v>7</v>
      </c>
      <c r="G15" s="135" cm="1">
        <f t="array" ref="G15">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0.28689999999999999</v>
      </c>
      <c r="H15" s="135" cm="1">
        <f t="array" ref="H15">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0.24410000000000001</v>
      </c>
      <c r="I15" s="135" cm="1">
        <f t="array" ref="I15">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0.27100000000000002</v>
      </c>
      <c r="J15" s="135" cm="1">
        <f t="array" ref="J15">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0.2772</v>
      </c>
      <c r="K15" s="135" cm="1">
        <f t="array" ref="K15">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0.26650000000000001</v>
      </c>
      <c r="M15" s="20" t="s">
        <v>73</v>
      </c>
      <c r="N15" s="20" t="s">
        <v>68</v>
      </c>
      <c r="O15" s="20" t="s">
        <v>66</v>
      </c>
      <c r="P15" s="20" t="s">
        <v>7</v>
      </c>
      <c r="Q15" s="135" cm="1">
        <f t="array" ref="Q15">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0.25369999999999998</v>
      </c>
      <c r="R15" s="135" cm="1">
        <f t="array" ref="R15">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0.223</v>
      </c>
      <c r="S15" s="135" cm="1">
        <f t="array" ref="S15">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0.23080000000000001</v>
      </c>
      <c r="T15" s="135" cm="1">
        <f t="array" ref="T15">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0.23730000000000001</v>
      </c>
      <c r="U15" s="135" cm="1">
        <f t="array" ref="U15">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0.2336</v>
      </c>
    </row>
    <row r="16" spans="1:22" outlineLevel="1">
      <c r="C16" s="20" t="s">
        <v>74</v>
      </c>
      <c r="D16" s="20" t="s">
        <v>68</v>
      </c>
      <c r="E16" s="20" t="s">
        <v>65</v>
      </c>
      <c r="F16" s="20" t="s">
        <v>7</v>
      </c>
      <c r="G16" s="135" cm="1">
        <f t="array" ref="G16">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0.28689999999999999</v>
      </c>
      <c r="H16" s="135" cm="1">
        <f t="array" ref="H16">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0.2271</v>
      </c>
      <c r="I16" s="135" cm="1">
        <f t="array" ref="I16">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0.26390000000000002</v>
      </c>
      <c r="J16" s="135" cm="1">
        <f t="array" ref="J16">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0.25590000000000002</v>
      </c>
      <c r="K16" s="135" cm="1">
        <f t="array" ref="K16">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0.24660000000000001</v>
      </c>
      <c r="M16" s="40"/>
      <c r="N16" s="40"/>
      <c r="O16" s="20"/>
      <c r="P16" s="53" t="s">
        <v>7</v>
      </c>
      <c r="Q16" s="135" cm="1">
        <f t="array" ref="Q16">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6" s="135" cm="1">
        <f t="array" ref="R16">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6" s="135" cm="1">
        <f t="array" ref="S16">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6" s="135" cm="1">
        <f t="array" ref="T16">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6" s="135" cm="1">
        <f t="array" ref="U16">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7" spans="3:21" outlineLevel="1"/>
    <row r="18" spans="3:21" ht="15.5" outlineLevel="1">
      <c r="C18" s="26" t="s">
        <v>75</v>
      </c>
      <c r="H18" s="78"/>
      <c r="M18" s="26" t="s">
        <v>76</v>
      </c>
      <c r="R18" s="78"/>
      <c r="S18" s="214"/>
    </row>
    <row r="19" spans="3:21" ht="15.5" outlineLevel="2">
      <c r="C19" s="39" t="s">
        <v>55</v>
      </c>
      <c r="D19" s="39" t="s">
        <v>56</v>
      </c>
      <c r="E19" s="39" t="s">
        <v>57</v>
      </c>
      <c r="F19" s="39" t="s">
        <v>7</v>
      </c>
      <c r="G19" s="54" t="s">
        <v>58</v>
      </c>
      <c r="H19" s="54" t="s">
        <v>59</v>
      </c>
      <c r="I19" s="54" t="s">
        <v>60</v>
      </c>
      <c r="J19" s="54" t="s">
        <v>61</v>
      </c>
      <c r="K19" s="76" t="s">
        <v>62</v>
      </c>
      <c r="M19" s="39" t="s">
        <v>55</v>
      </c>
      <c r="N19" s="39" t="s">
        <v>56</v>
      </c>
      <c r="O19" s="39" t="s">
        <v>57</v>
      </c>
      <c r="P19" s="39" t="s">
        <v>7</v>
      </c>
      <c r="Q19" s="54" t="s">
        <v>58</v>
      </c>
      <c r="R19" s="54" t="s">
        <v>59</v>
      </c>
      <c r="S19" s="54" t="s">
        <v>60</v>
      </c>
      <c r="T19" s="54" t="s">
        <v>61</v>
      </c>
      <c r="U19" s="76" t="s">
        <v>62</v>
      </c>
    </row>
    <row r="20" spans="3:21" outlineLevel="2">
      <c r="C20" s="20" t="s">
        <v>63</v>
      </c>
      <c r="D20" s="20" t="s">
        <v>64</v>
      </c>
      <c r="E20" s="20" t="s">
        <v>65</v>
      </c>
      <c r="F20" s="53" t="s">
        <v>7</v>
      </c>
      <c r="G20" s="56">
        <f>SUMIFS(Calc_Rates!G$17:G$47,Calc_Rates!$C$17:$C$47,OP_Rates!$C20,Calc_Rates!$F$17:$F$47,OP_Rates!$E20)</f>
        <v>1.325062480625995</v>
      </c>
      <c r="H20" s="56">
        <f>SUMIFS(Calc_Rates!H$17:H$47,Calc_Rates!$C$17:$C$47,OP_Rates!$C20,Calc_Rates!$F$17:$F$47,OP_Rates!$E20)</f>
        <v>1.1524695196540524</v>
      </c>
      <c r="I20" s="56">
        <f>SUMIFS(Calc_Rates!I$17:I$47,Calc_Rates!$C$17:$C$47,OP_Rates!$C20,Calc_Rates!$F$17:$F$47,OP_Rates!$E20)</f>
        <v>1.1438046408406388</v>
      </c>
      <c r="J20" s="56">
        <f>SUMIFS(Calc_Rates!J$17:J$47,Calc_Rates!$C$17:$C$47,OP_Rates!$C20,Calc_Rates!$F$17:$F$47,OP_Rates!$E20)</f>
        <v>1.3001579443005118</v>
      </c>
      <c r="K20" s="85">
        <f>SUMIFS(Calc_Rates!K$17:K$47,Calc_Rates!$C$17:$C$47,OP_Rates!$C20,Calc_Rates!$F$17:$F$47,OP_Rates!$E20)</f>
        <v>1.0813510101548778</v>
      </c>
      <c r="M20" s="20" t="s">
        <v>63</v>
      </c>
      <c r="N20" s="20" t="s">
        <v>64</v>
      </c>
      <c r="O20" s="20" t="s">
        <v>66</v>
      </c>
      <c r="P20" s="53" t="s">
        <v>7</v>
      </c>
      <c r="Q20" s="56">
        <f>IF(SUMIFS(Calc_Rates!G$17:G$47,Calc_Rates!$C$17:$C$47,OP_Rates!$M20,Calc_Rates!$F$17:$F$47,OP_Rates!$O20)=0,"-",SUMIFS(Calc_Rates!G$17:G$47,Calc_Rates!$C$17:$C$47,OP_Rates!$M20,Calc_Rates!$F$17:$F$47,OP_Rates!$O20))</f>
        <v>1.325062480625995</v>
      </c>
      <c r="R20" s="56">
        <f>IF(SUMIFS(Calc_Rates!H$17:H$47,Calc_Rates!$C$17:$C$47,OP_Rates!$M20,Calc_Rates!$F$17:$F$47,OP_Rates!$O20)=0,"-",SUMIFS(Calc_Rates!H$17:H$47,Calc_Rates!$C$17:$C$47,OP_Rates!$M20,Calc_Rates!$F$17:$F$47,OP_Rates!$O20))</f>
        <v>1.3434365596540525</v>
      </c>
      <c r="S20" s="56">
        <f>IF(SUMIFS(Calc_Rates!I$17:I$47,Calc_Rates!$C$17:$C$47,OP_Rates!$M20,Calc_Rates!$F$17:$F$47,OP_Rates!$O20)=0,"-",SUMIFS(Calc_Rates!I$17:I$47,Calc_Rates!$C$17:$C$47,OP_Rates!$M20,Calc_Rates!$F$17:$F$47,OP_Rates!$O20))</f>
        <v>1.305701847398016</v>
      </c>
      <c r="T20" s="56">
        <f>IF(SUMIFS(Calc_Rates!J$17:J$47,Calc_Rates!$C$17:$C$47,OP_Rates!$M20,Calc_Rates!$F$17:$F$47,OP_Rates!$O20)=0,"-",SUMIFS(Calc_Rates!J$17:J$47,Calc_Rates!$C$17:$C$47,OP_Rates!$M20,Calc_Rates!$F$17:$F$47,OP_Rates!$O20))</f>
        <v>1.427469304300512</v>
      </c>
      <c r="U20" s="56">
        <f>IF(SUMIFS(Calc_Rates!K$17:K$47,Calc_Rates!$C$17:$C$47,OP_Rates!$M20,Calc_Rates!$F$17:$F$47,OP_Rates!$O20)=0,"-",SUMIFS(Calc_Rates!K$17:K$47,Calc_Rates!$C$17:$C$47,OP_Rates!$M20,Calc_Rates!$F$17:$F$47,OP_Rates!$O20))</f>
        <v>1.2404902101548778</v>
      </c>
    </row>
    <row r="21" spans="3:21" outlineLevel="2">
      <c r="C21" s="20" t="s">
        <v>67</v>
      </c>
      <c r="D21" s="20" t="s">
        <v>68</v>
      </c>
      <c r="E21" s="20" t="s">
        <v>65</v>
      </c>
      <c r="F21" s="53" t="s">
        <v>7</v>
      </c>
      <c r="G21" s="56">
        <f>IF(SUMIFS(Calc_Rates!G$61:G$139,Calc_Rates!$C$61:$C$139,OP_Rates!$C21&amp;" charge",Calc_Rates!$F$61:$F$139,OP_Rates!$E21)=0,"-",SUMIFS(Calc_Rates!G$61:G$139,Calc_Rates!$C$61:$C$139,OP_Rates!$C21&amp;" charge",Calc_Rates!$F$61:$F$139,OP_Rates!$E21))</f>
        <v>0.38657823556645299</v>
      </c>
      <c r="H21" s="56" t="str">
        <f>IF(SUMIFS(Calc_Rates!H$61:H$139,Calc_Rates!$C$61:$C$139,OP_Rates!$C21&amp;" charge",Calc_Rates!$F$61:$F$139,OP_Rates!$E21)=0,"-",SUMIFS(Calc_Rates!H$61:H$139,Calc_Rates!$C$61:$C$139,OP_Rates!$C21&amp;" charge",Calc_Rates!$F$61:$F$139,OP_Rates!$E21))</f>
        <v>-</v>
      </c>
      <c r="I21" s="56" t="str">
        <f>IF(SUMIFS(Calc_Rates!I$61:I$139,Calc_Rates!$C$61:$C$139,OP_Rates!$C21&amp;" charge",Calc_Rates!$F$61:$F$139,OP_Rates!$E21)=0,"-",SUMIFS(Calc_Rates!I$61:I$139,Calc_Rates!$C$61:$C$139,OP_Rates!$C21&amp;" charge",Calc_Rates!$F$61:$F$139,OP_Rates!$E21))</f>
        <v>-</v>
      </c>
      <c r="J21" s="56" t="str">
        <f>IF(SUMIFS(Calc_Rates!J$61:J$139,Calc_Rates!$C$61:$C$139,OP_Rates!$C21&amp;" charge",Calc_Rates!$F$61:$F$139,OP_Rates!$E21)=0,"-",SUMIFS(Calc_Rates!J$61:J$139,Calc_Rates!$C$61:$C$139,OP_Rates!$C21&amp;" charge",Calc_Rates!$F$61:$F$139,OP_Rates!$E21))</f>
        <v>-</v>
      </c>
      <c r="K21" s="56" t="str">
        <f>IF(SUMIFS(Calc_Rates!K$61:K$139,Calc_Rates!$C$61:$C$139,OP_Rates!$C21&amp;" charge",Calc_Rates!$F$61:$F$139,OP_Rates!$E21)=0,"-",SUMIFS(Calc_Rates!K$61:K$139,Calc_Rates!$C$61:$C$139,OP_Rates!$C21&amp;" charge",Calc_Rates!$F$61:$F$139,OP_Rates!$E21))</f>
        <v>-</v>
      </c>
      <c r="M21" s="20" t="s">
        <v>67</v>
      </c>
      <c r="N21" s="20" t="s">
        <v>68</v>
      </c>
      <c r="O21" s="20" t="s">
        <v>66</v>
      </c>
      <c r="P21" s="53" t="s">
        <v>7</v>
      </c>
      <c r="Q21" s="56">
        <f>IF(SUMIFS(Calc_Rates!G$61:G$139,Calc_Rates!$C$61:$C$139,OP_Rates!$M21&amp;" charge",Calc_Rates!$F$61:$F$139,OP_Rates!$O21)=0,"-",SUMIFS(Calc_Rates!G$61:G$139,Calc_Rates!$C$61:$C$139,OP_Rates!$M21&amp;" charge",Calc_Rates!$F$61:$F$139,OP_Rates!$O21))</f>
        <v>0.41691269268373082</v>
      </c>
      <c r="R21" s="56" t="str">
        <f>IF(SUMIFS(Calc_Rates!H$61:H$139,Calc_Rates!$C$61:$C$139,OP_Rates!$M21&amp;" charge",Calc_Rates!$F$61:$F$139,OP_Rates!$O21)=0,"-",SUMIFS(Calc_Rates!H$61:H$139,Calc_Rates!$C$61:$C$139,OP_Rates!$M21&amp;" charge",Calc_Rates!$F$61:$F$139,OP_Rates!$O21))</f>
        <v>-</v>
      </c>
      <c r="S21" s="56" t="str">
        <f>IF(SUMIFS(Calc_Rates!I$61:I$139,Calc_Rates!$C$61:$C$139,OP_Rates!$M21&amp;" charge",Calc_Rates!$F$61:$F$139,OP_Rates!$O21)=0,"-",SUMIFS(Calc_Rates!I$61:I$139,Calc_Rates!$C$61:$C$139,OP_Rates!$M21&amp;" charge",Calc_Rates!$F$61:$F$139,OP_Rates!$O21))</f>
        <v>-</v>
      </c>
      <c r="T21" s="56" t="str">
        <f>IF(SUMIFS(Calc_Rates!J$61:J$139,Calc_Rates!$C$61:$C$139,OP_Rates!$M21&amp;" charge",Calc_Rates!$F$61:$F$139,OP_Rates!$O21)=0,"-",SUMIFS(Calc_Rates!J$61:J$139,Calc_Rates!$C$61:$C$139,OP_Rates!$M21&amp;" charge",Calc_Rates!$F$61:$F$139,OP_Rates!$O21))</f>
        <v>-</v>
      </c>
      <c r="U21" s="56" t="str">
        <f>IF(SUMIFS(Calc_Rates!K$61:K$139,Calc_Rates!$C$61:$C$139,OP_Rates!$M21&amp;" charge",Calc_Rates!$F$61:$F$139,OP_Rates!$O21)=0,"-",SUMIFS(Calc_Rates!K$61:K$139,Calc_Rates!$C$61:$C$139,OP_Rates!$M21&amp;" charge",Calc_Rates!$F$61:$F$139,OP_Rates!$O21))</f>
        <v>-</v>
      </c>
    </row>
    <row r="22" spans="3:21" outlineLevel="2">
      <c r="C22" s="20" t="s">
        <v>69</v>
      </c>
      <c r="D22" s="20" t="s">
        <v>68</v>
      </c>
      <c r="E22" s="20" t="s">
        <v>65</v>
      </c>
      <c r="F22" s="53" t="s">
        <v>7</v>
      </c>
      <c r="G22" s="56">
        <f>IF(SUMIFS(Calc_Rates!G$61:G$139,Calc_Rates!$C$61:$C$139,OP_Rates!$C22&amp;" charge",Calc_Rates!$F$61:$F$139,OP_Rates!$E22)=0,"-",SUMIFS(Calc_Rates!G$61:G$139,Calc_Rates!$C$61:$C$139,OP_Rates!$C22&amp;" charge",Calc_Rates!$F$61:$F$139,OP_Rates!$E22))</f>
        <v>0.39692799921917177</v>
      </c>
      <c r="H22" s="56" t="str">
        <f>IF(SUMIFS(Calc_Rates!H$61:H$139,Calc_Rates!$C$61:$C$139,OP_Rates!$C22&amp;" charge",Calc_Rates!$F$61:$F$139,OP_Rates!$E22)=0,"-",SUMIFS(Calc_Rates!H$61:H$139,Calc_Rates!$C$61:$C$139,OP_Rates!$C22&amp;" charge",Calc_Rates!$F$61:$F$139,OP_Rates!$E22))</f>
        <v>-</v>
      </c>
      <c r="I22" s="56" t="str">
        <f>IF(SUMIFS(Calc_Rates!I$61:I$139,Calc_Rates!$C$61:$C$139,OP_Rates!$C22&amp;" charge",Calc_Rates!$F$61:$F$139,OP_Rates!$E22)=0,"-",SUMIFS(Calc_Rates!I$61:I$139,Calc_Rates!$C$61:$C$139,OP_Rates!$C22&amp;" charge",Calc_Rates!$F$61:$F$139,OP_Rates!$E22))</f>
        <v>-</v>
      </c>
      <c r="J22" s="56" t="str">
        <f>IF(SUMIFS(Calc_Rates!J$61:J$139,Calc_Rates!$C$61:$C$139,OP_Rates!$C22&amp;" charge",Calc_Rates!$F$61:$F$139,OP_Rates!$E22)=0,"-",SUMIFS(Calc_Rates!J$61:J$139,Calc_Rates!$C$61:$C$139,OP_Rates!$C22&amp;" charge",Calc_Rates!$F$61:$F$139,OP_Rates!$E22))</f>
        <v>-</v>
      </c>
      <c r="K22" s="56" t="str">
        <f>IF(SUMIFS(Calc_Rates!K$61:K$139,Calc_Rates!$C$61:$C$139,OP_Rates!$C22&amp;" charge",Calc_Rates!$F$61:$F$139,OP_Rates!$E22)=0,"-",SUMIFS(Calc_Rates!K$61:K$139,Calc_Rates!$C$61:$C$139,OP_Rates!$C22&amp;" charge",Calc_Rates!$F$61:$F$139,OP_Rates!$E22))</f>
        <v>-</v>
      </c>
      <c r="M22" s="20" t="s">
        <v>69</v>
      </c>
      <c r="N22" s="20" t="s">
        <v>68</v>
      </c>
      <c r="O22" s="20" t="s">
        <v>66</v>
      </c>
      <c r="P22" s="53" t="s">
        <v>7</v>
      </c>
      <c r="Q22" s="56">
        <f>IF(SUMIFS(Calc_Rates!G$61:G$139,Calc_Rates!$C$61:$C$139,OP_Rates!$M22&amp;" charge",Calc_Rates!$F$61:$F$139,OP_Rates!$O22)=0,"-",SUMIFS(Calc_Rates!G$61:G$139,Calc_Rates!$C$61:$C$139,OP_Rates!$M22&amp;" charge",Calc_Rates!$F$61:$F$139,OP_Rates!$O22))</f>
        <v>0.4395923127307314</v>
      </c>
      <c r="R22" s="56" t="str">
        <f>IF(SUMIFS(Calc_Rates!H$61:H$139,Calc_Rates!$C$61:$C$139,OP_Rates!$M22&amp;" charge",Calc_Rates!$F$61:$F$139,OP_Rates!$O22)=0,"-",SUMIFS(Calc_Rates!H$61:H$139,Calc_Rates!$C$61:$C$139,OP_Rates!$M22&amp;" charge",Calc_Rates!$F$61:$F$139,OP_Rates!$O22))</f>
        <v>-</v>
      </c>
      <c r="S22" s="56" t="str">
        <f>IF(SUMIFS(Calc_Rates!I$61:I$139,Calc_Rates!$C$61:$C$139,OP_Rates!$M22&amp;" charge",Calc_Rates!$F$61:$F$139,OP_Rates!$O22)=0,"-",SUMIFS(Calc_Rates!I$61:I$139,Calc_Rates!$C$61:$C$139,OP_Rates!$M22&amp;" charge",Calc_Rates!$F$61:$F$139,OP_Rates!$O22))</f>
        <v>-</v>
      </c>
      <c r="T22" s="56" t="str">
        <f>IF(SUMIFS(Calc_Rates!J$61:J$139,Calc_Rates!$C$61:$C$139,OP_Rates!$M22&amp;" charge",Calc_Rates!$F$61:$F$139,OP_Rates!$O22)=0,"-",SUMIFS(Calc_Rates!J$61:J$139,Calc_Rates!$C$61:$C$139,OP_Rates!$M22&amp;" charge",Calc_Rates!$F$61:$F$139,OP_Rates!$O22))</f>
        <v>-</v>
      </c>
      <c r="U22" s="56" t="str">
        <f>IF(SUMIFS(Calc_Rates!K$61:K$139,Calc_Rates!$C$61:$C$139,OP_Rates!$M22&amp;" charge",Calc_Rates!$F$61:$F$139,OP_Rates!$O22)=0,"-",SUMIFS(Calc_Rates!K$61:K$139,Calc_Rates!$C$61:$C$139,OP_Rates!$M22&amp;" charge",Calc_Rates!$F$61:$F$139,OP_Rates!$O22))</f>
        <v>-</v>
      </c>
    </row>
    <row r="23" spans="3:21" outlineLevel="2">
      <c r="C23" s="20" t="s">
        <v>70</v>
      </c>
      <c r="D23" s="20" t="s">
        <v>68</v>
      </c>
      <c r="E23" s="20" t="s">
        <v>65</v>
      </c>
      <c r="F23" s="53" t="s">
        <v>7</v>
      </c>
      <c r="G23" s="56" t="str">
        <f>IF(SUMIFS(Calc_Rates!G$61:G$139,Calc_Rates!$C$61:$C$139,OP_Rates!$C23&amp;" charge",Calc_Rates!$F$61:$F$139,OP_Rates!$E23)=0,"-",SUMIFS(Calc_Rates!G$61:G$139,Calc_Rates!$C$61:$C$139,OP_Rates!$C23&amp;" charge",Calc_Rates!$F$61:$F$139,OP_Rates!$E23))</f>
        <v>-</v>
      </c>
      <c r="H23" s="56">
        <f>IF(SUMIFS(Calc_Rates!H$61:H$139,Calc_Rates!$C$61:$C$139,OP_Rates!$C23&amp;" charge",Calc_Rates!$F$61:$F$139,OP_Rates!$E23)=0,"-",SUMIFS(Calc_Rates!H$61:H$139,Calc_Rates!$C$61:$C$139,OP_Rates!$C23&amp;" charge",Calc_Rates!$F$61:$F$139,OP_Rates!$E23))</f>
        <v>0.28845811455258646</v>
      </c>
      <c r="I23" s="56">
        <f>IF(SUMIFS(Calc_Rates!I$61:I$139,Calc_Rates!$C$61:$C$139,OP_Rates!$C23&amp;" charge",Calc_Rates!$F$61:$F$139,OP_Rates!$E23)=0,"-",SUMIFS(Calc_Rates!I$61:I$139,Calc_Rates!$C$61:$C$139,OP_Rates!$C23&amp;" charge",Calc_Rates!$F$61:$F$139,OP_Rates!$E23))</f>
        <v>0.32661849935995851</v>
      </c>
      <c r="J23" s="56">
        <f>IF(SUMIFS(Calc_Rates!J$61:J$139,Calc_Rates!$C$61:$C$139,OP_Rates!$C23&amp;" charge",Calc_Rates!$F$61:$F$139,OP_Rates!$E23)=0,"-",SUMIFS(Calc_Rates!J$61:J$139,Calc_Rates!$C$61:$C$139,OP_Rates!$C23&amp;" charge",Calc_Rates!$F$61:$F$139,OP_Rates!$E23))</f>
        <v>0.33065780817640628</v>
      </c>
      <c r="K23" s="56">
        <f>IF(SUMIFS(Calc_Rates!K$61:K$139,Calc_Rates!$C$61:$C$139,OP_Rates!$C23&amp;" charge",Calc_Rates!$F$61:$F$139,OP_Rates!$E23)=0,"-",SUMIFS(Calc_Rates!K$61:K$139,Calc_Rates!$C$61:$C$139,OP_Rates!$C23&amp;" charge",Calc_Rates!$F$61:$F$139,OP_Rates!$E23))</f>
        <v>0.318811294983181</v>
      </c>
      <c r="M23" s="20" t="s">
        <v>70</v>
      </c>
      <c r="N23" s="20" t="s">
        <v>68</v>
      </c>
      <c r="O23" s="20" t="s">
        <v>66</v>
      </c>
      <c r="P23" s="53" t="s">
        <v>7</v>
      </c>
      <c r="Q23" s="56" t="str">
        <f>IF(SUMIFS(Calc_Rates!G$61:G$139,Calc_Rates!$C$61:$C$139,OP_Rates!$M23&amp;" charge",Calc_Rates!$F$61:$F$139,OP_Rates!$O23)=0,"-",SUMIFS(Calc_Rates!G$61:G$139,Calc_Rates!$C$61:$C$139,OP_Rates!$M23&amp;" charge",Calc_Rates!$F$61:$F$139,OP_Rates!$O23))</f>
        <v>-</v>
      </c>
      <c r="R23" s="56">
        <f>IF(SUMIFS(Calc_Rates!H$61:H$139,Calc_Rates!$C$61:$C$139,OP_Rates!$M23&amp;" charge",Calc_Rates!$F$61:$F$139,OP_Rates!$O23)=0,"-",SUMIFS(Calc_Rates!H$61:H$139,Calc_Rates!$C$61:$C$139,OP_Rates!$M23&amp;" charge",Calc_Rates!$F$61:$F$139,OP_Rates!$O23))</f>
        <v>0.28475573576841606</v>
      </c>
      <c r="S23" s="56">
        <f>IF(SUMIFS(Calc_Rates!I$61:I$139,Calc_Rates!$C$61:$C$139,OP_Rates!$M23&amp;" charge",Calc_Rates!$F$61:$F$139,OP_Rates!$O23)=0,"-",SUMIFS(Calc_Rates!I$61:I$139,Calc_Rates!$C$61:$C$139,OP_Rates!$M23&amp;" charge",Calc_Rates!$F$61:$F$139,OP_Rates!$O23))</f>
        <v>0.33213936394300336</v>
      </c>
      <c r="T23" s="56">
        <f>IF(SUMIFS(Calc_Rates!J$61:J$139,Calc_Rates!$C$61:$C$139,OP_Rates!$M23&amp;" charge",Calc_Rates!$F$61:$F$139,OP_Rates!$O23)=0,"-",SUMIFS(Calc_Rates!J$61:J$139,Calc_Rates!$C$61:$C$139,OP_Rates!$M23&amp;" charge",Calc_Rates!$F$61:$F$139,OP_Rates!$O23))</f>
        <v>0.3075991809598615</v>
      </c>
      <c r="U23" s="56">
        <f>IF(SUMIFS(Calc_Rates!K$61:K$139,Calc_Rates!$C$61:$C$139,OP_Rates!$M23&amp;" charge",Calc_Rates!$F$61:$F$139,OP_Rates!$O23)=0,"-",SUMIFS(Calc_Rates!K$61:K$139,Calc_Rates!$C$61:$C$139,OP_Rates!$M23&amp;" charge",Calc_Rates!$F$61:$F$139,OP_Rates!$O23))</f>
        <v>0.30424774089870804</v>
      </c>
    </row>
    <row r="24" spans="3:21" outlineLevel="2">
      <c r="C24" s="20" t="s">
        <v>71</v>
      </c>
      <c r="D24" s="20" t="s">
        <v>64</v>
      </c>
      <c r="E24" s="20" t="s">
        <v>65</v>
      </c>
      <c r="F24" s="53" t="s">
        <v>7</v>
      </c>
      <c r="G24" s="56">
        <f>IF(SUMIFS(Calc_Rates!G$17:G$47,Calc_Rates!$C$17:$C$47,OP_Rates!$C24,Calc_Rates!$F$17:$F$47,OP_Rates!$E24)=0,"-",SUMIFS(Calc_Rates!G$17:G$47,Calc_Rates!$C$17:$C$47,OP_Rates!$C24,Calc_Rates!$F$17:$F$47,OP_Rates!$E24))</f>
        <v>1.325062480625995</v>
      </c>
      <c r="H24" s="56">
        <f>IF(SUMIFS(Calc_Rates!H$17:H$47,Calc_Rates!$C$17:$C$47,OP_Rates!$C24,Calc_Rates!$F$17:$F$47,OP_Rates!$E24)=0,"-",SUMIFS(Calc_Rates!H$17:H$47,Calc_Rates!$C$17:$C$47,OP_Rates!$C24,Calc_Rates!$F$17:$F$47,OP_Rates!$E24))</f>
        <v>1.1524695196540524</v>
      </c>
      <c r="I24" s="56">
        <f>IF(SUMIFS(Calc_Rates!I$17:I$47,Calc_Rates!$C$17:$C$47,OP_Rates!$C24,Calc_Rates!$F$17:$F$47,OP_Rates!$E24)=0,"-",SUMIFS(Calc_Rates!I$17:I$47,Calc_Rates!$C$17:$C$47,OP_Rates!$C24,Calc_Rates!$F$17:$F$47,OP_Rates!$E24))</f>
        <v>1.1438046408406388</v>
      </c>
      <c r="J24" s="56">
        <f>IF(SUMIFS(Calc_Rates!J$17:J$47,Calc_Rates!$C$17:$C$47,OP_Rates!$C24,Calc_Rates!$F$17:$F$47,OP_Rates!$E24)=0,"-",SUMIFS(Calc_Rates!J$17:J$47,Calc_Rates!$C$17:$C$47,OP_Rates!$C24,Calc_Rates!$F$17:$F$47,OP_Rates!$E24))</f>
        <v>1.3001579443005118</v>
      </c>
      <c r="K24" s="56">
        <f>IF(SUMIFS(Calc_Rates!K$17:K$47,Calc_Rates!$C$17:$C$47,OP_Rates!$C24,Calc_Rates!$F$17:$F$47,OP_Rates!$E24)=0,"-",SUMIFS(Calc_Rates!K$17:K$47,Calc_Rates!$C$17:$C$47,OP_Rates!$C24,Calc_Rates!$F$17:$F$47,OP_Rates!$E24))</f>
        <v>1.0813510101548778</v>
      </c>
      <c r="M24" s="20" t="s">
        <v>71</v>
      </c>
      <c r="N24" s="20" t="s">
        <v>64</v>
      </c>
      <c r="O24" s="20" t="s">
        <v>66</v>
      </c>
      <c r="P24" s="53" t="s">
        <v>7</v>
      </c>
      <c r="Q24" s="56">
        <f>IF(SUMIFS(Calc_Rates!G$17:G$47,Calc_Rates!$C$17:$C$47,OP_Rates!$M24,Calc_Rates!$F$17:$F$47,OP_Rates!$O24)=0,"-",SUMIFS(Calc_Rates!G$17:G$47,Calc_Rates!$C$17:$C$47,OP_Rates!$M24,Calc_Rates!$F$17:$F$47,OP_Rates!$O24))</f>
        <v>1.325062480625995</v>
      </c>
      <c r="R24" s="56">
        <f>IF(SUMIFS(Calc_Rates!H$17:H$47,Calc_Rates!$C$17:$C$47,OP_Rates!$M24,Calc_Rates!$F$17:$F$47,OP_Rates!$O24)=0,"-",SUMIFS(Calc_Rates!H$17:H$47,Calc_Rates!$C$17:$C$47,OP_Rates!$M24,Calc_Rates!$F$17:$F$47,OP_Rates!$O24))</f>
        <v>1.3434365596540525</v>
      </c>
      <c r="S24" s="56">
        <f>IF(SUMIFS(Calc_Rates!I$17:I$47,Calc_Rates!$C$17:$C$47,OP_Rates!$M24,Calc_Rates!$F$17:$F$47,OP_Rates!$O24)=0,"-",SUMIFS(Calc_Rates!I$17:I$47,Calc_Rates!$C$17:$C$47,OP_Rates!$M24,Calc_Rates!$F$17:$F$47,OP_Rates!$O24))</f>
        <v>1.6800004703488358</v>
      </c>
      <c r="T24" s="56">
        <f>IF(SUMIFS(Calc_Rates!J$17:J$47,Calc_Rates!$C$17:$C$47,OP_Rates!$M24,Calc_Rates!$F$17:$F$47,OP_Rates!$O24)=0,"-",SUMIFS(Calc_Rates!J$17:J$47,Calc_Rates!$C$17:$C$47,OP_Rates!$M24,Calc_Rates!$F$17:$F$47,OP_Rates!$O24))</f>
        <v>1.427469304300512</v>
      </c>
      <c r="U24" s="56">
        <f>IF(SUMIFS(Calc_Rates!K$17:K$47,Calc_Rates!$C$17:$C$47,OP_Rates!$M24,Calc_Rates!$F$17:$F$47,OP_Rates!$O24)=0,"-",SUMIFS(Calc_Rates!K$17:K$47,Calc_Rates!$C$17:$C$47,OP_Rates!$M24,Calc_Rates!$F$17:$F$47,OP_Rates!$O24))</f>
        <v>1.2404902101548778</v>
      </c>
    </row>
    <row r="25" spans="3:21" outlineLevel="2">
      <c r="C25" s="20" t="s">
        <v>72</v>
      </c>
      <c r="D25" s="20" t="s">
        <v>68</v>
      </c>
      <c r="E25" s="20" t="s">
        <v>65</v>
      </c>
      <c r="F25" s="53" t="s">
        <v>7</v>
      </c>
      <c r="G25" s="56">
        <f>IF(SUMIFS(Calc_Rates!G$61:G$139,Calc_Rates!$C$61:$C$139,OP_Rates!$C25&amp;" charge",Calc_Rates!$F$61:$F$139,OP_Rates!$E25)=0,"-",SUMIFS(Calc_Rates!G$61:G$139,Calc_Rates!$C$61:$C$139,OP_Rates!$C25&amp;" charge",Calc_Rates!$F$61:$F$139,OP_Rates!$E25))</f>
        <v>0.49469346468589248</v>
      </c>
      <c r="H25" s="56">
        <f>IF(SUMIFS(Calc_Rates!H$61:H$139,Calc_Rates!$C$61:$C$139,OP_Rates!$C25&amp;" charge",Calc_Rates!$F$61:$F$139,OP_Rates!$E25)=0,"-",SUMIFS(Calc_Rates!H$61:H$139,Calc_Rates!$C$61:$C$139,OP_Rates!$C25&amp;" charge",Calc_Rates!$F$61:$F$139,OP_Rates!$E25))</f>
        <v>0.37325491455258653</v>
      </c>
      <c r="I25" s="56">
        <f>IF(SUMIFS(Calc_Rates!I$61:I$139,Calc_Rates!$C$61:$C$139,OP_Rates!$C25&amp;" charge",Calc_Rates!$F$61:$F$139,OP_Rates!$E25)=0,"-",SUMIFS(Calc_Rates!I$61:I$139,Calc_Rates!$C$61:$C$139,OP_Rates!$C25&amp;" charge",Calc_Rates!$F$61:$F$139,OP_Rates!$E25))</f>
        <v>0.39393321935995851</v>
      </c>
      <c r="J25" s="56">
        <f>IF(SUMIFS(Calc_Rates!J$61:J$139,Calc_Rates!$C$61:$C$139,OP_Rates!$C25&amp;" charge",Calc_Rates!$F$61:$F$139,OP_Rates!$E25)=0,"-",SUMIFS(Calc_Rates!J$61:J$139,Calc_Rates!$C$61:$C$139,OP_Rates!$C25&amp;" charge",Calc_Rates!$F$61:$F$139,OP_Rates!$E25))</f>
        <v>0.4278837281764063</v>
      </c>
      <c r="K25" s="56">
        <f>IF(SUMIFS(Calc_Rates!K$61:K$139,Calc_Rates!$C$61:$C$139,OP_Rates!$C25&amp;" charge",Calc_Rates!$F$61:$F$139,OP_Rates!$E25)=0,"-",SUMIFS(Calc_Rates!K$61:K$139,Calc_Rates!$C$61:$C$139,OP_Rates!$C25&amp;" charge",Calc_Rates!$F$61:$F$139,OP_Rates!$E25))</f>
        <v>0.41336553498318096</v>
      </c>
      <c r="M25" s="20" t="s">
        <v>72</v>
      </c>
      <c r="N25" s="20" t="s">
        <v>68</v>
      </c>
      <c r="O25" s="20" t="s">
        <v>66</v>
      </c>
      <c r="P25" s="53" t="s">
        <v>7</v>
      </c>
      <c r="Q25" s="56">
        <f>IF(SUMIFS(Calc_Rates!G$61:G$139,Calc_Rates!$C$61:$C$139,OP_Rates!$M25&amp;" charge",Calc_Rates!$F$61:$F$139,OP_Rates!$O25)=0,"-",SUMIFS(Calc_Rates!G$61:G$139,Calc_Rates!$C$61:$C$139,OP_Rates!$M25&amp;" charge",Calc_Rates!$F$61:$F$139,OP_Rates!$O25))</f>
        <v>0.42822711830324334</v>
      </c>
      <c r="R25" s="56">
        <f>IF(SUMIFS(Calc_Rates!H$61:H$139,Calc_Rates!$C$61:$C$139,OP_Rates!$M25&amp;" charge",Calc_Rates!$F$61:$F$139,OP_Rates!$O25)=0,"-",SUMIFS(Calc_Rates!H$61:H$139,Calc_Rates!$C$61:$C$139,OP_Rates!$M25&amp;" charge",Calc_Rates!$F$61:$F$139,OP_Rates!$O25))</f>
        <v>0.34422965576841608</v>
      </c>
      <c r="S25" s="56">
        <f>IF(SUMIFS(Calc_Rates!I$61:I$139,Calc_Rates!$C$61:$C$139,OP_Rates!$M25&amp;" charge",Calc_Rates!$F$61:$F$139,OP_Rates!$O25)=0,"-",SUMIFS(Calc_Rates!I$61:I$139,Calc_Rates!$C$61:$C$139,OP_Rates!$M25&amp;" charge",Calc_Rates!$F$61:$F$139,OP_Rates!$O25))</f>
        <v>0.37004237194300338</v>
      </c>
      <c r="T25" s="56">
        <f>IF(SUMIFS(Calc_Rates!J$61:J$139,Calc_Rates!$C$61:$C$139,OP_Rates!$M25&amp;" charge",Calc_Rates!$F$61:$F$139,OP_Rates!$O25)=0,"-",SUMIFS(Calc_Rates!J$61:J$139,Calc_Rates!$C$61:$C$139,OP_Rates!$M25&amp;" charge",Calc_Rates!$F$61:$F$139,OP_Rates!$O25))</f>
        <v>0.39646158095986145</v>
      </c>
      <c r="U25" s="56">
        <f>IF(SUMIFS(Calc_Rates!K$61:K$139,Calc_Rates!$C$61:$C$139,OP_Rates!$M25&amp;" charge",Calc_Rates!$F$61:$F$139,OP_Rates!$O25)=0,"-",SUMIFS(Calc_Rates!K$61:K$139,Calc_Rates!$C$61:$C$139,OP_Rates!$M25&amp;" charge",Calc_Rates!$F$61:$F$139,OP_Rates!$O25))</f>
        <v>0.37417606089870803</v>
      </c>
    </row>
    <row r="26" spans="3:21" outlineLevel="2">
      <c r="C26" s="20" t="s">
        <v>73</v>
      </c>
      <c r="D26" s="20" t="s">
        <v>68</v>
      </c>
      <c r="E26" s="20" t="s">
        <v>65</v>
      </c>
      <c r="F26" s="53" t="s">
        <v>7</v>
      </c>
      <c r="G26" s="56">
        <f>IF(SUMIFS(Calc_Rates!G$61:G$139,Calc_Rates!$C$61:$C$139,OP_Rates!$C26&amp;" charge",Calc_Rates!$F$61:$F$139,OP_Rates!$E26)=0,"-",SUMIFS(Calc_Rates!G$61:G$139,Calc_Rates!$C$61:$C$139,OP_Rates!$C26&amp;" charge",Calc_Rates!$F$61:$F$139,OP_Rates!$E26))</f>
        <v>0.28832208003155868</v>
      </c>
      <c r="H26" s="56">
        <f>IF(SUMIFS(Calc_Rates!H$61:H$139,Calc_Rates!$C$61:$C$139,OP_Rates!$C26&amp;" charge",Calc_Rates!$F$61:$F$139,OP_Rates!$E26)=0,"-",SUMIFS(Calc_Rates!H$61:H$139,Calc_Rates!$C$61:$C$139,OP_Rates!$C26&amp;" charge",Calc_Rates!$F$61:$F$139,OP_Rates!$E26))</f>
        <v>0.2454789145525865</v>
      </c>
      <c r="I26" s="56">
        <f>IF(SUMIFS(Calc_Rates!I$61:I$139,Calc_Rates!$C$61:$C$139,OP_Rates!$C26&amp;" charge",Calc_Rates!$F$61:$F$139,OP_Rates!$E26)=0,"-",SUMIFS(Calc_Rates!I$61:I$139,Calc_Rates!$C$61:$C$139,OP_Rates!$C26&amp;" charge",Calc_Rates!$F$61:$F$139,OP_Rates!$E26))</f>
        <v>0.2724298593599585</v>
      </c>
      <c r="J26" s="56">
        <f>IF(SUMIFS(Calc_Rates!J$61:J$139,Calc_Rates!$C$61:$C$139,OP_Rates!$C26&amp;" charge",Calc_Rates!$F$61:$F$139,OP_Rates!$E26)=0,"-",SUMIFS(Calc_Rates!J$61:J$139,Calc_Rates!$C$61:$C$139,OP_Rates!$C26&amp;" charge",Calc_Rates!$F$61:$F$139,OP_Rates!$E26))</f>
        <v>0.2786181281764063</v>
      </c>
      <c r="K26" s="56">
        <f>IF(SUMIFS(Calc_Rates!K$61:K$139,Calc_Rates!$C$61:$C$139,OP_Rates!$C26&amp;" charge",Calc_Rates!$F$61:$F$139,OP_Rates!$E26)=0,"-",SUMIFS(Calc_Rates!K$61:K$139,Calc_Rates!$C$61:$C$139,OP_Rates!$C26&amp;" charge",Calc_Rates!$F$61:$F$139,OP_Rates!$E26))</f>
        <v>0.26793321498318096</v>
      </c>
      <c r="M26" s="20" t="s">
        <v>73</v>
      </c>
      <c r="N26" s="20" t="s">
        <v>68</v>
      </c>
      <c r="O26" s="20" t="s">
        <v>66</v>
      </c>
      <c r="P26" s="53" t="s">
        <v>7</v>
      </c>
      <c r="Q26" s="56">
        <f>IF(SUMIFS(Calc_Rates!G$61:G$139,Calc_Rates!$C$61:$C$139,OP_Rates!$M26&amp;" charge",Calc_Rates!$F$61:$F$139,OP_Rates!$O26)=0,"-",SUMIFS(Calc_Rates!G$61:G$139,Calc_Rates!$C$61:$C$139,OP_Rates!$M26&amp;" charge",Calc_Rates!$F$61:$F$139,OP_Rates!$O26))</f>
        <v>0.2551501740500301</v>
      </c>
      <c r="R26" s="56">
        <f>IF(SUMIFS(Calc_Rates!H$61:H$139,Calc_Rates!$C$61:$C$139,OP_Rates!$M26&amp;" charge",Calc_Rates!$F$61:$F$139,OP_Rates!$O26)=0,"-",SUMIFS(Calc_Rates!H$61:H$139,Calc_Rates!$C$61:$C$139,OP_Rates!$M26&amp;" charge",Calc_Rates!$F$61:$F$139,OP_Rates!$O26))</f>
        <v>0.22435253576841607</v>
      </c>
      <c r="S26" s="56">
        <f>IF(SUMIFS(Calc_Rates!I$61:I$139,Calc_Rates!$C$61:$C$139,OP_Rates!$M26&amp;" charge",Calc_Rates!$F$61:$F$139,OP_Rates!$O26)=0,"-",SUMIFS(Calc_Rates!I$61:I$139,Calc_Rates!$C$61:$C$139,OP_Rates!$M26&amp;" charge",Calc_Rates!$F$61:$F$139,OP_Rates!$O26))</f>
        <v>0.23214883594300342</v>
      </c>
      <c r="T26" s="56">
        <f>IF(SUMIFS(Calc_Rates!J$61:J$139,Calc_Rates!$C$61:$C$139,OP_Rates!$M26&amp;" charge",Calc_Rates!$F$61:$F$139,OP_Rates!$O26)=0,"-",SUMIFS(Calc_Rates!J$61:J$139,Calc_Rates!$C$61:$C$139,OP_Rates!$M26&amp;" charge",Calc_Rates!$F$61:$F$139,OP_Rates!$O26))</f>
        <v>0.23871630095986146</v>
      </c>
      <c r="U26" s="56">
        <f>IF(SUMIFS(Calc_Rates!K$61:K$139,Calc_Rates!$C$61:$C$139,OP_Rates!$M26&amp;" charge",Calc_Rates!$F$61:$F$139,OP_Rates!$O26)=0,"-",SUMIFS(Calc_Rates!K$61:K$139,Calc_Rates!$C$61:$C$139,OP_Rates!$M26&amp;" charge",Calc_Rates!$F$61:$F$139,OP_Rates!$O26))</f>
        <v>0.23501638089870802</v>
      </c>
    </row>
    <row r="27" spans="3:21" outlineLevel="2">
      <c r="C27" s="20" t="s">
        <v>74</v>
      </c>
      <c r="D27" s="20" t="s">
        <v>68</v>
      </c>
      <c r="E27" s="20" t="s">
        <v>65</v>
      </c>
      <c r="F27" s="53" t="s">
        <v>7</v>
      </c>
      <c r="G27" s="56">
        <f>IF(SUMIFS(Calc_Rates!G$61:G$139,Calc_Rates!$C$61:$C$139,OP_Rates!$C27&amp;" charge",Calc_Rates!$F$61:$F$139,OP_Rates!$E27)=0,"-",SUMIFS(Calc_Rates!G$61:G$139,Calc_Rates!$C$61:$C$139,OP_Rates!$C27&amp;" charge",Calc_Rates!$F$61:$F$139,OP_Rates!$E27))</f>
        <v>0.28832208003155868</v>
      </c>
      <c r="H27" s="56">
        <f>IF(SUMIFS(Calc_Rates!H$61:H$139,Calc_Rates!$C$61:$C$139,OP_Rates!$C27&amp;" charge",Calc_Rates!$F$61:$F$139,OP_Rates!$E27)=0,"-",SUMIFS(Calc_Rates!H$61:H$139,Calc_Rates!$C$61:$C$139,OP_Rates!$C27&amp;" charge",Calc_Rates!$F$61:$F$139,OP_Rates!$E27))</f>
        <v>0.22851955455258649</v>
      </c>
      <c r="I27" s="56">
        <f>IF(SUMIFS(Calc_Rates!I$61:I$139,Calc_Rates!$C$61:$C$139,OP_Rates!$C27&amp;" charge",Calc_Rates!$F$61:$F$139,OP_Rates!$E27)=0,"-",SUMIFS(Calc_Rates!I$61:I$139,Calc_Rates!$C$61:$C$139,OP_Rates!$C27&amp;" charge",Calc_Rates!$F$61:$F$139,OP_Rates!$E27))</f>
        <v>0.26526278735995851</v>
      </c>
      <c r="J27" s="56">
        <f>IF(SUMIFS(Calc_Rates!J$61:J$139,Calc_Rates!$C$61:$C$139,OP_Rates!$C27&amp;" charge",Calc_Rates!$F$61:$F$139,OP_Rates!$E27)=0,"-",SUMIFS(Calc_Rates!J$61:J$139,Calc_Rates!$C$61:$C$139,OP_Rates!$C27&amp;" charge",Calc_Rates!$F$61:$F$139,OP_Rates!$E27))</f>
        <v>0.25736084817640631</v>
      </c>
      <c r="K27" s="56">
        <f>IF(SUMIFS(Calc_Rates!K$61:K$139,Calc_Rates!$C$61:$C$139,OP_Rates!$C27&amp;" charge",Calc_Rates!$F$61:$F$139,OP_Rates!$E27)=0,"-",SUMIFS(Calc_Rates!K$61:K$139,Calc_Rates!$C$61:$C$139,OP_Rates!$C27&amp;" charge",Calc_Rates!$F$61:$F$139,OP_Rates!$E27))</f>
        <v>0.24795369498318096</v>
      </c>
      <c r="M27" s="20"/>
      <c r="N27" s="20"/>
      <c r="O27" s="20"/>
      <c r="P27" s="53" t="s">
        <v>7</v>
      </c>
      <c r="Q27" s="56"/>
      <c r="R27" s="56"/>
      <c r="S27" s="56"/>
      <c r="T27" s="56"/>
      <c r="U27" s="56"/>
    </row>
    <row r="28" spans="3:21" outlineLevel="1"/>
    <row r="29" spans="3:21" ht="15.5" outlineLevel="1">
      <c r="C29" s="26" t="s">
        <v>77</v>
      </c>
      <c r="M29" s="26" t="s">
        <v>78</v>
      </c>
    </row>
    <row r="30" spans="3:21" ht="15.5" outlineLevel="2">
      <c r="C30" s="39" t="s">
        <v>55</v>
      </c>
      <c r="D30" s="39" t="s">
        <v>56</v>
      </c>
      <c r="E30" s="39" t="s">
        <v>57</v>
      </c>
      <c r="F30" s="39" t="s">
        <v>32</v>
      </c>
      <c r="G30" s="54" t="s">
        <v>58</v>
      </c>
      <c r="H30" s="54" t="s">
        <v>59</v>
      </c>
      <c r="I30" s="54" t="s">
        <v>60</v>
      </c>
      <c r="J30" s="54" t="s">
        <v>61</v>
      </c>
      <c r="K30" s="76" t="s">
        <v>62</v>
      </c>
      <c r="M30" s="39" t="s">
        <v>55</v>
      </c>
      <c r="N30" s="39" t="s">
        <v>56</v>
      </c>
      <c r="O30" s="39" t="s">
        <v>57</v>
      </c>
      <c r="P30" s="39" t="s">
        <v>32</v>
      </c>
      <c r="Q30" s="54" t="s">
        <v>58</v>
      </c>
      <c r="R30" s="54" t="s">
        <v>59</v>
      </c>
      <c r="S30" s="54" t="s">
        <v>60</v>
      </c>
      <c r="T30" s="54" t="s">
        <v>61</v>
      </c>
      <c r="U30" s="76" t="s">
        <v>62</v>
      </c>
    </row>
    <row r="31" spans="3:21" outlineLevel="2">
      <c r="C31" s="53" t="s">
        <v>79</v>
      </c>
      <c r="D31" s="53" t="s">
        <v>64</v>
      </c>
      <c r="E31" s="53" t="s">
        <v>65</v>
      </c>
      <c r="F31" s="20" t="s">
        <v>80</v>
      </c>
      <c r="G31" s="154" t="str" cm="1">
        <f t="array" ref="G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1" s="154" t="str" cm="1">
        <f t="array" ref="H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1" s="154" t="str" cm="1">
        <f t="array" ref="I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1" s="154" t="str" cm="1">
        <f t="array" ref="J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1" s="154" t="str" cm="1">
        <f t="array" ref="K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1" s="53" t="s">
        <v>79</v>
      </c>
      <c r="N31" s="53" t="s">
        <v>64</v>
      </c>
      <c r="O31" s="53" t="s">
        <v>66</v>
      </c>
      <c r="P31" s="20" t="s">
        <v>80</v>
      </c>
      <c r="Q31" s="154" t="str" cm="1">
        <f t="array" ref="Q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1" s="154" t="str" cm="1">
        <f t="array" ref="R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1" s="154" t="str" cm="1">
        <f t="array" ref="S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1" s="154" t="str" cm="1">
        <f t="array" ref="T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1" s="154" t="str" cm="1">
        <f t="array" ref="U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2" spans="3:21" outlineLevel="2">
      <c r="C32" s="53" t="s">
        <v>81</v>
      </c>
      <c r="D32" s="53" t="s">
        <v>64</v>
      </c>
      <c r="E32" s="53" t="s">
        <v>65</v>
      </c>
      <c r="F32" s="20" t="s">
        <v>80</v>
      </c>
      <c r="G32" s="154" t="str" cm="1">
        <f t="array" ref="G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2" s="154" t="str" cm="1">
        <f t="array" ref="H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2" s="154" t="str" cm="1">
        <f t="array" ref="I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2" s="154" t="str" cm="1">
        <f t="array" ref="J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2" s="154" t="str" cm="1">
        <f t="array" ref="K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2" s="53" t="s">
        <v>81</v>
      </c>
      <c r="N32" s="53" t="s">
        <v>64</v>
      </c>
      <c r="O32" s="53" t="s">
        <v>66</v>
      </c>
      <c r="P32" s="20" t="s">
        <v>80</v>
      </c>
      <c r="Q32" s="154" t="str" cm="1">
        <f t="array" ref="Q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2" s="154" t="str" cm="1">
        <f t="array" ref="R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2" s="154" t="str" cm="1">
        <f t="array" ref="S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2" s="154" t="str" cm="1">
        <f t="array" ref="T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2" s="154" t="str" cm="1">
        <f t="array" ref="U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3" spans="3:21" outlineLevel="2">
      <c r="C33" s="53" t="s">
        <v>74</v>
      </c>
      <c r="D33" s="53" t="s">
        <v>68</v>
      </c>
      <c r="E33" s="53" t="s">
        <v>65</v>
      </c>
      <c r="F33" s="20" t="s">
        <v>80</v>
      </c>
      <c r="G33" s="154" t="str" cm="1">
        <f t="array" ref="G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3" s="154" t="str" cm="1">
        <f t="array" ref="H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3" s="154" t="str" cm="1">
        <f t="array" ref="I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3" s="154" t="str" cm="1">
        <f t="array" ref="J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3" s="154" t="str" cm="1">
        <f t="array" ref="K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3" s="53"/>
      <c r="N33" s="53"/>
      <c r="O33" s="53"/>
      <c r="P33" s="20"/>
      <c r="Q33" s="154" t="str" cm="1">
        <f t="array" ref="Q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3" s="154" t="str" cm="1">
        <f t="array" ref="R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3" s="154" t="str" cm="1">
        <f t="array" ref="S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3" s="154" t="str" cm="1">
        <f t="array" ref="T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3" s="154" t="str" cm="1">
        <f t="array" ref="U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4" spans="3:21" outlineLevel="2">
      <c r="C34" s="53" t="s">
        <v>67</v>
      </c>
      <c r="D34" s="53" t="s">
        <v>68</v>
      </c>
      <c r="E34" s="53" t="s">
        <v>65</v>
      </c>
      <c r="F34" s="20" t="s">
        <v>82</v>
      </c>
      <c r="G34" s="154" cm="1">
        <f t="array" ref="G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-1.4451020409271499E-3</v>
      </c>
      <c r="H34" s="154" cm="1">
        <f t="array" ref="H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4" s="154" cm="1">
        <f t="array" ref="I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4" s="154" cm="1">
        <f t="array" ref="J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4" s="154" cm="1">
        <f t="array" ref="K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4" s="53" t="s">
        <v>67</v>
      </c>
      <c r="N34" s="53" t="s">
        <v>68</v>
      </c>
      <c r="O34" s="53" t="s">
        <v>66</v>
      </c>
      <c r="P34" s="20" t="s">
        <v>82</v>
      </c>
      <c r="Q34" s="154" cm="1">
        <f t="array" ref="Q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-1.4451020409271499E-3</v>
      </c>
      <c r="R34" s="154" cm="1">
        <f t="array" ref="R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4" s="154" cm="1">
        <f t="array" ref="S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4" s="154" cm="1">
        <f t="array" ref="T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4" s="154" cm="1">
        <f t="array" ref="U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5" spans="3:21" outlineLevel="2">
      <c r="C35" s="53" t="s">
        <v>69</v>
      </c>
      <c r="D35" s="53" t="s">
        <v>68</v>
      </c>
      <c r="E35" s="53" t="s">
        <v>65</v>
      </c>
      <c r="F35" s="20" t="s">
        <v>82</v>
      </c>
      <c r="G35" s="154" cm="1">
        <f t="array" ref="G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-1.4451020409271499E-3</v>
      </c>
      <c r="H35" s="154" cm="1">
        <f t="array" ref="H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5" s="154" cm="1">
        <f t="array" ref="I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5" s="154" cm="1">
        <f t="array" ref="J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5" s="154" cm="1">
        <f t="array" ref="K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5" s="53" t="s">
        <v>69</v>
      </c>
      <c r="N35" s="53" t="s">
        <v>68</v>
      </c>
      <c r="O35" s="53" t="s">
        <v>66</v>
      </c>
      <c r="P35" s="20" t="s">
        <v>82</v>
      </c>
      <c r="Q35" s="154" cm="1">
        <f t="array" ref="Q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-1.4451020409271499E-3</v>
      </c>
      <c r="R35" s="154" cm="1">
        <f t="array" ref="R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5" s="154" cm="1">
        <f t="array" ref="S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5" s="154" cm="1">
        <f t="array" ref="T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5" s="154" cm="1">
        <f t="array" ref="U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6" spans="3:21" outlineLevel="2">
      <c r="C36" s="53" t="s">
        <v>70</v>
      </c>
      <c r="D36" s="53" t="s">
        <v>68</v>
      </c>
      <c r="E36" s="53" t="s">
        <v>65</v>
      </c>
      <c r="F36" s="20" t="s">
        <v>82</v>
      </c>
      <c r="G36" s="154" cm="1">
        <f t="array" ref="G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6" s="154" cm="1">
        <f t="array" ref="H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-1.4016011881474891E-3</v>
      </c>
      <c r="I36" s="154" cm="1">
        <f t="array" ref="I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-1.3896720485833702E-3</v>
      </c>
      <c r="J36" s="154" cm="1">
        <f t="array" ref="J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-1.432313335205126E-3</v>
      </c>
      <c r="K36" s="154" cm="1">
        <f t="array" ref="K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-1.3977880905040913E-3</v>
      </c>
      <c r="M36" s="53" t="s">
        <v>70</v>
      </c>
      <c r="N36" s="53" t="s">
        <v>68</v>
      </c>
      <c r="O36" s="53" t="s">
        <v>66</v>
      </c>
      <c r="P36" s="20" t="s">
        <v>82</v>
      </c>
      <c r="Q36" s="154" cm="1">
        <f t="array" ref="Q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6" s="154" cm="1">
        <f t="array" ref="R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-1.4016011881474891E-3</v>
      </c>
      <c r="S36" s="154" cm="1">
        <f t="array" ref="S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-1.3896720485833702E-3</v>
      </c>
      <c r="T36" s="154" cm="1">
        <f t="array" ref="T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-1.432313335205126E-3</v>
      </c>
      <c r="U36" s="154" cm="1">
        <f t="array" ref="U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-1.3977880905040913E-3</v>
      </c>
    </row>
    <row r="37" spans="3:21" outlineLevel="2">
      <c r="C37" s="53" t="s">
        <v>72</v>
      </c>
      <c r="D37" s="53" t="s">
        <v>68</v>
      </c>
      <c r="E37" s="53" t="s">
        <v>65</v>
      </c>
      <c r="F37" s="20" t="s">
        <v>82</v>
      </c>
      <c r="G37" s="154" cm="1">
        <f t="array" ref="G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-1.4451020409271499E-3</v>
      </c>
      <c r="H37" s="154" cm="1">
        <f t="array" ref="H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-1.4016011881474891E-3</v>
      </c>
      <c r="I37" s="154" cm="1">
        <f t="array" ref="I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-1.3896720485833702E-3</v>
      </c>
      <c r="J37" s="154" cm="1">
        <f t="array" ref="J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-1.432313335205126E-3</v>
      </c>
      <c r="K37" s="154" cm="1">
        <f t="array" ref="K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-1.3977880905040913E-3</v>
      </c>
      <c r="M37" s="53" t="s">
        <v>72</v>
      </c>
      <c r="N37" s="53" t="s">
        <v>68</v>
      </c>
      <c r="O37" s="53" t="s">
        <v>66</v>
      </c>
      <c r="P37" s="20" t="s">
        <v>82</v>
      </c>
      <c r="Q37" s="154" cm="1">
        <f t="array" ref="Q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-1.4451020409271499E-3</v>
      </c>
      <c r="R37" s="154" cm="1">
        <f t="array" ref="R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-1.4016011881474891E-3</v>
      </c>
      <c r="S37" s="154" cm="1">
        <f t="array" ref="S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-1.3896720485833702E-3</v>
      </c>
      <c r="T37" s="154" cm="1">
        <f t="array" ref="T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-1.432313335205126E-3</v>
      </c>
      <c r="U37" s="154" cm="1">
        <f t="array" ref="U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-1.3977880905040913E-3</v>
      </c>
    </row>
    <row r="38" spans="3:21" outlineLevel="2">
      <c r="C38" s="53" t="s">
        <v>73</v>
      </c>
      <c r="D38" s="53" t="s">
        <v>68</v>
      </c>
      <c r="E38" s="53" t="s">
        <v>65</v>
      </c>
      <c r="F38" s="20" t="s">
        <v>82</v>
      </c>
      <c r="G38" s="154" cm="1">
        <f t="array" ref="G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-1.4451020409271499E-3</v>
      </c>
      <c r="H38" s="154" cm="1">
        <f t="array" ref="H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-1.4016011881474891E-3</v>
      </c>
      <c r="I38" s="154" cm="1">
        <f t="array" ref="I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-1.3896720485833702E-3</v>
      </c>
      <c r="J38" s="154" cm="1">
        <f t="array" ref="J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-1.432313335205126E-3</v>
      </c>
      <c r="K38" s="154" cm="1">
        <f t="array" ref="K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-1.3977880905040913E-3</v>
      </c>
      <c r="M38" s="53" t="s">
        <v>73</v>
      </c>
      <c r="N38" s="53" t="s">
        <v>68</v>
      </c>
      <c r="O38" s="53" t="s">
        <v>66</v>
      </c>
      <c r="P38" s="20" t="s">
        <v>82</v>
      </c>
      <c r="Q38" s="154" cm="1">
        <f t="array" ref="Q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-1.4451020409271499E-3</v>
      </c>
      <c r="R38" s="154" cm="1">
        <f t="array" ref="R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-1.4016011881474891E-3</v>
      </c>
      <c r="S38" s="154" cm="1">
        <f t="array" ref="S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-1.3896720485833702E-3</v>
      </c>
      <c r="T38" s="154" cm="1">
        <f t="array" ref="T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-1.432313335205126E-3</v>
      </c>
      <c r="U38" s="154" cm="1">
        <f t="array" ref="U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-1.3977880905040913E-3</v>
      </c>
    </row>
    <row r="39" spans="3:21" outlineLevel="2">
      <c r="C39" s="53" t="s">
        <v>74</v>
      </c>
      <c r="D39" s="53" t="s">
        <v>68</v>
      </c>
      <c r="E39" s="53" t="s">
        <v>65</v>
      </c>
      <c r="F39" s="20" t="s">
        <v>82</v>
      </c>
      <c r="G39" s="154" cm="1">
        <f t="array" ref="G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-1.4451020409271499E-3</v>
      </c>
      <c r="H39" s="154" cm="1">
        <f t="array" ref="H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-1.4016011881474891E-3</v>
      </c>
      <c r="I39" s="154" cm="1">
        <f t="array" ref="I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-1.3896720485833702E-3</v>
      </c>
      <c r="J39" s="154" cm="1">
        <f t="array" ref="J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-1.432313335205126E-3</v>
      </c>
      <c r="K39" s="154" cm="1">
        <f t="array" ref="K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-1.3977880905040913E-3</v>
      </c>
      <c r="M39" s="53"/>
      <c r="N39" s="53"/>
      <c r="O39" s="53"/>
      <c r="P39" s="20"/>
      <c r="Q39" s="154" t="str" cm="1">
        <f t="array" ref="Q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9" s="154" t="str" cm="1">
        <f t="array" ref="R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9" s="154" t="str" cm="1">
        <f t="array" ref="S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9" s="154" t="str" cm="1">
        <f t="array" ref="T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9" s="154" t="str" cm="1">
        <f t="array" ref="U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40" spans="3:21" outlineLevel="1"/>
    <row r="41" spans="3:21" ht="15.5" outlineLevel="1">
      <c r="C41" s="74" t="s">
        <v>14</v>
      </c>
    </row>
    <row r="42" spans="3:21" ht="15.5" hidden="1" outlineLevel="2">
      <c r="C42" s="26" t="str">
        <f>C$7&amp;" - checks"</f>
        <v>VDO residential rates - checks</v>
      </c>
      <c r="M42" s="26" t="str">
        <f>M$7&amp;" - checks"</f>
        <v>VDO small business rates - checks</v>
      </c>
    </row>
    <row r="43" spans="3:21" ht="15.5" hidden="1" outlineLevel="2">
      <c r="C43" s="38" t="s">
        <v>55</v>
      </c>
      <c r="D43" s="38" t="s">
        <v>56</v>
      </c>
      <c r="E43" s="38" t="s">
        <v>57</v>
      </c>
      <c r="G43" s="45" t="s">
        <v>58</v>
      </c>
      <c r="H43" s="45" t="s">
        <v>59</v>
      </c>
      <c r="I43" s="45" t="s">
        <v>60</v>
      </c>
      <c r="J43" s="45" t="s">
        <v>61</v>
      </c>
      <c r="K43" s="45" t="s">
        <v>62</v>
      </c>
      <c r="M43" s="38" t="s">
        <v>55</v>
      </c>
      <c r="N43" s="38" t="s">
        <v>56</v>
      </c>
      <c r="O43" s="38" t="s">
        <v>57</v>
      </c>
      <c r="Q43" s="45" t="s">
        <v>58</v>
      </c>
      <c r="R43" s="45" t="s">
        <v>59</v>
      </c>
      <c r="S43" s="45" t="s">
        <v>60</v>
      </c>
      <c r="T43" s="45" t="s">
        <v>61</v>
      </c>
      <c r="U43" s="45" t="s">
        <v>62</v>
      </c>
    </row>
    <row r="44" spans="3:21" ht="15.5" hidden="1" outlineLevel="2">
      <c r="C44" s="53" t="s">
        <v>63</v>
      </c>
      <c r="D44" s="53" t="s">
        <v>64</v>
      </c>
      <c r="E44" s="53" t="s">
        <v>65</v>
      </c>
      <c r="G44" s="84">
        <f>IF(ROUND(G9,4)=ROUND(
SUMIFS(OP_Rates_RES_1[Ausnet],OP_Rates_RES_1[[Rate name]:[Rate name]],$C44)+
SUMIFS(OP_RatesTU_RES_1[Ausnet],OP_RatesTU_RES_1[[Rate name]:[Rate name]],
IF($D44&lt;&gt;"$",$C44,LEFT($C44,LEN($C44)-FIND(" - supply",$C44)-1))),4),
0,1)</f>
        <v>0</v>
      </c>
      <c r="H44" s="84">
        <f>IF(ROUND(H9,4)=ROUND(
SUMIFS(OP_Rates_RES_1[Citipower],OP_Rates_RES_1[[Rate name]:[Rate name]],$C44)+
SUMIFS(OP_RatesTU_RES_1[Citipower],OP_RatesTU_RES_1[[Rate name]:[Rate name]],
IF($D44&lt;&gt;"$",$C44,LEFT($C44,LEN($C44)-FIND(" - supply",$C44)-1))),4),
0,1)</f>
        <v>0</v>
      </c>
      <c r="I44" s="84">
        <f>IF(ROUND(I9,4)=ROUND(
SUMIFS(OP_Rates_RES_1[Jemena],OP_Rates_RES_1[[Rate name]:[Rate name]],$C44)+
SUMIFS(OP_RatesTU_RES_1[Jemena],OP_RatesTU_RES_1[[Rate name]:[Rate name]],
IF($D44&lt;&gt;"$",$C44,LEFT($C44,LEN($C44)-FIND(" - supply",$C44)-1))),4),
0,1)</f>
        <v>0</v>
      </c>
      <c r="J44" s="84">
        <f>IF(ROUND(J9,4)=ROUND(
SUMIFS(OP_Rates_RES_1[Powercor],OP_Rates_RES_1[[Rate name]:[Rate name]],$C44)+
SUMIFS(OP_RatesTU_RES_1[Powercor],OP_RatesTU_RES_1[[Rate name]:[Rate name]],
IF($D44&lt;&gt;"$",$C44,LEFT($C44,LEN($C44)-FIND(" - supply",$C44)-1))),4),
0,1)</f>
        <v>0</v>
      </c>
      <c r="K44" s="84">
        <f>IF(ROUND(K9,4)=ROUND(
SUMIFS(OP_Rates_RES_1[United Energy],OP_Rates_RES_1[[Rate name]:[Rate name]],$C44)+
SUMIFS(OP_RatesTU_RES_1[United Energy],OP_RatesTU_RES_1[[Rate name]:[Rate name]],
IF($D44&lt;&gt;"$",$C44,LEFT($C44,LEN($C44)-FIND(" - supply",$C44)-1))),4),
0,1)</f>
        <v>0</v>
      </c>
      <c r="M44" s="53" t="s">
        <v>63</v>
      </c>
      <c r="N44" s="53" t="s">
        <v>64</v>
      </c>
      <c r="O44" s="53" t="s">
        <v>66</v>
      </c>
      <c r="Q44" s="84">
        <f>IF(ROUND(Q9,4)=ROUND(
SUMIFS(OP_Rates_SME_1[Ausnet],OP_Rates_SME_1[[Rate name]:[Rate name]],$C44)+
SUMIFS(OP_RatesTU_SME_1[Ausnet],OP_RatesTU_SME_1[[Rate name]:[Rate name]],
IF($D44&lt;&gt;"$",$C44,LEFT($C44,LEN($C44)-FIND(" - supply",$C44)-1))),4),
0,1)</f>
        <v>0</v>
      </c>
      <c r="R44" s="84">
        <f>IF(ROUND(R9,4)=ROUND(
SUMIFS(OP_Rates_SME_1[Citipower],OP_Rates_SME_1[[Rate name]:[Rate name]],$C44)+
SUMIFS(OP_RatesTU_SME_1[Citipower],OP_RatesTU_SME_1[[Rate name]:[Rate name]],
IF($D44&lt;&gt;"$",$C44,LEFT($C44,LEN($C44)-FIND(" - supply",$C44)-1))),4),
0,1)</f>
        <v>0</v>
      </c>
      <c r="S44" s="84">
        <f>IF(ROUND(S9,4)=ROUND(
SUMIFS(OP_Rates_SME_1[Jemena],OP_Rates_SME_1[[Rate name]:[Rate name]],$C44)+
SUMIFS(OP_RatesTU_SME_1[Jemena],OP_RatesTU_SME_1[[Rate name]:[Rate name]],
IF($D44&lt;&gt;"$",$C44,LEFT($C44,LEN($C44)-FIND(" - supply",$C44)-1))),4),
0,1)</f>
        <v>0</v>
      </c>
      <c r="T44" s="84">
        <f>IF(ROUND(T9,4)=ROUND(
SUMIFS(OP_Rates_SME_1[Powercor],OP_Rates_SME_1[[Rate name]:[Rate name]],$C44)+
SUMIFS(OP_RatesTU_SME_1[Powercor],OP_RatesTU_SME_1[[Rate name]:[Rate name]],
IF($D44&lt;&gt;"$",$C44,LEFT($C44,LEN($C44)-FIND(" - supply",$C44)-1))),4),
0,1)</f>
        <v>0</v>
      </c>
      <c r="U44" s="84">
        <f>IF(ROUND(U9,4)=ROUND(
SUMIFS(OP_Rates_SME_1[United Energy],OP_Rates_SME_1[[Rate name]:[Rate name]],$C44)+
SUMIFS(OP_RatesTU_SME_1[United Energy],OP_RatesTU_SME_1[[Rate name]:[Rate name]],
IF($D44&lt;&gt;"$",$C44,LEFT($C44,LEN($C44)-FIND(" - supply",$C44)-1))),4),
0,1)</f>
        <v>0</v>
      </c>
    </row>
    <row r="45" spans="3:21" ht="15.5" hidden="1" outlineLevel="2">
      <c r="C45" s="53" t="s">
        <v>67</v>
      </c>
      <c r="D45" s="53" t="s">
        <v>68</v>
      </c>
      <c r="E45" s="53" t="s">
        <v>65</v>
      </c>
      <c r="G45" s="84">
        <f>IF(ROUND(G10,4)=ROUND(
SUMIFS(OP_Rates_RES_1[Ausnet],OP_Rates_RES_1[[Rate name]:[Rate name]],$C45)+
SUMIFS(OP_RatesTU_RES_1[Ausnet],OP_RatesTU_RES_1[[Rate name]:[Rate name]],
IF($D45&lt;&gt;"$",$C45,LEFT($C45,LEN($C45)-FIND(" - supply",$C45)-1))),4),
0,1)</f>
        <v>0</v>
      </c>
      <c r="H45" s="84">
        <f>IF(ROUND(H10,4)=ROUND(
SUMIFS(OP_Rates_RES_1[Citipower],OP_Rates_RES_1[[Rate name]:[Rate name]],$C45)+
SUMIFS(OP_RatesTU_RES_1[Citipower],OP_RatesTU_RES_1[[Rate name]:[Rate name]],
IF($D45&lt;&gt;"$",$C45,LEFT($C45,LEN($C45)-FIND(" - supply",$C45)-1))),4),
0,1)</f>
        <v>0</v>
      </c>
      <c r="I45" s="84">
        <f>IF(ROUND(I10,4)=ROUND(
SUMIFS(OP_Rates_RES_1[Jemena],OP_Rates_RES_1[[Rate name]:[Rate name]],$C45)+
SUMIFS(OP_RatesTU_RES_1[Jemena],OP_RatesTU_RES_1[[Rate name]:[Rate name]],
IF($D45&lt;&gt;"$",$C45,LEFT($C45,LEN($C45)-FIND(" - supply",$C45)-1))),4),
0,1)</f>
        <v>0</v>
      </c>
      <c r="J45" s="84">
        <f>IF(ROUND(J10,4)=ROUND(
SUMIFS(OP_Rates_RES_1[Powercor],OP_Rates_RES_1[[Rate name]:[Rate name]],$C45)+
SUMIFS(OP_RatesTU_RES_1[Powercor],OP_RatesTU_RES_1[[Rate name]:[Rate name]],
IF($D45&lt;&gt;"$",$C45,LEFT($C45,LEN($C45)-FIND(" - supply",$C45)-1))),4),
0,1)</f>
        <v>0</v>
      </c>
      <c r="K45" s="84">
        <f>IF(ROUND(K10,4)=ROUND(
SUMIFS(OP_Rates_RES_1[United Energy],OP_Rates_RES_1[[Rate name]:[Rate name]],$C45)+
SUMIFS(OP_RatesTU_RES_1[United Energy],OP_RatesTU_RES_1[[Rate name]:[Rate name]],
IF($D45&lt;&gt;"$",$C45,LEFT($C45,LEN($C45)-FIND(" - supply",$C45)-1))),4),
0,1)</f>
        <v>0</v>
      </c>
      <c r="M45" s="53" t="s">
        <v>67</v>
      </c>
      <c r="N45" s="53" t="s">
        <v>68</v>
      </c>
      <c r="O45" s="53" t="s">
        <v>66</v>
      </c>
      <c r="Q45" s="84">
        <f>IF(ROUND(Q10,4)=ROUND(
SUMIFS(OP_Rates_SME_1[Ausnet],OP_Rates_SME_1[[Rate name]:[Rate name]],$C45)+
SUMIFS(OP_RatesTU_SME_1[Ausnet],OP_RatesTU_SME_1[[Rate name]:[Rate name]],
IF($D45&lt;&gt;"$",$C45,LEFT($C45,LEN($C45)-FIND(" - supply",$C45)-1))),4),
0,1)</f>
        <v>0</v>
      </c>
      <c r="R45" s="84">
        <f>IF(ROUND(R10,4)=ROUND(
SUMIFS(OP_Rates_SME_1[Citipower],OP_Rates_SME_1[[Rate name]:[Rate name]],$C45)+
SUMIFS(OP_RatesTU_SME_1[Citipower],OP_RatesTU_SME_1[[Rate name]:[Rate name]],
IF($D45&lt;&gt;"$",$C45,LEFT($C45,LEN($C45)-FIND(" - supply",$C45)-1))),4),
0,1)</f>
        <v>0</v>
      </c>
      <c r="S45" s="84">
        <f>IF(ROUND(S10,4)=ROUND(
SUMIFS(OP_Rates_SME_1[Jemena],OP_Rates_SME_1[[Rate name]:[Rate name]],$C45)+
SUMIFS(OP_RatesTU_SME_1[Jemena],OP_RatesTU_SME_1[[Rate name]:[Rate name]],
IF($D45&lt;&gt;"$",$C45,LEFT($C45,LEN($C45)-FIND(" - supply",$C45)-1))),4),
0,1)</f>
        <v>0</v>
      </c>
      <c r="T45" s="84">
        <f>IF(ROUND(T10,4)=ROUND(
SUMIFS(OP_Rates_SME_1[Powercor],OP_Rates_SME_1[[Rate name]:[Rate name]],$C45)+
SUMIFS(OP_RatesTU_SME_1[Powercor],OP_RatesTU_SME_1[[Rate name]:[Rate name]],
IF($D45&lt;&gt;"$",$C45,LEFT($C45,LEN($C45)-FIND(" - supply",$C45)-1))),4),
0,1)</f>
        <v>0</v>
      </c>
      <c r="U45" s="84">
        <f>IF(ROUND(U10,4)=ROUND(
SUMIFS(OP_Rates_SME_1[United Energy],OP_Rates_SME_1[[Rate name]:[Rate name]],$C45)+
SUMIFS(OP_RatesTU_SME_1[United Energy],OP_RatesTU_SME_1[[Rate name]:[Rate name]],
IF($D45&lt;&gt;"$",$C45,LEFT($C45,LEN($C45)-FIND(" - supply",$C45)-1))),4),
0,1)</f>
        <v>0</v>
      </c>
    </row>
    <row r="46" spans="3:21" ht="15.5" hidden="1" outlineLevel="2">
      <c r="C46" s="53" t="s">
        <v>69</v>
      </c>
      <c r="D46" s="53" t="s">
        <v>68</v>
      </c>
      <c r="E46" s="53" t="s">
        <v>65</v>
      </c>
      <c r="G46" s="84">
        <f>IF(ROUND(G11,4)=ROUND(
SUMIFS(OP_Rates_RES_1[Ausnet],OP_Rates_RES_1[[Rate name]:[Rate name]],$C46)+
SUMIFS(OP_RatesTU_RES_1[Ausnet],OP_RatesTU_RES_1[[Rate name]:[Rate name]],
IF($D46&lt;&gt;"$",$C46,LEFT($C46,LEN($C46)-FIND(" - supply",$C46)-1))),4),
0,1)</f>
        <v>0</v>
      </c>
      <c r="H46" s="84">
        <f>IF(ROUND(H11,4)=ROUND(
SUMIFS(OP_Rates_RES_1[Citipower],OP_Rates_RES_1[[Rate name]:[Rate name]],$C46)+
SUMIFS(OP_RatesTU_RES_1[Citipower],OP_RatesTU_RES_1[[Rate name]:[Rate name]],
IF($D46&lt;&gt;"$",$C46,LEFT($C46,LEN($C46)-FIND(" - supply",$C46)-1))),4),
0,1)</f>
        <v>0</v>
      </c>
      <c r="I46" s="84">
        <f>IF(ROUND(I11,4)=ROUND(
SUMIFS(OP_Rates_RES_1[Jemena],OP_Rates_RES_1[[Rate name]:[Rate name]],$C46)+
SUMIFS(OP_RatesTU_RES_1[Jemena],OP_RatesTU_RES_1[[Rate name]:[Rate name]],
IF($D46&lt;&gt;"$",$C46,LEFT($C46,LEN($C46)-FIND(" - supply",$C46)-1))),4),
0,1)</f>
        <v>0</v>
      </c>
      <c r="J46" s="84">
        <f>IF(ROUND(J11,4)=ROUND(
SUMIFS(OP_Rates_RES_1[Powercor],OP_Rates_RES_1[[Rate name]:[Rate name]],$C46)+
SUMIFS(OP_RatesTU_RES_1[Powercor],OP_RatesTU_RES_1[[Rate name]:[Rate name]],
IF($D46&lt;&gt;"$",$C46,LEFT($C46,LEN($C46)-FIND(" - supply",$C46)-1))),4),
0,1)</f>
        <v>0</v>
      </c>
      <c r="K46" s="84">
        <f>IF(ROUND(K11,4)=ROUND(
SUMIFS(OP_Rates_RES_1[United Energy],OP_Rates_RES_1[[Rate name]:[Rate name]],$C46)+
SUMIFS(OP_RatesTU_RES_1[United Energy],OP_RatesTU_RES_1[[Rate name]:[Rate name]],
IF($D46&lt;&gt;"$",$C46,LEFT($C46,LEN($C46)-FIND(" - supply",$C46)-1))),4),
0,1)</f>
        <v>0</v>
      </c>
      <c r="M46" s="53" t="s">
        <v>69</v>
      </c>
      <c r="N46" s="53" t="s">
        <v>68</v>
      </c>
      <c r="O46" s="53" t="s">
        <v>66</v>
      </c>
      <c r="Q46" s="84">
        <f>IF(ROUND(Q11,4)=ROUND(
SUMIFS(OP_Rates_SME_1[Ausnet],OP_Rates_SME_1[[Rate name]:[Rate name]],$C46)+
SUMIFS(OP_RatesTU_SME_1[Ausnet],OP_RatesTU_SME_1[[Rate name]:[Rate name]],
IF($D46&lt;&gt;"$",$C46,LEFT($C46,LEN($C46)-FIND(" - supply",$C46)-1))),4),
0,1)</f>
        <v>0</v>
      </c>
      <c r="R46" s="84">
        <f>IF(ROUND(R11,4)=ROUND(
SUMIFS(OP_Rates_SME_1[Citipower],OP_Rates_SME_1[[Rate name]:[Rate name]],$C46)+
SUMIFS(OP_RatesTU_SME_1[Citipower],OP_RatesTU_SME_1[[Rate name]:[Rate name]],
IF($D46&lt;&gt;"$",$C46,LEFT($C46,LEN($C46)-FIND(" - supply",$C46)-1))),4),
0,1)</f>
        <v>0</v>
      </c>
      <c r="S46" s="84">
        <f>IF(ROUND(S11,4)=ROUND(
SUMIFS(OP_Rates_SME_1[Jemena],OP_Rates_SME_1[[Rate name]:[Rate name]],$C46)+
SUMIFS(OP_RatesTU_SME_1[Jemena],OP_RatesTU_SME_1[[Rate name]:[Rate name]],
IF($D46&lt;&gt;"$",$C46,LEFT($C46,LEN($C46)-FIND(" - supply",$C46)-1))),4),
0,1)</f>
        <v>0</v>
      </c>
      <c r="T46" s="84">
        <f>IF(ROUND(T11,4)=ROUND(
SUMIFS(OP_Rates_SME_1[Powercor],OP_Rates_SME_1[[Rate name]:[Rate name]],$C46)+
SUMIFS(OP_RatesTU_SME_1[Powercor],OP_RatesTU_SME_1[[Rate name]:[Rate name]],
IF($D46&lt;&gt;"$",$C46,LEFT($C46,LEN($C46)-FIND(" - supply",$C46)-1))),4),
0,1)</f>
        <v>0</v>
      </c>
      <c r="U46" s="84">
        <f>IF(ROUND(U11,4)=ROUND(
SUMIFS(OP_Rates_SME_1[United Energy],OP_Rates_SME_1[[Rate name]:[Rate name]],$C46)+
SUMIFS(OP_RatesTU_SME_1[United Energy],OP_RatesTU_SME_1[[Rate name]:[Rate name]],
IF($D46&lt;&gt;"$",$C46,LEFT($C46,LEN($C46)-FIND(" - supply",$C46)-1))),4),
0,1)</f>
        <v>0</v>
      </c>
    </row>
    <row r="47" spans="3:21" ht="15.5" hidden="1" outlineLevel="2">
      <c r="C47" s="53" t="s">
        <v>70</v>
      </c>
      <c r="D47" s="53" t="s">
        <v>68</v>
      </c>
      <c r="E47" s="53" t="s">
        <v>65</v>
      </c>
      <c r="G47" s="84">
        <f>IF(ROUND(G12,4)=ROUND(
SUMIFS(OP_Rates_RES_1[Ausnet],OP_Rates_RES_1[[Rate name]:[Rate name]],$C47)+
SUMIFS(OP_RatesTU_RES_1[Ausnet],OP_RatesTU_RES_1[[Rate name]:[Rate name]],
IF($D47&lt;&gt;"$",$C47,LEFT($C47,LEN($C47)-FIND(" - supply",$C47)-1))),4),
0,1)</f>
        <v>0</v>
      </c>
      <c r="H47" s="84">
        <f>IF(ROUND(H12,4)=ROUND(
SUMIFS(OP_Rates_RES_1[Citipower],OP_Rates_RES_1[[Rate name]:[Rate name]],$C47)+
SUMIFS(OP_RatesTU_RES_1[Citipower],OP_RatesTU_RES_1[[Rate name]:[Rate name]],
IF($D47&lt;&gt;"$",$C47,LEFT($C47,LEN($C47)-FIND(" - supply",$C47)-1))),4),
0,1)</f>
        <v>0</v>
      </c>
      <c r="I47" s="84">
        <f>IF(ROUND(I12,4)=ROUND(
SUMIFS(OP_Rates_RES_1[Jemena],OP_Rates_RES_1[[Rate name]:[Rate name]],$C47)+
SUMIFS(OP_RatesTU_RES_1[Jemena],OP_RatesTU_RES_1[[Rate name]:[Rate name]],
IF($D47&lt;&gt;"$",$C47,LEFT($C47,LEN($C47)-FIND(" - supply",$C47)-1))),4),
0,1)</f>
        <v>0</v>
      </c>
      <c r="J47" s="84">
        <f>IF(ROUND(J12,4)=ROUND(
SUMIFS(OP_Rates_RES_1[Powercor],OP_Rates_RES_1[[Rate name]:[Rate name]],$C47)+
SUMIFS(OP_RatesTU_RES_1[Powercor],OP_RatesTU_RES_1[[Rate name]:[Rate name]],
IF($D47&lt;&gt;"$",$C47,LEFT($C47,LEN($C47)-FIND(" - supply",$C47)-1))),4),
0,1)</f>
        <v>0</v>
      </c>
      <c r="K47" s="84">
        <f>IF(ROUND(K12,4)=ROUND(
SUMIFS(OP_Rates_RES_1[United Energy],OP_Rates_RES_1[[Rate name]:[Rate name]],$C47)+
SUMIFS(OP_RatesTU_RES_1[United Energy],OP_RatesTU_RES_1[[Rate name]:[Rate name]],
IF($D47&lt;&gt;"$",$C47,LEFT($C47,LEN($C47)-FIND(" - supply",$C47)-1))),4),
0,1)</f>
        <v>0</v>
      </c>
      <c r="M47" s="53" t="s">
        <v>70</v>
      </c>
      <c r="N47" s="53" t="s">
        <v>68</v>
      </c>
      <c r="O47" s="53" t="s">
        <v>66</v>
      </c>
      <c r="Q47" s="84">
        <f>IF(ROUND(Q12,4)=ROUND(
SUMIFS(OP_Rates_SME_1[Ausnet],OP_Rates_SME_1[[Rate name]:[Rate name]],$C47)+
SUMIFS(OP_RatesTU_SME_1[Ausnet],OP_RatesTU_SME_1[[Rate name]:[Rate name]],
IF($D47&lt;&gt;"$",$C47,LEFT($C47,LEN($C47)-FIND(" - supply",$C47)-1))),4),
0,1)</f>
        <v>0</v>
      </c>
      <c r="R47" s="84">
        <f>IF(ROUND(R12,4)=ROUND(
SUMIFS(OP_Rates_SME_1[Citipower],OP_Rates_SME_1[[Rate name]:[Rate name]],$C47)+
SUMIFS(OP_RatesTU_SME_1[Citipower],OP_RatesTU_SME_1[[Rate name]:[Rate name]],
IF($D47&lt;&gt;"$",$C47,LEFT($C47,LEN($C47)-FIND(" - supply",$C47)-1))),4),
0,1)</f>
        <v>0</v>
      </c>
      <c r="S47" s="84">
        <f>IF(ROUND(S12,4)=ROUND(
SUMIFS(OP_Rates_SME_1[Jemena],OP_Rates_SME_1[[Rate name]:[Rate name]],$C47)+
SUMIFS(OP_RatesTU_SME_1[Jemena],OP_RatesTU_SME_1[[Rate name]:[Rate name]],
IF($D47&lt;&gt;"$",$C47,LEFT($C47,LEN($C47)-FIND(" - supply",$C47)-1))),4),
0,1)</f>
        <v>0</v>
      </c>
      <c r="T47" s="84">
        <f>IF(ROUND(T12,4)=ROUND(
SUMIFS(OP_Rates_SME_1[Powercor],OP_Rates_SME_1[[Rate name]:[Rate name]],$C47)+
SUMIFS(OP_RatesTU_SME_1[Powercor],OP_RatesTU_SME_1[[Rate name]:[Rate name]],
IF($D47&lt;&gt;"$",$C47,LEFT($C47,LEN($C47)-FIND(" - supply",$C47)-1))),4),
0,1)</f>
        <v>0</v>
      </c>
      <c r="U47" s="84">
        <f>IF(ROUND(U12,4)=ROUND(
SUMIFS(OP_Rates_SME_1[United Energy],OP_Rates_SME_1[[Rate name]:[Rate name]],$C47)+
SUMIFS(OP_RatesTU_SME_1[United Energy],OP_RatesTU_SME_1[[Rate name]:[Rate name]],
IF($D47&lt;&gt;"$",$C47,LEFT($C47,LEN($C47)-FIND(" - supply",$C47)-1))),4),
0,1)</f>
        <v>0</v>
      </c>
    </row>
    <row r="48" spans="3:21" ht="15.5" hidden="1" outlineLevel="2">
      <c r="C48" s="53" t="s">
        <v>71</v>
      </c>
      <c r="D48" s="53" t="s">
        <v>64</v>
      </c>
      <c r="E48" s="53" t="s">
        <v>65</v>
      </c>
      <c r="G48" s="84">
        <f>IF(ROUND(G13,4)=ROUND(
SUMIFS(OP_Rates_RES_1[Ausnet],OP_Rates_RES_1[[Rate name]:[Rate name]],$C48)+
SUMIFS(OP_RatesTU_RES_1[Ausnet],OP_RatesTU_RES_1[[Rate name]:[Rate name]],
IF($D48&lt;&gt;"$",$C48,LEFT($C48,LEN($C48)-FIND(" - supply",$C48)-1))),4),
0,1)</f>
        <v>0</v>
      </c>
      <c r="H48" s="84">
        <f>IF(ROUND(H13,4)=ROUND(
SUMIFS(OP_Rates_RES_1[Citipower],OP_Rates_RES_1[[Rate name]:[Rate name]],$C48)+
SUMIFS(OP_RatesTU_RES_1[Citipower],OP_RatesTU_RES_1[[Rate name]:[Rate name]],
IF($D48&lt;&gt;"$",$C48,LEFT($C48,LEN($C48)-FIND(" - supply",$C48)-1))),4),
0,1)</f>
        <v>0</v>
      </c>
      <c r="I48" s="84">
        <f>IF(ROUND(I13,4)=ROUND(
SUMIFS(OP_Rates_RES_1[Jemena],OP_Rates_RES_1[[Rate name]:[Rate name]],$C48)+
SUMIFS(OP_RatesTU_RES_1[Jemena],OP_RatesTU_RES_1[[Rate name]:[Rate name]],
IF($D48&lt;&gt;"$",$C48,LEFT($C48,LEN($C48)-FIND(" - supply",$C48)-1))),4),
0,1)</f>
        <v>0</v>
      </c>
      <c r="J48" s="84">
        <f>IF(ROUND(J13,4)=ROUND(
SUMIFS(OP_Rates_RES_1[Powercor],OP_Rates_RES_1[[Rate name]:[Rate name]],$C48)+
SUMIFS(OP_RatesTU_RES_1[Powercor],OP_RatesTU_RES_1[[Rate name]:[Rate name]],
IF($D48&lt;&gt;"$",$C48,LEFT($C48,LEN($C48)-FIND(" - supply",$C48)-1))),4),
0,1)</f>
        <v>0</v>
      </c>
      <c r="K48" s="84">
        <f>IF(ROUND(K13,4)=ROUND(
SUMIFS(OP_Rates_RES_1[United Energy],OP_Rates_RES_1[[Rate name]:[Rate name]],$C48)+
SUMIFS(OP_RatesTU_RES_1[United Energy],OP_RatesTU_RES_1[[Rate name]:[Rate name]],
IF($D48&lt;&gt;"$",$C48,LEFT($C48,LEN($C48)-FIND(" - supply",$C48)-1))),4),
0,1)</f>
        <v>0</v>
      </c>
      <c r="M48" s="53" t="s">
        <v>71</v>
      </c>
      <c r="N48" s="53" t="s">
        <v>64</v>
      </c>
      <c r="O48" s="53" t="s">
        <v>66</v>
      </c>
      <c r="Q48" s="84">
        <f>IF(ROUND(Q13,4)=ROUND(
SUMIFS(OP_Rates_SME_1[Ausnet],OP_Rates_SME_1[[Rate name]:[Rate name]],$C48)+
SUMIFS(OP_RatesTU_SME_1[Ausnet],OP_RatesTU_SME_1[[Rate name]:[Rate name]],
IF($D48&lt;&gt;"$",$C48,LEFT($C48,LEN($C48)-FIND(" - supply",$C48)-1))),4),
0,1)</f>
        <v>0</v>
      </c>
      <c r="R48" s="84">
        <f>IF(ROUND(R13,4)=ROUND(
SUMIFS(OP_Rates_SME_1[Citipower],OP_Rates_SME_1[[Rate name]:[Rate name]],$C48)+
SUMIFS(OP_RatesTU_SME_1[Citipower],OP_RatesTU_SME_1[[Rate name]:[Rate name]],
IF($D48&lt;&gt;"$",$C48,LEFT($C48,LEN($C48)-FIND(" - supply",$C48)-1))),4),
0,1)</f>
        <v>0</v>
      </c>
      <c r="S48" s="84">
        <f>IF(ROUND(S13,4)=ROUND(
SUMIFS(OP_Rates_SME_1[Jemena],OP_Rates_SME_1[[Rate name]:[Rate name]],$C48)+
SUMIFS(OP_RatesTU_SME_1[Jemena],OP_RatesTU_SME_1[[Rate name]:[Rate name]],
IF($D48&lt;&gt;"$",$C48,LEFT($C48,LEN($C48)-FIND(" - supply",$C48)-1))),4),
0,1)</f>
        <v>0</v>
      </c>
      <c r="T48" s="84">
        <f>IF(ROUND(T13,4)=ROUND(
SUMIFS(OP_Rates_SME_1[Powercor],OP_Rates_SME_1[[Rate name]:[Rate name]],$C48)+
SUMIFS(OP_RatesTU_SME_1[Powercor],OP_RatesTU_SME_1[[Rate name]:[Rate name]],
IF($D48&lt;&gt;"$",$C48,LEFT($C48,LEN($C48)-FIND(" - supply",$C48)-1))),4),
0,1)</f>
        <v>0</v>
      </c>
      <c r="U48" s="84">
        <f>IF(ROUND(U13,4)=ROUND(
SUMIFS(OP_Rates_SME_1[United Energy],OP_Rates_SME_1[[Rate name]:[Rate name]],$C48)+
SUMIFS(OP_RatesTU_SME_1[United Energy],OP_RatesTU_SME_1[[Rate name]:[Rate name]],
IF($D48&lt;&gt;"$",$C48,LEFT($C48,LEN($C48)-FIND(" - supply",$C48)-1))),4),
0,1)</f>
        <v>0</v>
      </c>
    </row>
    <row r="49" spans="3:21" ht="15.5" hidden="1" outlineLevel="2">
      <c r="C49" s="53" t="s">
        <v>72</v>
      </c>
      <c r="D49" s="53" t="s">
        <v>68</v>
      </c>
      <c r="E49" s="53" t="s">
        <v>65</v>
      </c>
      <c r="G49" s="84">
        <f>IF(ROUND(G14,4)=ROUND(
SUMIFS(OP_Rates_RES_1[Ausnet],OP_Rates_RES_1[[Rate name]:[Rate name]],$C49)+
SUMIFS(OP_RatesTU_RES_1[Ausnet],OP_RatesTU_RES_1[[Rate name]:[Rate name]],
IF($D49&lt;&gt;"$",$C49,LEFT($C49,LEN($C49)-FIND(" - supply",$C49)-1))),4),
0,1)</f>
        <v>0</v>
      </c>
      <c r="H49" s="84">
        <f>IF(ROUND(H14,4)=ROUND(
SUMIFS(OP_Rates_RES_1[Citipower],OP_Rates_RES_1[[Rate name]:[Rate name]],$C49)+
SUMIFS(OP_RatesTU_RES_1[Citipower],OP_RatesTU_RES_1[[Rate name]:[Rate name]],
IF($D49&lt;&gt;"$",$C49,LEFT($C49,LEN($C49)-FIND(" - supply",$C49)-1))),4),
0,1)</f>
        <v>0</v>
      </c>
      <c r="I49" s="84">
        <f>IF(ROUND(I14,4)=ROUND(
SUMIFS(OP_Rates_RES_1[Jemena],OP_Rates_RES_1[[Rate name]:[Rate name]],$C49)+
SUMIFS(OP_RatesTU_RES_1[Jemena],OP_RatesTU_RES_1[[Rate name]:[Rate name]],
IF($D49&lt;&gt;"$",$C49,LEFT($C49,LEN($C49)-FIND(" - supply",$C49)-1))),4),
0,1)</f>
        <v>0</v>
      </c>
      <c r="J49" s="84">
        <f>IF(ROUND(J14,4)=ROUND(
SUMIFS(OP_Rates_RES_1[Powercor],OP_Rates_RES_1[[Rate name]:[Rate name]],$C49)+
SUMIFS(OP_RatesTU_RES_1[Powercor],OP_RatesTU_RES_1[[Rate name]:[Rate name]],
IF($D49&lt;&gt;"$",$C49,LEFT($C49,LEN($C49)-FIND(" - supply",$C49)-1))),4),
0,1)</f>
        <v>0</v>
      </c>
      <c r="K49" s="84">
        <f>IF(ROUND(K14,4)=ROUND(
SUMIFS(OP_Rates_RES_1[United Energy],OP_Rates_RES_1[[Rate name]:[Rate name]],$C49)+
SUMIFS(OP_RatesTU_RES_1[United Energy],OP_RatesTU_RES_1[[Rate name]:[Rate name]],
IF($D49&lt;&gt;"$",$C49,LEFT($C49,LEN($C49)-FIND(" - supply",$C49)-1))),4),
0,1)</f>
        <v>0</v>
      </c>
      <c r="M49" s="53" t="s">
        <v>72</v>
      </c>
      <c r="N49" s="53" t="s">
        <v>68</v>
      </c>
      <c r="O49" s="53" t="s">
        <v>66</v>
      </c>
      <c r="Q49" s="84">
        <f>IF(ROUND(Q14,4)=ROUND(
SUMIFS(OP_Rates_SME_1[Ausnet],OP_Rates_SME_1[[Rate name]:[Rate name]],$C49)+
SUMIFS(OP_RatesTU_SME_1[Ausnet],OP_RatesTU_SME_1[[Rate name]:[Rate name]],
IF($D49&lt;&gt;"$",$C49,LEFT($C49,LEN($C49)-FIND(" - supply",$C49)-1))),4),
0,1)</f>
        <v>0</v>
      </c>
      <c r="R49" s="84">
        <f>IF(ROUND(R14,4)=ROUND(
SUMIFS(OP_Rates_SME_1[Citipower],OP_Rates_SME_1[[Rate name]:[Rate name]],$C49)+
SUMIFS(OP_RatesTU_SME_1[Citipower],OP_RatesTU_SME_1[[Rate name]:[Rate name]],
IF($D49&lt;&gt;"$",$C49,LEFT($C49,LEN($C49)-FIND(" - supply",$C49)-1))),4),
0,1)</f>
        <v>0</v>
      </c>
      <c r="S49" s="84">
        <f>IF(ROUND(S14,4)=ROUND(
SUMIFS(OP_Rates_SME_1[Jemena],OP_Rates_SME_1[[Rate name]:[Rate name]],$C49)+
SUMIFS(OP_RatesTU_SME_1[Jemena],OP_RatesTU_SME_1[[Rate name]:[Rate name]],
IF($D49&lt;&gt;"$",$C49,LEFT($C49,LEN($C49)-FIND(" - supply",$C49)-1))),4),
0,1)</f>
        <v>0</v>
      </c>
      <c r="T49" s="84">
        <f>IF(ROUND(T14,4)=ROUND(
SUMIFS(OP_Rates_SME_1[Powercor],OP_Rates_SME_1[[Rate name]:[Rate name]],$C49)+
SUMIFS(OP_RatesTU_SME_1[Powercor],OP_RatesTU_SME_1[[Rate name]:[Rate name]],
IF($D49&lt;&gt;"$",$C49,LEFT($C49,LEN($C49)-FIND(" - supply",$C49)-1))),4),
0,1)</f>
        <v>0</v>
      </c>
      <c r="U49" s="84">
        <f>IF(ROUND(U14,4)=ROUND(
SUMIFS(OP_Rates_SME_1[United Energy],OP_Rates_SME_1[[Rate name]:[Rate name]],$C49)+
SUMIFS(OP_RatesTU_SME_1[United Energy],OP_RatesTU_SME_1[[Rate name]:[Rate name]],
IF($D49&lt;&gt;"$",$C49,LEFT($C49,LEN($C49)-FIND(" - supply",$C49)-1))),4),
0,1)</f>
        <v>0</v>
      </c>
    </row>
    <row r="50" spans="3:21" ht="15.5" hidden="1" outlineLevel="2">
      <c r="C50" s="53" t="s">
        <v>73</v>
      </c>
      <c r="D50" s="53" t="s">
        <v>68</v>
      </c>
      <c r="E50" s="53" t="s">
        <v>65</v>
      </c>
      <c r="G50" s="84">
        <f>IF(ROUND(G15,4)=ROUND(
SUMIFS(OP_Rates_RES_1[Ausnet],OP_Rates_RES_1[[Rate name]:[Rate name]],$C50)+
SUMIFS(OP_RatesTU_RES_1[Ausnet],OP_RatesTU_RES_1[[Rate name]:[Rate name]],
IF($D50&lt;&gt;"$",$C50,LEFT($C50,LEN($C50)-FIND(" - supply",$C50)-1))),4),
0,1)</f>
        <v>0</v>
      </c>
      <c r="H50" s="84">
        <f>IF(ROUND(H15,4)=ROUND(
SUMIFS(OP_Rates_RES_1[Citipower],OP_Rates_RES_1[[Rate name]:[Rate name]],$C50)+
SUMIFS(OP_RatesTU_RES_1[Citipower],OP_RatesTU_RES_1[[Rate name]:[Rate name]],
IF($D50&lt;&gt;"$",$C50,LEFT($C50,LEN($C50)-FIND(" - supply",$C50)-1))),4),
0,1)</f>
        <v>0</v>
      </c>
      <c r="I50" s="84">
        <f>IF(ROUND(I15,4)=ROUND(
SUMIFS(OP_Rates_RES_1[Jemena],OP_Rates_RES_1[[Rate name]:[Rate name]],$C50)+
SUMIFS(OP_RatesTU_RES_1[Jemena],OP_RatesTU_RES_1[[Rate name]:[Rate name]],
IF($D50&lt;&gt;"$",$C50,LEFT($C50,LEN($C50)-FIND(" - supply",$C50)-1))),4),
0,1)</f>
        <v>0</v>
      </c>
      <c r="J50" s="84">
        <f>IF(ROUND(J15,4)=ROUND(
SUMIFS(OP_Rates_RES_1[Powercor],OP_Rates_RES_1[[Rate name]:[Rate name]],$C50)+
SUMIFS(OP_RatesTU_RES_1[Powercor],OP_RatesTU_RES_1[[Rate name]:[Rate name]],
IF($D50&lt;&gt;"$",$C50,LEFT($C50,LEN($C50)-FIND(" - supply",$C50)-1))),4),
0,1)</f>
        <v>0</v>
      </c>
      <c r="K50" s="84">
        <f>IF(ROUND(K15,4)=ROUND(
SUMIFS(OP_Rates_RES_1[United Energy],OP_Rates_RES_1[[Rate name]:[Rate name]],$C50)+
SUMIFS(OP_RatesTU_RES_1[United Energy],OP_RatesTU_RES_1[[Rate name]:[Rate name]],
IF($D50&lt;&gt;"$",$C50,LEFT($C50,LEN($C50)-FIND(" - supply",$C50)-1))),4),
0,1)</f>
        <v>0</v>
      </c>
      <c r="M50" s="53" t="s">
        <v>73</v>
      </c>
      <c r="N50" s="53" t="s">
        <v>68</v>
      </c>
      <c r="O50" s="53" t="s">
        <v>66</v>
      </c>
      <c r="Q50" s="84">
        <f>IF(ROUND(Q15,4)=ROUND(
SUMIFS(OP_Rates_SME_1[Ausnet],OP_Rates_SME_1[[Rate name]:[Rate name]],$C50)+
SUMIFS(OP_RatesTU_SME_1[Ausnet],OP_RatesTU_SME_1[[Rate name]:[Rate name]],
IF($D50&lt;&gt;"$",$C50,LEFT($C50,LEN($C50)-FIND(" - supply",$C50)-1))),4),
0,1)</f>
        <v>0</v>
      </c>
      <c r="R50" s="84">
        <f>IF(ROUND(R15,4)=ROUND(
SUMIFS(OP_Rates_SME_1[Citipower],OP_Rates_SME_1[[Rate name]:[Rate name]],$C50)+
SUMIFS(OP_RatesTU_SME_1[Citipower],OP_RatesTU_SME_1[[Rate name]:[Rate name]],
IF($D50&lt;&gt;"$",$C50,LEFT($C50,LEN($C50)-FIND(" - supply",$C50)-1))),4),
0,1)</f>
        <v>0</v>
      </c>
      <c r="S50" s="84">
        <f>IF(ROUND(S15,4)=ROUND(
SUMIFS(OP_Rates_SME_1[Jemena],OP_Rates_SME_1[[Rate name]:[Rate name]],$C50)+
SUMIFS(OP_RatesTU_SME_1[Jemena],OP_RatesTU_SME_1[[Rate name]:[Rate name]],
IF($D50&lt;&gt;"$",$C50,LEFT($C50,LEN($C50)-FIND(" - supply",$C50)-1))),4),
0,1)</f>
        <v>0</v>
      </c>
      <c r="T50" s="84">
        <f>IF(ROUND(T15,4)=ROUND(
SUMIFS(OP_Rates_SME_1[Powercor],OP_Rates_SME_1[[Rate name]:[Rate name]],$C50)+
SUMIFS(OP_RatesTU_SME_1[Powercor],OP_RatesTU_SME_1[[Rate name]:[Rate name]],
IF($D50&lt;&gt;"$",$C50,LEFT($C50,LEN($C50)-FIND(" - supply",$C50)-1))),4),
0,1)</f>
        <v>0</v>
      </c>
      <c r="U50" s="84">
        <f>IF(ROUND(U15,4)=ROUND(
SUMIFS(OP_Rates_SME_1[United Energy],OP_Rates_SME_1[[Rate name]:[Rate name]],$C50)+
SUMIFS(OP_RatesTU_SME_1[United Energy],OP_RatesTU_SME_1[[Rate name]:[Rate name]],
IF($D50&lt;&gt;"$",$C50,LEFT($C50,LEN($C50)-FIND(" - supply",$C50)-1))),4),
0,1)</f>
        <v>0</v>
      </c>
    </row>
    <row r="51" spans="3:21" ht="15.5" hidden="1" outlineLevel="2">
      <c r="C51" s="53" t="s">
        <v>74</v>
      </c>
      <c r="D51" s="53" t="s">
        <v>68</v>
      </c>
      <c r="E51" s="53" t="s">
        <v>65</v>
      </c>
      <c r="G51" s="84">
        <f>IF(ROUND(G16,4)=ROUND(
SUMIFS(OP_Rates_RES_1[Ausnet],OP_Rates_RES_1[[Rate name]:[Rate name]],$C51)+
SUMIFS(OP_RatesTU_RES_1[Ausnet],OP_RatesTU_RES_1[[Rate name]:[Rate name]],
IF($D51&lt;&gt;"$",$C51,LEFT($C51,LEN($C51)-FIND(" - supply",$C51)-1))),4),
0,1)</f>
        <v>0</v>
      </c>
      <c r="H51" s="84">
        <f>IF(ROUND(H16,4)=ROUND(
SUMIFS(OP_Rates_RES_1[Citipower],OP_Rates_RES_1[[Rate name]:[Rate name]],$C51)+
SUMIFS(OP_RatesTU_RES_1[Citipower],OP_RatesTU_RES_1[[Rate name]:[Rate name]],
IF($D51&lt;&gt;"$",$C51,LEFT($C51,LEN($C51)-FIND(" - supply",$C51)-1))),4),
0,1)</f>
        <v>0</v>
      </c>
      <c r="I51" s="84">
        <f>IF(ROUND(I16,4)=ROUND(
SUMIFS(OP_Rates_RES_1[Jemena],OP_Rates_RES_1[[Rate name]:[Rate name]],$C51)+
SUMIFS(OP_RatesTU_RES_1[Jemena],OP_RatesTU_RES_1[[Rate name]:[Rate name]],
IF($D51&lt;&gt;"$",$C51,LEFT($C51,LEN($C51)-FIND(" - supply",$C51)-1))),4),
0,1)</f>
        <v>0</v>
      </c>
      <c r="J51" s="84">
        <f>IF(ROUND(J16,4)=ROUND(
SUMIFS(OP_Rates_RES_1[Powercor],OP_Rates_RES_1[[Rate name]:[Rate name]],$C51)+
SUMIFS(OP_RatesTU_RES_1[Powercor],OP_RatesTU_RES_1[[Rate name]:[Rate name]],
IF($D51&lt;&gt;"$",$C51,LEFT($C51,LEN($C51)-FIND(" - supply",$C51)-1))),4),
0,1)</f>
        <v>0</v>
      </c>
      <c r="K51" s="84">
        <f>IF(ROUND(K16,4)=ROUND(
SUMIFS(OP_Rates_RES_1[United Energy],OP_Rates_RES_1[[Rate name]:[Rate name]],$C51)+
SUMIFS(OP_RatesTU_RES_1[United Energy],OP_RatesTU_RES_1[[Rate name]:[Rate name]],
IF($D51&lt;&gt;"$",$C51,LEFT($C51,LEN($C51)-FIND(" - supply",$C51)-1))),4),
0,1)</f>
        <v>0</v>
      </c>
      <c r="M51" s="53"/>
      <c r="N51" s="53"/>
      <c r="O51" s="53"/>
      <c r="Q51" s="84"/>
      <c r="R51" s="84"/>
      <c r="S51" s="84"/>
      <c r="T51" s="84"/>
      <c r="U51" s="84"/>
    </row>
    <row r="52" spans="3:21" hidden="1" outlineLevel="2"/>
    <row r="53" spans="3:21" ht="15.5" hidden="1" outlineLevel="2">
      <c r="C53" s="26" t="str">
        <f>C$18&amp;" - checks"</f>
        <v>Residential calculated rate - checks</v>
      </c>
      <c r="M53" s="26" t="str">
        <f>M$18&amp;" - checks"</f>
        <v>Small business calculated rate - checks</v>
      </c>
    </row>
    <row r="54" spans="3:21" ht="15.5" hidden="1" outlineLevel="2">
      <c r="C54" s="38" t="s">
        <v>55</v>
      </c>
      <c r="D54" s="38" t="s">
        <v>56</v>
      </c>
      <c r="E54" s="38" t="s">
        <v>57</v>
      </c>
      <c r="G54" s="45" t="s">
        <v>58</v>
      </c>
      <c r="H54" s="45" t="s">
        <v>59</v>
      </c>
      <c r="I54" s="45" t="s">
        <v>60</v>
      </c>
      <c r="J54" s="45" t="s">
        <v>61</v>
      </c>
      <c r="K54" s="45" t="s">
        <v>62</v>
      </c>
      <c r="M54" s="38" t="s">
        <v>55</v>
      </c>
      <c r="N54" s="38" t="s">
        <v>56</v>
      </c>
      <c r="O54" s="38" t="s">
        <v>57</v>
      </c>
      <c r="Q54" s="45" t="s">
        <v>58</v>
      </c>
      <c r="R54" s="45" t="s">
        <v>59</v>
      </c>
      <c r="S54" s="45" t="s">
        <v>60</v>
      </c>
      <c r="T54" s="45" t="s">
        <v>61</v>
      </c>
      <c r="U54" s="45" t="s">
        <v>62</v>
      </c>
    </row>
    <row r="55" spans="3:21" ht="15.5" hidden="1" outlineLevel="2">
      <c r="C55" s="20" t="s">
        <v>63</v>
      </c>
      <c r="D55" s="20" t="s">
        <v>64</v>
      </c>
      <c r="E55" s="20" t="s">
        <v>65</v>
      </c>
      <c r="G55" s="84" cm="1">
        <f t="array" ref="G55">IF(G20="-","-",
IF(ROUND(G20,8)=
ROUND(((
(SUMIFS(Calc_NetworkF_1[Ausnet],Calc_NetworkF_1[[Cost item]:[Cost item]],$C55,Calc_NetworkF_1[[Customer type]:[Customer type]],$E55)+
SUMIFS(Calc_Fixed_1[Ausnet],Calc_Fixed_1[[Customer type]:[Customer type]],"All")+
SUMIFS(Calc_Fixed_1[Ausnet],Calc_Fixed_1[[Customer type]:[Customer type]],$E55))/DiLY)*(1+Calc_ROM_1[Ausnet]))*(1+GST),8),0,1))</f>
        <v>0</v>
      </c>
      <c r="H55" s="84" cm="1">
        <f t="array" ref="H55">IF(H20="-","-",
IF(ROUND(H20,8)=
ROUND(((
(SUMIFS(Calc_NetworkF_1[Citipower],Calc_NetworkF_1[[Cost item]:[Cost item]],$C55,Calc_NetworkF_1[[Customer type]:[Customer type]],$E55)+
SUMIFS(Calc_Fixed_1[Citipower],Calc_Fixed_1[[Customer type]:[Customer type]],"All")+
SUMIFS(Calc_Fixed_1[Citipower],Calc_Fixed_1[[Customer type]:[Customer type]],$E55))/DiLY)*(1+Calc_ROM_1[Citipower]))*(1+GST),8),0,1))</f>
        <v>0</v>
      </c>
      <c r="I55" s="84" cm="1">
        <f t="array" ref="I55">IF(I20="-","-",
IF(ROUND(I20,8)=
ROUND(((
(SUMIFS(Calc_NetworkF_1[Jemena],Calc_NetworkF_1[[Cost item]:[Cost item]],$C55,Calc_NetworkF_1[[Customer type]:[Customer type]],$E55)+
SUMIFS(Calc_Fixed_1[Jemena],Calc_Fixed_1[[Customer type]:[Customer type]],"All")+
SUMIFS(Calc_Fixed_1[Jemena],Calc_Fixed_1[[Customer type]:[Customer type]],$E55))/DiLY)*(1+Calc_ROM_1[Jemena]))*(1+GST),8),0,1))</f>
        <v>0</v>
      </c>
      <c r="J55" s="84" cm="1">
        <f t="array" ref="J55">IF(J20="-","-",
IF(ROUND(J20,8)=
ROUND(((
(SUMIFS(Calc_NetworkF_1[Powercor],Calc_NetworkF_1[[Cost item]:[Cost item]],$C55,Calc_NetworkF_1[[Customer type]:[Customer type]],$E55)+
SUMIFS(Calc_Fixed_1[Powercor],Calc_Fixed_1[[Customer type]:[Customer type]],"All")+
SUMIFS(Calc_Fixed_1[Powercor],Calc_Fixed_1[[Customer type]:[Customer type]],$E55))/DiLY)*(1+Calc_ROM_1[Powercor]))*(1+GST),8),0,1))</f>
        <v>0</v>
      </c>
      <c r="K55" s="84" cm="1">
        <f t="array" ref="K55">IF(K20="-","-",
IF(ROUND(K20,8)=
ROUND(((
(SUMIFS(Calc_NetworkF_1[United Energy],Calc_NetworkF_1[[Cost item]:[Cost item]],$C55,Calc_NetworkF_1[[Customer type]:[Customer type]],$E55)+
SUMIFS(Calc_Fixed_1[United Energy],Calc_Fixed_1[[Customer type]:[Customer type]],"All")+
SUMIFS(Calc_Fixed_1[United Energy],Calc_Fixed_1[[Customer type]:[Customer type]],$E55))/DiLY)*(1+Calc_ROM_1[United Energy]))*(1+GST),8),0,1))</f>
        <v>0</v>
      </c>
      <c r="M55" s="20" t="s">
        <v>63</v>
      </c>
      <c r="N55" s="20" t="s">
        <v>64</v>
      </c>
      <c r="O55" s="20" t="s">
        <v>66</v>
      </c>
      <c r="Q55" s="84" cm="1">
        <f t="array" ref="Q55">IF(Q20="-","-",
IF(ROUND(Q20,8)=
ROUND(((
(SUMIFS(Calc_NetworkF_1[Ausnet],Calc_NetworkF_1[[Cost item]:[Cost item]],$M55,Calc_NetworkF_1[[Customer type]:[Customer type]],$O55)+
SUMIFS(Calc_Fixed_1[Ausnet],Calc_Fixed_1[[Customer type]:[Customer type]],"All")+
SUMIFS(Calc_Fixed_1[Ausnet],Calc_Fixed_1[[Customer type]:[Customer type]],$O55))/DiLY)*(1+Calc_ROM_1[Ausnet]))*(1+GST),8),0,1))</f>
        <v>0</v>
      </c>
      <c r="R55" s="84" cm="1">
        <f t="array" ref="R55">IF(R20="-","-",
IF(ROUND(R20,8)=
ROUND(((
(SUMIFS(Calc_NetworkF_1[Citipower],Calc_NetworkF_1[[Cost item]:[Cost item]],$M55,Calc_NetworkF_1[[Customer type]:[Customer type]],$O55)+
SUMIFS(Calc_Fixed_1[Citipower],Calc_Fixed_1[[Customer type]:[Customer type]],"All")+
SUMIFS(Calc_Fixed_1[Citipower],Calc_Fixed_1[[Customer type]:[Customer type]],$O55))/DiLY)*(1+Calc_ROM_1[Citipower]))*(1+GST),8),0,1))</f>
        <v>0</v>
      </c>
      <c r="S55" s="84" cm="1">
        <f t="array" ref="S55">IF(S20="-","-",
IF(ROUND(S20,8)=
ROUND(((
(SUMIFS(Calc_NetworkF_1[Jemena],Calc_NetworkF_1[[Cost item]:[Cost item]],$M55,Calc_NetworkF_1[[Customer type]:[Customer type]],$O55)+
SUMIFS(Calc_Fixed_1[Jemena],Calc_Fixed_1[[Customer type]:[Customer type]],"All")+
SUMIFS(Calc_Fixed_1[Jemena],Calc_Fixed_1[[Customer type]:[Customer type]],$O55))/DiLY)*(1+Calc_ROM_1[Jemena]))*(1+GST),8),0,1))</f>
        <v>0</v>
      </c>
      <c r="T55" s="84" cm="1">
        <f t="array" ref="T55">IF(T20="-","-",
IF(ROUND(T20,8)=
ROUND(((
(SUMIFS(Calc_NetworkF_1[Powercor],Calc_NetworkF_1[[Cost item]:[Cost item]],$M55,Calc_NetworkF_1[[Customer type]:[Customer type]],$O55)+
SUMIFS(Calc_Fixed_1[Powercor],Calc_Fixed_1[[Customer type]:[Customer type]],"All")+
SUMIFS(Calc_Fixed_1[Powercor],Calc_Fixed_1[[Customer type]:[Customer type]],$O55))/DiLY)*(1+Calc_ROM_1[Powercor]))*(1+GST),8),0,1))</f>
        <v>0</v>
      </c>
      <c r="U55" s="84" cm="1">
        <f t="array" ref="U55">IF(U20="-","-",
IF(ROUND(U20,8)=
ROUND(((
(SUMIFS(Calc_NetworkF_1[United Energy],Calc_NetworkF_1[[Cost item]:[Cost item]],$M55,Calc_NetworkF_1[[Customer type]:[Customer type]],$O55)+
SUMIFS(Calc_Fixed_1[United Energy],Calc_Fixed_1[[Customer type]:[Customer type]],"All")+
SUMIFS(Calc_Fixed_1[United Energy],Calc_Fixed_1[[Customer type]:[Customer type]],$O55))/DiLY)*(1+Calc_ROM_1[United Energy]))*(1+GST),8),0,1))</f>
        <v>0</v>
      </c>
    </row>
    <row r="56" spans="3:21" ht="15.5" hidden="1" outlineLevel="2">
      <c r="C56" s="20" t="s">
        <v>67</v>
      </c>
      <c r="D56" s="20" t="s">
        <v>68</v>
      </c>
      <c r="E56" s="20" t="s">
        <v>65</v>
      </c>
      <c r="G56" s="84" cm="1">
        <f t="array" ref="G56">IF(G21="-","-",
IF(ROUND(G21,8)=ROUND(
((SUMIFS(Calc_Variable_1[Ausnet],Calc_Variable_1[[Customer type]:[Customer type]],"All")+
SUMIFS(Calc_Variable_1[Ausnet],Calc_Variable_1[[Customer type]:[Customer type]],OP_Rates!$E56)+
SUMIFS(Calc_NetworkV_1[Ausnet],Calc_NetworkV_1[[Customer type]:[Customer type]],OP_Rates!$E56,Calc_NetworkV_1[[Cost item]:[Cost item]],OP_Rates!$C56))*(1+Calc_ROM_1[Ausnet]))*(1+GST),8),0,1))</f>
        <v>0</v>
      </c>
      <c r="H56" s="84" t="str" cm="1">
        <f t="array" ref="H56">IF(H21="-","-",
IF(ROUND(H21,8)=ROUND(
((SUMIFS(Calc_Variable_1[Citipower],Calc_Variable_1[[Customer type]:[Customer type]],"All")+
SUMIFS(Calc_Variable_1[Citipower],Calc_Variable_1[[Customer type]:[Customer type]],OP_Rates!$E56)+
SUMIFS(Calc_NetworkV_1[Citipower],Calc_NetworkV_1[[Customer type]:[Customer type]],OP_Rates!$E56,Calc_NetworkV_1[[Cost item]:[Cost item]],OP_Rates!$C56))*(1+Calc_ROM_1[Citipower]))*(1+GST),8),0,1))</f>
        <v>-</v>
      </c>
      <c r="I56" s="84" t="str" cm="1">
        <f t="array" ref="I56">IF(I21="-","-",
IF(ROUND(I21,8)=ROUND(
((SUMIFS(Calc_Variable_1[Jemena],Calc_Variable_1[[Customer type]:[Customer type]],"All")+
SUMIFS(Calc_Variable_1[Jemena],Calc_Variable_1[[Customer type]:[Customer type]],OP_Rates!$E56)+
SUMIFS(Calc_NetworkV_1[Jemena],Calc_NetworkV_1[[Customer type]:[Customer type]],OP_Rates!$E56,Calc_NetworkV_1[[Cost item]:[Cost item]],OP_Rates!$C56))*(1+Calc_ROM_1[Jemena]))*(1+GST),8),0,1))</f>
        <v>-</v>
      </c>
      <c r="J56" s="84" t="str" cm="1">
        <f t="array" ref="J56">IF(J21="-","-",
IF(ROUND(J21,8)=ROUND(
((SUMIFS(Calc_Variable_1[Powercor],Calc_Variable_1[[Customer type]:[Customer type]],"All")+
SUMIFS(Calc_Variable_1[Powercor],Calc_Variable_1[[Customer type]:[Customer type]],OP_Rates!$E56)+
SUMIFS(Calc_NetworkV_1[Powercor],Calc_NetworkV_1[[Customer type]:[Customer type]],OP_Rates!$E56,Calc_NetworkV_1[[Cost item]:[Cost item]],OP_Rates!$C56))*(1+Calc_ROM_1[Powercor]))*(1+GST),8),0,1))</f>
        <v>-</v>
      </c>
      <c r="K56" s="84" t="str" cm="1">
        <f t="array" ref="K56">IF(K21="-","-",
IF(ROUND(K21,8)=ROUND(
((SUMIFS(Calc_Variable_1[United Energy],Calc_Variable_1[[Customer type]:[Customer type]],"All")+
SUMIFS(Calc_Variable_1[United Energy],Calc_Variable_1[[Customer type]:[Customer type]],OP_Rates!$E56)+
SUMIFS(Calc_NetworkV_1[United Energy],Calc_NetworkV_1[[Customer type]:[Customer type]],OP_Rates!$E56,Calc_NetworkV_1[[Cost item]:[Cost item]],OP_Rates!$C56))*(1+Calc_ROM_1[United Energy]))*(1+GST),8),0,1))</f>
        <v>-</v>
      </c>
      <c r="M56" s="20" t="s">
        <v>67</v>
      </c>
      <c r="N56" s="20" t="s">
        <v>68</v>
      </c>
      <c r="O56" s="20" t="s">
        <v>66</v>
      </c>
      <c r="Q56" s="84" cm="1">
        <f t="array" ref="Q56">IF(Q21="-","-",
IF(ROUND(Q21,8)=ROUND(
((SUMIFS(Calc_Variable_1[Ausnet],Calc_Variable_1[[Customer type]:[Customer type]],"All")+
SUMIFS(Calc_Variable_1[Ausnet],Calc_Variable_1[[Customer type]:[Customer type]],OP_Rates!$O56)+
SUMIFS(Calc_NetworkV_1[Ausnet],Calc_NetworkV_1[[Customer type]:[Customer type]],OP_Rates!$O56,Calc_NetworkV_1[[Cost item]:[Cost item]],OP_Rates!$M56))*(1+Calc_ROM_1[Ausnet]))*(1+GST),8),0,1))</f>
        <v>0</v>
      </c>
      <c r="R56" s="84" t="str" cm="1">
        <f t="array" ref="R56">IF(R21="-","-",
IF(ROUND(R21,8)=ROUND(
((SUMIFS(Calc_Variable_1[Citipower],Calc_Variable_1[[Customer type]:[Customer type]],"All")+
SUMIFS(Calc_Variable_1[Citipower],Calc_Variable_1[[Customer type]:[Customer type]],OP_Rates!$O56)+
SUMIFS(Calc_NetworkV_1[Citipower],Calc_NetworkV_1[[Customer type]:[Customer type]],OP_Rates!$O56,Calc_NetworkV_1[[Cost item]:[Cost item]],OP_Rates!$M56))*(1+Calc_ROM_1[Citipower]))*(1+GST),8),0,1))</f>
        <v>-</v>
      </c>
      <c r="S56" s="84" t="str" cm="1">
        <f t="array" ref="S56">IF(S21="-","-",
IF(ROUND(S21,8)=ROUND(
((SUMIFS(Calc_Variable_1[Jemena],Calc_Variable_1[[Customer type]:[Customer type]],"All")+
SUMIFS(Calc_Variable_1[Jemena],Calc_Variable_1[[Customer type]:[Customer type]],OP_Rates!$O56)+
SUMIFS(Calc_NetworkV_1[Jemena],Calc_NetworkV_1[[Customer type]:[Customer type]],OP_Rates!$O56,Calc_NetworkV_1[[Cost item]:[Cost item]],OP_Rates!$M56))*(1+Calc_ROM_1[Jemena]))*(1+GST),8),0,1))</f>
        <v>-</v>
      </c>
      <c r="T56" s="84" t="str" cm="1">
        <f t="array" ref="T56">IF(T21="-","-",
IF(ROUND(T21,8)=ROUND(
((SUMIFS(Calc_Variable_1[Powercor],Calc_Variable_1[[Customer type]:[Customer type]],"All")+
SUMIFS(Calc_Variable_1[Powercor],Calc_Variable_1[[Customer type]:[Customer type]],OP_Rates!$O56)+
SUMIFS(Calc_NetworkV_1[Powercor],Calc_NetworkV_1[[Customer type]:[Customer type]],OP_Rates!$O56,Calc_NetworkV_1[[Cost item]:[Cost item]],OP_Rates!$M56))*(1+Calc_ROM_1[Powercor]))*(1+GST),8),0,1))</f>
        <v>-</v>
      </c>
      <c r="U56" s="84" t="str" cm="1">
        <f t="array" ref="U56">IF(U21="-","-",
IF(ROUND(U21,8)=ROUND(
((SUMIFS(Calc_Variable_1[United Energy],Calc_Variable_1[[Customer type]:[Customer type]],"All")+
SUMIFS(Calc_Variable_1[United Energy],Calc_Variable_1[[Customer type]:[Customer type]],OP_Rates!$O56)+
SUMIFS(Calc_NetworkV_1[United Energy],Calc_NetworkV_1[[Customer type]:[Customer type]],OP_Rates!$O56,Calc_NetworkV_1[[Cost item]:[Cost item]],OP_Rates!$M56))*(1+Calc_ROM_1[United Energy]))*(1+GST),8),0,1))</f>
        <v>-</v>
      </c>
    </row>
    <row r="57" spans="3:21" ht="15.5" hidden="1" outlineLevel="2">
      <c r="C57" s="20" t="s">
        <v>69</v>
      </c>
      <c r="D57" s="20" t="s">
        <v>68</v>
      </c>
      <c r="E57" s="20" t="s">
        <v>65</v>
      </c>
      <c r="G57" s="84" cm="1">
        <f t="array" ref="G57">IF(G22="-","-",
IF(ROUND(G22,8)=ROUND(
((SUMIFS(Calc_Variable_1[Ausnet],Calc_Variable_1[[Customer type]:[Customer type]],"All")+
SUMIFS(Calc_Variable_1[Ausnet],Calc_Variable_1[[Customer type]:[Customer type]],OP_Rates!$E57)+
SUMIFS(Calc_NetworkV_1[Ausnet],Calc_NetworkV_1[[Customer type]:[Customer type]],OP_Rates!$E57,Calc_NetworkV_1[[Cost item]:[Cost item]],OP_Rates!$C57))*(1+Calc_ROM_1[Ausnet]))*(1+GST),8),0,1))</f>
        <v>0</v>
      </c>
      <c r="H57" s="84" t="str" cm="1">
        <f t="array" ref="H57">IF(H22="-","-",
IF(ROUND(H22,8)=ROUND(
((SUMIFS(Calc_Variable_1[Citipower],Calc_Variable_1[[Customer type]:[Customer type]],"All")+
SUMIFS(Calc_Variable_1[Citipower],Calc_Variable_1[[Customer type]:[Customer type]],OP_Rates!$E57)+
SUMIFS(Calc_NetworkV_1[Citipower],Calc_NetworkV_1[[Customer type]:[Customer type]],OP_Rates!$E57,Calc_NetworkV_1[[Cost item]:[Cost item]],OP_Rates!$C57))*(1+Calc_ROM_1[Citipower]))*(1+GST),8),0,1))</f>
        <v>-</v>
      </c>
      <c r="I57" s="84" t="str" cm="1">
        <f t="array" ref="I57">IF(I22="-","-",
IF(ROUND(I22,8)=ROUND(
((SUMIFS(Calc_Variable_1[Jemena],Calc_Variable_1[[Customer type]:[Customer type]],"All")+
SUMIFS(Calc_Variable_1[Jemena],Calc_Variable_1[[Customer type]:[Customer type]],OP_Rates!$E57)+
SUMIFS(Calc_NetworkV_1[Jemena],Calc_NetworkV_1[[Customer type]:[Customer type]],OP_Rates!$E57,Calc_NetworkV_1[[Cost item]:[Cost item]],OP_Rates!$C57))*(1+Calc_ROM_1[Jemena]))*(1+GST),8),0,1))</f>
        <v>-</v>
      </c>
      <c r="J57" s="84" t="str" cm="1">
        <f t="array" ref="J57">IF(J22="-","-",
IF(ROUND(J22,8)=ROUND(
((SUMIFS(Calc_Variable_1[Powercor],Calc_Variable_1[[Customer type]:[Customer type]],"All")+
SUMIFS(Calc_Variable_1[Powercor],Calc_Variable_1[[Customer type]:[Customer type]],OP_Rates!$E57)+
SUMIFS(Calc_NetworkV_1[Powercor],Calc_NetworkV_1[[Customer type]:[Customer type]],OP_Rates!$E57,Calc_NetworkV_1[[Cost item]:[Cost item]],OP_Rates!$C57))*(1+Calc_ROM_1[Powercor]))*(1+GST),8),0,1))</f>
        <v>-</v>
      </c>
      <c r="K57" s="84" t="str" cm="1">
        <f t="array" ref="K57">IF(K22="-","-",
IF(ROUND(K22,8)=ROUND(
((SUMIFS(Calc_Variable_1[United Energy],Calc_Variable_1[[Customer type]:[Customer type]],"All")+
SUMIFS(Calc_Variable_1[United Energy],Calc_Variable_1[[Customer type]:[Customer type]],OP_Rates!$E57)+
SUMIFS(Calc_NetworkV_1[United Energy],Calc_NetworkV_1[[Customer type]:[Customer type]],OP_Rates!$E57,Calc_NetworkV_1[[Cost item]:[Cost item]],OP_Rates!$C57))*(1+Calc_ROM_1[United Energy]))*(1+GST),8),0,1))</f>
        <v>-</v>
      </c>
      <c r="M57" s="20" t="s">
        <v>69</v>
      </c>
      <c r="N57" s="20" t="s">
        <v>68</v>
      </c>
      <c r="O57" s="20" t="s">
        <v>66</v>
      </c>
      <c r="Q57" s="84" cm="1">
        <f t="array" ref="Q57">IF(Q22="-","-",
IF(ROUND(Q22,8)=ROUND(
((SUMIFS(Calc_Variable_1[Ausnet],Calc_Variable_1[[Customer type]:[Customer type]],"All")+
SUMIFS(Calc_Variable_1[Ausnet],Calc_Variable_1[[Customer type]:[Customer type]],OP_Rates!$O57)+
SUMIFS(Calc_NetworkV_1[Ausnet],Calc_NetworkV_1[[Customer type]:[Customer type]],OP_Rates!$O57,Calc_NetworkV_1[[Cost item]:[Cost item]],OP_Rates!$M57))*(1+Calc_ROM_1[Ausnet]))*(1+GST),8),0,1))</f>
        <v>0</v>
      </c>
      <c r="R57" s="84" t="str" cm="1">
        <f t="array" ref="R57">IF(R22="-","-",
IF(ROUND(R22,8)=ROUND(
((SUMIFS(Calc_Variable_1[Citipower],Calc_Variable_1[[Customer type]:[Customer type]],"All")+
SUMIFS(Calc_Variable_1[Citipower],Calc_Variable_1[[Customer type]:[Customer type]],OP_Rates!$O57)+
SUMIFS(Calc_NetworkV_1[Citipower],Calc_NetworkV_1[[Customer type]:[Customer type]],OP_Rates!$O57,Calc_NetworkV_1[[Cost item]:[Cost item]],OP_Rates!$M57))*(1+Calc_ROM_1[Citipower]))*(1+GST),8),0,1))</f>
        <v>-</v>
      </c>
      <c r="S57" s="84" t="str" cm="1">
        <f t="array" ref="S57">IF(S22="-","-",
IF(ROUND(S22,8)=ROUND(
((SUMIFS(Calc_Variable_1[Jemena],Calc_Variable_1[[Customer type]:[Customer type]],"All")+
SUMIFS(Calc_Variable_1[Jemena],Calc_Variable_1[[Customer type]:[Customer type]],OP_Rates!$O57)+
SUMIFS(Calc_NetworkV_1[Jemena],Calc_NetworkV_1[[Customer type]:[Customer type]],OP_Rates!$O57,Calc_NetworkV_1[[Cost item]:[Cost item]],OP_Rates!$M57))*(1+Calc_ROM_1[Jemena]))*(1+GST),8),0,1))</f>
        <v>-</v>
      </c>
      <c r="T57" s="84" t="str" cm="1">
        <f t="array" ref="T57">IF(T22="-","-",
IF(ROUND(T22,8)=ROUND(
((SUMIFS(Calc_Variable_1[Powercor],Calc_Variable_1[[Customer type]:[Customer type]],"All")+
SUMIFS(Calc_Variable_1[Powercor],Calc_Variable_1[[Customer type]:[Customer type]],OP_Rates!$O57)+
SUMIFS(Calc_NetworkV_1[Powercor],Calc_NetworkV_1[[Customer type]:[Customer type]],OP_Rates!$O57,Calc_NetworkV_1[[Cost item]:[Cost item]],OP_Rates!$M57))*(1+Calc_ROM_1[Powercor]))*(1+GST),8),0,1))</f>
        <v>-</v>
      </c>
      <c r="U57" s="84" t="str" cm="1">
        <f t="array" ref="U57">IF(U22="-","-",
IF(ROUND(U22,8)=ROUND(
((SUMIFS(Calc_Variable_1[United Energy],Calc_Variable_1[[Customer type]:[Customer type]],"All")+
SUMIFS(Calc_Variable_1[United Energy],Calc_Variable_1[[Customer type]:[Customer type]],OP_Rates!$O57)+
SUMIFS(Calc_NetworkV_1[United Energy],Calc_NetworkV_1[[Customer type]:[Customer type]],OP_Rates!$O57,Calc_NetworkV_1[[Cost item]:[Cost item]],OP_Rates!$M57))*(1+Calc_ROM_1[United Energy]))*(1+GST),8),0,1))</f>
        <v>-</v>
      </c>
    </row>
    <row r="58" spans="3:21" ht="15.5" hidden="1" outlineLevel="2">
      <c r="C58" s="20" t="s">
        <v>70</v>
      </c>
      <c r="D58" s="20" t="s">
        <v>68</v>
      </c>
      <c r="E58" s="20" t="s">
        <v>65</v>
      </c>
      <c r="G58" s="84" t="str" cm="1">
        <f t="array" ref="G58">IF(G23="-","-",
IF(ROUND(G23,8)=ROUND(
((SUMIFS(Calc_Variable_1[Ausnet],Calc_Variable_1[[Customer type]:[Customer type]],"All")+
SUMIFS(Calc_Variable_1[Ausnet],Calc_Variable_1[[Customer type]:[Customer type]],OP_Rates!$E58)+
SUMIFS(Calc_NetworkV_1[Ausnet],Calc_NetworkV_1[[Customer type]:[Customer type]],OP_Rates!$E58,Calc_NetworkV_1[[Cost item]:[Cost item]],OP_Rates!$C58))*(1+Calc_ROM_1[Ausnet]))*(1+GST),8),0,1))</f>
        <v>-</v>
      </c>
      <c r="H58" s="84" cm="1">
        <f t="array" ref="H58">IF(H23="-","-",
IF(ROUND(H23,8)=ROUND(
((SUMIFS(Calc_Variable_1[Citipower],Calc_Variable_1[[Customer type]:[Customer type]],"All")+
SUMIFS(Calc_Variable_1[Citipower],Calc_Variable_1[[Customer type]:[Customer type]],OP_Rates!$E58)+
SUMIFS(Calc_NetworkV_1[Citipower],Calc_NetworkV_1[[Customer type]:[Customer type]],OP_Rates!$E58,Calc_NetworkV_1[[Cost item]:[Cost item]],OP_Rates!$C58))*(1+Calc_ROM_1[Citipower]))*(1+GST),8),0,1))</f>
        <v>0</v>
      </c>
      <c r="I58" s="84" cm="1">
        <f t="array" ref="I58">IF(I23="-","-",
IF(ROUND(I23,8)=ROUND(
((SUMIFS(Calc_Variable_1[Jemena],Calc_Variable_1[[Customer type]:[Customer type]],"All")+
SUMIFS(Calc_Variable_1[Jemena],Calc_Variable_1[[Customer type]:[Customer type]],OP_Rates!$E58)+
SUMIFS(Calc_NetworkV_1[Jemena],Calc_NetworkV_1[[Customer type]:[Customer type]],OP_Rates!$E58,Calc_NetworkV_1[[Cost item]:[Cost item]],OP_Rates!$C58))*(1+Calc_ROM_1[Jemena]))*(1+GST),8),0,1))</f>
        <v>0</v>
      </c>
      <c r="J58" s="84" cm="1">
        <f t="array" ref="J58">IF(J23="-","-",
IF(ROUND(J23,8)=ROUND(
((SUMIFS(Calc_Variable_1[Powercor],Calc_Variable_1[[Customer type]:[Customer type]],"All")+
SUMIFS(Calc_Variable_1[Powercor],Calc_Variable_1[[Customer type]:[Customer type]],OP_Rates!$E58)+
SUMIFS(Calc_NetworkV_1[Powercor],Calc_NetworkV_1[[Customer type]:[Customer type]],OP_Rates!$E58,Calc_NetworkV_1[[Cost item]:[Cost item]],OP_Rates!$C58))*(1+Calc_ROM_1[Powercor]))*(1+GST),8),0,1))</f>
        <v>0</v>
      </c>
      <c r="K58" s="84" cm="1">
        <f t="array" ref="K58">IF(K23="-","-",
IF(ROUND(K23,8)=ROUND(
((SUMIFS(Calc_Variable_1[United Energy],Calc_Variable_1[[Customer type]:[Customer type]],"All")+
SUMIFS(Calc_Variable_1[United Energy],Calc_Variable_1[[Customer type]:[Customer type]],OP_Rates!$E58)+
SUMIFS(Calc_NetworkV_1[United Energy],Calc_NetworkV_1[[Customer type]:[Customer type]],OP_Rates!$E58,Calc_NetworkV_1[[Cost item]:[Cost item]],OP_Rates!$C58))*(1+Calc_ROM_1[United Energy]))*(1+GST),8),0,1))</f>
        <v>0</v>
      </c>
      <c r="M58" s="20" t="s">
        <v>70</v>
      </c>
      <c r="N58" s="20" t="s">
        <v>68</v>
      </c>
      <c r="O58" s="20" t="s">
        <v>66</v>
      </c>
      <c r="Q58" s="84" t="str" cm="1">
        <f t="array" ref="Q58">IF(Q23="-","-",
IF(ROUND(Q23,8)=ROUND(
((SUMIFS(Calc_Variable_1[Ausnet],Calc_Variable_1[[Customer type]:[Customer type]],"All")+
SUMIFS(Calc_Variable_1[Ausnet],Calc_Variable_1[[Customer type]:[Customer type]],OP_Rates!$O58)+
SUMIFS(Calc_NetworkV_1[Ausnet],Calc_NetworkV_1[[Customer type]:[Customer type]],OP_Rates!$O58,Calc_NetworkV_1[[Cost item]:[Cost item]],OP_Rates!$M58))*(1+Calc_ROM_1[Ausnet]))*(1+GST),8),0,1))</f>
        <v>-</v>
      </c>
      <c r="R58" s="84" cm="1">
        <f t="array" ref="R58">IF(R23="-","-",
IF(ROUND(R23,8)=ROUND(
((SUMIFS(Calc_Variable_1[Citipower],Calc_Variable_1[[Customer type]:[Customer type]],"All")+
SUMIFS(Calc_Variable_1[Citipower],Calc_Variable_1[[Customer type]:[Customer type]],OP_Rates!$O58)+
SUMIFS(Calc_NetworkV_1[Citipower],Calc_NetworkV_1[[Customer type]:[Customer type]],OP_Rates!$O58,Calc_NetworkV_1[[Cost item]:[Cost item]],OP_Rates!$M58))*(1+Calc_ROM_1[Citipower]))*(1+GST),8),0,1))</f>
        <v>0</v>
      </c>
      <c r="S58" s="84" cm="1">
        <f t="array" ref="S58">IF(S23="-","-",
IF(ROUND(S23,8)=ROUND(
((SUMIFS(Calc_Variable_1[Jemena],Calc_Variable_1[[Customer type]:[Customer type]],"All")+
SUMIFS(Calc_Variable_1[Jemena],Calc_Variable_1[[Customer type]:[Customer type]],OP_Rates!$O58)+
SUMIFS(Calc_NetworkV_1[Jemena],Calc_NetworkV_1[[Customer type]:[Customer type]],OP_Rates!$O58,Calc_NetworkV_1[[Cost item]:[Cost item]],OP_Rates!$M58))*(1+Calc_ROM_1[Jemena]))*(1+GST),8),0,1))</f>
        <v>0</v>
      </c>
      <c r="T58" s="84" cm="1">
        <f t="array" ref="T58">IF(T23="-","-",
IF(ROUND(T23,8)=ROUND(
((SUMIFS(Calc_Variable_1[Powercor],Calc_Variable_1[[Customer type]:[Customer type]],"All")+
SUMIFS(Calc_Variable_1[Powercor],Calc_Variable_1[[Customer type]:[Customer type]],OP_Rates!$O58)+
SUMIFS(Calc_NetworkV_1[Powercor],Calc_NetworkV_1[[Customer type]:[Customer type]],OP_Rates!$O58,Calc_NetworkV_1[[Cost item]:[Cost item]],OP_Rates!$M58))*(1+Calc_ROM_1[Powercor]))*(1+GST),8),0,1))</f>
        <v>0</v>
      </c>
      <c r="U58" s="84" cm="1">
        <f t="array" ref="U58">IF(U23="-","-",
IF(ROUND(U23,8)=ROUND(
((SUMIFS(Calc_Variable_1[United Energy],Calc_Variable_1[[Customer type]:[Customer type]],"All")+
SUMIFS(Calc_Variable_1[United Energy],Calc_Variable_1[[Customer type]:[Customer type]],OP_Rates!$O58)+
SUMIFS(Calc_NetworkV_1[United Energy],Calc_NetworkV_1[[Customer type]:[Customer type]],OP_Rates!$O58,Calc_NetworkV_1[[Cost item]:[Cost item]],OP_Rates!$M58))*(1+Calc_ROM_1[United Energy]))*(1+GST),8),0,1))</f>
        <v>0</v>
      </c>
    </row>
    <row r="59" spans="3:21" ht="15.5" hidden="1" outlineLevel="2">
      <c r="C59" s="20" t="s">
        <v>71</v>
      </c>
      <c r="D59" s="20" t="s">
        <v>64</v>
      </c>
      <c r="E59" s="20" t="s">
        <v>65</v>
      </c>
      <c r="G59" s="84" cm="1">
        <f t="array" ref="G59">IF(G24="-","-",
IF(ROUND(G24,8)=
ROUND((((SUMIFS(Calc_NetworkF_1[Ausnet],Calc_NetworkF_1[[Cost item]:[Cost item]],$C59,Calc_NetworkF_1[[Customer type]:[Customer type]],$E59)+SUMIFS(Calc_Fixed_1[Ausnet],Calc_Fixed_1[[Customer type]:[Customer type]],"All")+SUMIFS(Calc_Fixed_1[Ausnet],Calc_Fixed_1[[Customer type]:[Customer type]],$E59))/DiLY)*(1+Calc_ROM_1[Ausnet]))*(1+GST),8),0,1))</f>
        <v>0</v>
      </c>
      <c r="H59" s="84" cm="1">
        <f t="array" ref="H59">IF(H24="-","-",
IF(ROUND(H24,8)=
ROUND((((SUMIFS(Calc_NetworkF_1[Citipower],Calc_NetworkF_1[[Cost item]:[Cost item]],$C59,Calc_NetworkF_1[[Customer type]:[Customer type]],$E59)+SUMIFS(Calc_Fixed_1[Citipower],Calc_Fixed_1[[Customer type]:[Customer type]],"All")+SUMIFS(Calc_Fixed_1[Citipower],Calc_Fixed_1[[Customer type]:[Customer type]],$E59))/DiLY)*(1+Calc_ROM_1[Citipower]))*(1+GST),8),0,1))</f>
        <v>0</v>
      </c>
      <c r="I59" s="84" cm="1">
        <f t="array" ref="I59">IF(I24="-","-",
IF(ROUND(I24,8)=
ROUND((((SUMIFS(Calc_NetworkF_1[Jemena],Calc_NetworkF_1[[Cost item]:[Cost item]],$C59,Calc_NetworkF_1[[Customer type]:[Customer type]],$E59)+SUMIFS(Calc_Fixed_1[Jemena],Calc_Fixed_1[[Customer type]:[Customer type]],"All")+SUMIFS(Calc_Fixed_1[Jemena],Calc_Fixed_1[[Customer type]:[Customer type]],$E59))/DiLY)*(1+Calc_ROM_1[Jemena]))*(1+GST),8),0,1))</f>
        <v>0</v>
      </c>
      <c r="J59" s="84" cm="1">
        <f t="array" ref="J59">IF(J24="-","-",
IF(ROUND(J24,8)=
ROUND((((SUMIFS(Calc_NetworkF_1[Powercor],Calc_NetworkF_1[[Cost item]:[Cost item]],$C59,Calc_NetworkF_1[[Customer type]:[Customer type]],$E59)+SUMIFS(Calc_Fixed_1[Powercor],Calc_Fixed_1[[Customer type]:[Customer type]],"All")+SUMIFS(Calc_Fixed_1[Powercor],Calc_Fixed_1[[Customer type]:[Customer type]],$E59))/DiLY)*(1+Calc_ROM_1[Powercor]))*(1+GST),8),0,1))</f>
        <v>0</v>
      </c>
      <c r="K59" s="84" cm="1">
        <f t="array" ref="K59">IF(K24="-","-",
IF(ROUND(K24,8)=
ROUND((((SUMIFS(Calc_NetworkF_1[United Energy],Calc_NetworkF_1[[Cost item]:[Cost item]],$C59,Calc_NetworkF_1[[Customer type]:[Customer type]],$E59)+SUMIFS(Calc_Fixed_1[United Energy],Calc_Fixed_1[[Customer type]:[Customer type]],"All")+SUMIFS(Calc_Fixed_1[United Energy],Calc_Fixed_1[[Customer type]:[Customer type]],$E59))/DiLY)*(1+Calc_ROM_1[United Energy]))*(1+GST),8),0,1))</f>
        <v>0</v>
      </c>
      <c r="M59" s="20" t="s">
        <v>71</v>
      </c>
      <c r="N59" s="20" t="s">
        <v>64</v>
      </c>
      <c r="O59" s="20" t="s">
        <v>66</v>
      </c>
      <c r="Q59" s="84" cm="1">
        <f t="array" ref="Q59">IF(Q24="-","-",
IF(ROUND(Q24,8)=
ROUND((((SUMIFS(Calc_NetworkF_1[Ausnet],Calc_NetworkF_1[[Cost item]:[Cost item]],$M59,Calc_NetworkF_1[[Customer type]:[Customer type]],$O59)+SUMIFS(Calc_Fixed_1[Ausnet],Calc_Fixed_1[[Customer type]:[Customer type]],"All")+SUMIFS(Calc_Fixed_1[Ausnet],Calc_Fixed_1[[Customer type]:[Customer type]],$O59))/DiLY)*(1+Calc_ROM_1[Ausnet]))*(1+GST),8),0,1))</f>
        <v>0</v>
      </c>
      <c r="R59" s="84" cm="1">
        <f t="array" ref="R59">IF(R24="-","-",
IF(ROUND(R24,8)=
ROUND((((SUMIFS(Calc_NetworkF_1[Citipower],Calc_NetworkF_1[[Cost item]:[Cost item]],$M59,Calc_NetworkF_1[[Customer type]:[Customer type]],$O59)+SUMIFS(Calc_Fixed_1[Citipower],Calc_Fixed_1[[Customer type]:[Customer type]],"All")+SUMIFS(Calc_Fixed_1[Citipower],Calc_Fixed_1[[Customer type]:[Customer type]],$O59))/DiLY)*(1+Calc_ROM_1[Citipower]))*(1+GST),8),0,1))</f>
        <v>0</v>
      </c>
      <c r="S59" s="84" cm="1">
        <f t="array" ref="S59">IF(S24="-","-",
IF(ROUND(S24,8)=
ROUND((((SUMIFS(Calc_NetworkF_1[Jemena],Calc_NetworkF_1[[Cost item]:[Cost item]],$M59,Calc_NetworkF_1[[Customer type]:[Customer type]],$O59)+SUMIFS(Calc_Fixed_1[Jemena],Calc_Fixed_1[[Customer type]:[Customer type]],"All")+SUMIFS(Calc_Fixed_1[Jemena],Calc_Fixed_1[[Customer type]:[Customer type]],$O59))/DiLY)*(1+Calc_ROM_1[Jemena]))*(1+GST),8),0,1))</f>
        <v>0</v>
      </c>
      <c r="T59" s="84" cm="1">
        <f t="array" ref="T59">IF(T24="-","-",
IF(ROUND(T24,8)=
ROUND((((SUMIFS(Calc_NetworkF_1[Powercor],Calc_NetworkF_1[[Cost item]:[Cost item]],$M59,Calc_NetworkF_1[[Customer type]:[Customer type]],$O59)+SUMIFS(Calc_Fixed_1[Powercor],Calc_Fixed_1[[Customer type]:[Customer type]],"All")+SUMIFS(Calc_Fixed_1[Powercor],Calc_Fixed_1[[Customer type]:[Customer type]],$O59))/DiLY)*(1+Calc_ROM_1[Powercor]))*(1+GST),8),0,1))</f>
        <v>0</v>
      </c>
      <c r="U59" s="84" cm="1">
        <f t="array" ref="U59">IF(U24="-","-",
IF(ROUND(U24,8)=
ROUND((((SUMIFS(Calc_NetworkF_1[United Energy],Calc_NetworkF_1[[Cost item]:[Cost item]],$M59,Calc_NetworkF_1[[Customer type]:[Customer type]],$O59)+SUMIFS(Calc_Fixed_1[United Energy],Calc_Fixed_1[[Customer type]:[Customer type]],"All")+SUMIFS(Calc_Fixed_1[United Energy],Calc_Fixed_1[[Customer type]:[Customer type]],$O59))/DiLY)*(1+Calc_ROM_1[United Energy]))*(1+GST),8),0,1))</f>
        <v>0</v>
      </c>
    </row>
    <row r="60" spans="3:21" ht="15.5" hidden="1" outlineLevel="2">
      <c r="C60" s="20" t="s">
        <v>72</v>
      </c>
      <c r="D60" s="20" t="s">
        <v>68</v>
      </c>
      <c r="E60" s="20" t="s">
        <v>65</v>
      </c>
      <c r="G60" s="84" cm="1">
        <f t="array" ref="G60">IF(G25="-","-",
IF(ROUND(G25,8)=ROUND(
((SUMIFS(Calc_Variable_1[Ausnet],Calc_Variable_1[[Customer type]:[Customer type]],"All")+
SUMIFS(Calc_Variable_1[Ausnet],Calc_Variable_1[[Customer type]:[Customer type]],OP_Rates!$E60)+
SUMIFS(Calc_NetworkV_1[Ausnet],Calc_NetworkV_1[[Customer type]:[Customer type]],OP_Rates!$E60,Calc_NetworkV_1[[Cost item]:[Cost item]],OP_Rates!$C60))*(1+Calc_ROM_1[Ausnet]))*(1+GST),8),0,1))</f>
        <v>0</v>
      </c>
      <c r="H60" s="84" cm="1">
        <f t="array" ref="H60">IF(H25="-","-",
IF(ROUND(H25,8)=ROUND(
((SUMIFS(Calc_Variable_1[Citipower],Calc_Variable_1[[Customer type]:[Customer type]],"All")+
SUMIFS(Calc_Variable_1[Citipower],Calc_Variable_1[[Customer type]:[Customer type]],OP_Rates!$E60)+
SUMIFS(Calc_NetworkV_1[Citipower],Calc_NetworkV_1[[Customer type]:[Customer type]],OP_Rates!$E60,Calc_NetworkV_1[[Cost item]:[Cost item]],OP_Rates!$C60))*(1+Calc_ROM_1[Citipower]))*(1+GST),8),0,1))</f>
        <v>0</v>
      </c>
      <c r="I60" s="84" cm="1">
        <f t="array" ref="I60">IF(I25="-","-",
IF(ROUND(I25,8)=ROUND(
((SUMIFS(Calc_Variable_1[Jemena],Calc_Variable_1[[Customer type]:[Customer type]],"All")+
SUMIFS(Calc_Variable_1[Jemena],Calc_Variable_1[[Customer type]:[Customer type]],OP_Rates!$E60)+
SUMIFS(Calc_NetworkV_1[Jemena],Calc_NetworkV_1[[Customer type]:[Customer type]],OP_Rates!$E60,Calc_NetworkV_1[[Cost item]:[Cost item]],OP_Rates!$C60))*(1+Calc_ROM_1[Jemena]))*(1+GST),8),0,1))</f>
        <v>0</v>
      </c>
      <c r="J60" s="84" cm="1">
        <f t="array" ref="J60">IF(J25="-","-",
IF(ROUND(J25,8)=ROUND(
((SUMIFS(Calc_Variable_1[Powercor],Calc_Variable_1[[Customer type]:[Customer type]],"All")+
SUMIFS(Calc_Variable_1[Powercor],Calc_Variable_1[[Customer type]:[Customer type]],OP_Rates!$E60)+
SUMIFS(Calc_NetworkV_1[Powercor],Calc_NetworkV_1[[Customer type]:[Customer type]],OP_Rates!$E60,Calc_NetworkV_1[[Cost item]:[Cost item]],OP_Rates!$C60))*(1+Calc_ROM_1[Powercor]))*(1+GST),8),0,1))</f>
        <v>0</v>
      </c>
      <c r="K60" s="84" cm="1">
        <f t="array" ref="K60">IF(K25="-","-",
IF(ROUND(K25,8)=ROUND(
((SUMIFS(Calc_Variable_1[United Energy],Calc_Variable_1[[Customer type]:[Customer type]],"All")+
SUMIFS(Calc_Variable_1[United Energy],Calc_Variable_1[[Customer type]:[Customer type]],OP_Rates!$E60)+
SUMIFS(Calc_NetworkV_1[United Energy],Calc_NetworkV_1[[Customer type]:[Customer type]],OP_Rates!$E60,Calc_NetworkV_1[[Cost item]:[Cost item]],OP_Rates!$C60))*(1+Calc_ROM_1[United Energy]))*(1+GST),8),0,1))</f>
        <v>0</v>
      </c>
      <c r="M60" s="20" t="s">
        <v>72</v>
      </c>
      <c r="N60" s="20" t="s">
        <v>68</v>
      </c>
      <c r="O60" s="20" t="s">
        <v>66</v>
      </c>
      <c r="Q60" s="84" cm="1">
        <f t="array" ref="Q60">IF(Q25="-","-",
IF(ROUND(Q25,8)=ROUND(
((SUMIFS(Calc_Variable_1[Ausnet],Calc_Variable_1[[Customer type]:[Customer type]],"All")+
SUMIFS(Calc_Variable_1[Ausnet],Calc_Variable_1[[Customer type]:[Customer type]],OP_Rates!$O60)+
SUMIFS(Calc_NetworkV_1[Ausnet],Calc_NetworkV_1[[Customer type]:[Customer type]],OP_Rates!$O60,Calc_NetworkV_1[[Cost item]:[Cost item]],OP_Rates!$M60))*(1+Calc_ROM_1[Ausnet]))*(1+GST),8),0,1))</f>
        <v>0</v>
      </c>
      <c r="R60" s="84" cm="1">
        <f t="array" ref="R60">IF(R25="-","-",
IF(ROUND(R25,8)=ROUND(
((SUMIFS(Calc_Variable_1[Citipower],Calc_Variable_1[[Customer type]:[Customer type]],"All")+
SUMIFS(Calc_Variable_1[Citipower],Calc_Variable_1[[Customer type]:[Customer type]],OP_Rates!$O60)+
SUMIFS(Calc_NetworkV_1[Citipower],Calc_NetworkV_1[[Customer type]:[Customer type]],OP_Rates!$O60,Calc_NetworkV_1[[Cost item]:[Cost item]],OP_Rates!$M60))*(1+Calc_ROM_1[Citipower]))*(1+GST),8),0,1))</f>
        <v>0</v>
      </c>
      <c r="S60" s="84" cm="1">
        <f t="array" ref="S60">IF(S25="-","-",
IF(ROUND(S25,8)=ROUND(
((SUMIFS(Calc_Variable_1[Jemena],Calc_Variable_1[[Customer type]:[Customer type]],"All")+
SUMIFS(Calc_Variable_1[Jemena],Calc_Variable_1[[Customer type]:[Customer type]],OP_Rates!$O60)+
SUMIFS(Calc_NetworkV_1[Jemena],Calc_NetworkV_1[[Customer type]:[Customer type]],OP_Rates!$O60,Calc_NetworkV_1[[Cost item]:[Cost item]],OP_Rates!$M60))*(1+Calc_ROM_1[Jemena]))*(1+GST),8),0,1))</f>
        <v>0</v>
      </c>
      <c r="T60" s="84" cm="1">
        <f t="array" ref="T60">IF(T25="-","-",
IF(ROUND(T25,8)=ROUND(
((SUMIFS(Calc_Variable_1[Powercor],Calc_Variable_1[[Customer type]:[Customer type]],"All")+
SUMIFS(Calc_Variable_1[Powercor],Calc_Variable_1[[Customer type]:[Customer type]],OP_Rates!$O60)+
SUMIFS(Calc_NetworkV_1[Powercor],Calc_NetworkV_1[[Customer type]:[Customer type]],OP_Rates!$O60,Calc_NetworkV_1[[Cost item]:[Cost item]],OP_Rates!$M60))*(1+Calc_ROM_1[Powercor]))*(1+GST),8),0,1))</f>
        <v>0</v>
      </c>
      <c r="U60" s="84" cm="1">
        <f t="array" ref="U60">IF(U25="-","-",
IF(ROUND(U25,8)=ROUND(
((SUMIFS(Calc_Variable_1[United Energy],Calc_Variable_1[[Customer type]:[Customer type]],"All")+
SUMIFS(Calc_Variable_1[United Energy],Calc_Variable_1[[Customer type]:[Customer type]],OP_Rates!$O60)+
SUMIFS(Calc_NetworkV_1[United Energy],Calc_NetworkV_1[[Customer type]:[Customer type]],OP_Rates!$O60,Calc_NetworkV_1[[Cost item]:[Cost item]],OP_Rates!$M60))*(1+Calc_ROM_1[United Energy]))*(1+GST),8),0,1))</f>
        <v>0</v>
      </c>
    </row>
    <row r="61" spans="3:21" ht="15.5" hidden="1" outlineLevel="2">
      <c r="C61" s="20" t="s">
        <v>73</v>
      </c>
      <c r="D61" s="20" t="s">
        <v>68</v>
      </c>
      <c r="E61" s="20" t="s">
        <v>65</v>
      </c>
      <c r="G61" s="84" cm="1">
        <f t="array" ref="G61">IF(G26="-","-",
IF(ROUND(G26,8)=ROUND(
((SUMIFS(Calc_Variable_1[Ausnet],Calc_Variable_1[[Customer type]:[Customer type]],"All")+
SUMIFS(Calc_Variable_1[Ausnet],Calc_Variable_1[[Customer type]:[Customer type]],OP_Rates!$E61)+
SUMIFS(Calc_NetworkV_1[Ausnet],Calc_NetworkV_1[[Customer type]:[Customer type]],OP_Rates!$E61,Calc_NetworkV_1[[Cost item]:[Cost item]],OP_Rates!$C61))*(1+Calc_ROM_1[Ausnet]))*(1+GST),8),0,1))</f>
        <v>0</v>
      </c>
      <c r="H61" s="84" cm="1">
        <f t="array" ref="H61">IF(H26="-","-",
IF(ROUND(H26,8)=ROUND(
((SUMIFS(Calc_Variable_1[Citipower],Calc_Variable_1[[Customer type]:[Customer type]],"All")+
SUMIFS(Calc_Variable_1[Citipower],Calc_Variable_1[[Customer type]:[Customer type]],OP_Rates!$E61)+
SUMIFS(Calc_NetworkV_1[Citipower],Calc_NetworkV_1[[Customer type]:[Customer type]],OP_Rates!$E61,Calc_NetworkV_1[[Cost item]:[Cost item]],OP_Rates!$C61))*(1+Calc_ROM_1[Citipower]))*(1+GST),8),0,1))</f>
        <v>0</v>
      </c>
      <c r="I61" s="84" cm="1">
        <f t="array" ref="I61">IF(I26="-","-",
IF(ROUND(I26,8)=ROUND(
((SUMIFS(Calc_Variable_1[Jemena],Calc_Variable_1[[Customer type]:[Customer type]],"All")+
SUMIFS(Calc_Variable_1[Jemena],Calc_Variable_1[[Customer type]:[Customer type]],OP_Rates!$E61)+
SUMIFS(Calc_NetworkV_1[Jemena],Calc_NetworkV_1[[Customer type]:[Customer type]],OP_Rates!$E61,Calc_NetworkV_1[[Cost item]:[Cost item]],OP_Rates!$C61))*(1+Calc_ROM_1[Jemena]))*(1+GST),8),0,1))</f>
        <v>0</v>
      </c>
      <c r="J61" s="84" cm="1">
        <f t="array" ref="J61">IF(J26="-","-",
IF(ROUND(J26,8)=ROUND(
((SUMIFS(Calc_Variable_1[Powercor],Calc_Variable_1[[Customer type]:[Customer type]],"All")+
SUMIFS(Calc_Variable_1[Powercor],Calc_Variable_1[[Customer type]:[Customer type]],OP_Rates!$E61)+
SUMIFS(Calc_NetworkV_1[Powercor],Calc_NetworkV_1[[Customer type]:[Customer type]],OP_Rates!$E61,Calc_NetworkV_1[[Cost item]:[Cost item]],OP_Rates!$C61))*(1+Calc_ROM_1[Powercor]))*(1+GST),8),0,1))</f>
        <v>0</v>
      </c>
      <c r="K61" s="84" cm="1">
        <f t="array" ref="K61">IF(K26="-","-",
IF(ROUND(K26,8)=ROUND(
((SUMIFS(Calc_Variable_1[United Energy],Calc_Variable_1[[Customer type]:[Customer type]],"All")+
SUMIFS(Calc_Variable_1[United Energy],Calc_Variable_1[[Customer type]:[Customer type]],OP_Rates!$E61)+
SUMIFS(Calc_NetworkV_1[United Energy],Calc_NetworkV_1[[Customer type]:[Customer type]],OP_Rates!$E61,Calc_NetworkV_1[[Cost item]:[Cost item]],OP_Rates!$C61))*(1+Calc_ROM_1[United Energy]))*(1+GST),8),0,1))</f>
        <v>0</v>
      </c>
      <c r="M61" s="20" t="s">
        <v>73</v>
      </c>
      <c r="N61" s="20" t="s">
        <v>68</v>
      </c>
      <c r="O61" s="20" t="s">
        <v>66</v>
      </c>
      <c r="Q61" s="84" cm="1">
        <f t="array" ref="Q61">IF(Q26="-","-",
IF(ROUND(Q26,8)=ROUND(
((SUMIFS(Calc_Variable_1[Ausnet],Calc_Variable_1[[Customer type]:[Customer type]],"All")+
SUMIFS(Calc_Variable_1[Ausnet],Calc_Variable_1[[Customer type]:[Customer type]],OP_Rates!$O61)+
SUMIFS(Calc_NetworkV_1[Ausnet],Calc_NetworkV_1[[Customer type]:[Customer type]],OP_Rates!$O61,Calc_NetworkV_1[[Cost item]:[Cost item]],OP_Rates!$M61))*(1+Calc_ROM_1[Ausnet]))*(1+GST),8),0,1))</f>
        <v>0</v>
      </c>
      <c r="R61" s="84" cm="1">
        <f t="array" ref="R61">IF(R26="-","-",
IF(ROUND(R26,8)=ROUND(
((SUMIFS(Calc_Variable_1[Citipower],Calc_Variable_1[[Customer type]:[Customer type]],"All")+
SUMIFS(Calc_Variable_1[Citipower],Calc_Variable_1[[Customer type]:[Customer type]],OP_Rates!$O61)+
SUMIFS(Calc_NetworkV_1[Citipower],Calc_NetworkV_1[[Customer type]:[Customer type]],OP_Rates!$O61,Calc_NetworkV_1[[Cost item]:[Cost item]],OP_Rates!$M61))*(1+Calc_ROM_1[Citipower]))*(1+GST),8),0,1))</f>
        <v>0</v>
      </c>
      <c r="S61" s="84" cm="1">
        <f t="array" ref="S61">IF(S26="-","-",
IF(ROUND(S26,8)=ROUND(
((SUMIFS(Calc_Variable_1[Jemena],Calc_Variable_1[[Customer type]:[Customer type]],"All")+
SUMIFS(Calc_Variable_1[Jemena],Calc_Variable_1[[Customer type]:[Customer type]],OP_Rates!$O61)+
SUMIFS(Calc_NetworkV_1[Jemena],Calc_NetworkV_1[[Customer type]:[Customer type]],OP_Rates!$O61,Calc_NetworkV_1[[Cost item]:[Cost item]],OP_Rates!$M61))*(1+Calc_ROM_1[Jemena]))*(1+GST),8),0,1))</f>
        <v>0</v>
      </c>
      <c r="T61" s="84" cm="1">
        <f t="array" ref="T61">IF(T26="-","-",
IF(ROUND(T26,8)=ROUND(
((SUMIFS(Calc_Variable_1[Powercor],Calc_Variable_1[[Customer type]:[Customer type]],"All")+
SUMIFS(Calc_Variable_1[Powercor],Calc_Variable_1[[Customer type]:[Customer type]],OP_Rates!$O61)+
SUMIFS(Calc_NetworkV_1[Powercor],Calc_NetworkV_1[[Customer type]:[Customer type]],OP_Rates!$O61,Calc_NetworkV_1[[Cost item]:[Cost item]],OP_Rates!$M61))*(1+Calc_ROM_1[Powercor]))*(1+GST),8),0,1))</f>
        <v>0</v>
      </c>
      <c r="U61" s="84" cm="1">
        <f t="array" ref="U61">IF(U26="-","-",
IF(ROUND(U26,8)=ROUND(
((SUMIFS(Calc_Variable_1[United Energy],Calc_Variable_1[[Customer type]:[Customer type]],"All")+
SUMIFS(Calc_Variable_1[United Energy],Calc_Variable_1[[Customer type]:[Customer type]],OP_Rates!$O61)+
SUMIFS(Calc_NetworkV_1[United Energy],Calc_NetworkV_1[[Customer type]:[Customer type]],OP_Rates!$O61,Calc_NetworkV_1[[Cost item]:[Cost item]],OP_Rates!$M61))*(1+Calc_ROM_1[United Energy]))*(1+GST),8),0,1))</f>
        <v>0</v>
      </c>
    </row>
    <row r="62" spans="3:21" ht="15.5" hidden="1" outlineLevel="2">
      <c r="C62" s="20" t="s">
        <v>74</v>
      </c>
      <c r="D62" s="20" t="s">
        <v>68</v>
      </c>
      <c r="E62" s="20" t="s">
        <v>65</v>
      </c>
      <c r="G62" s="84" cm="1">
        <f t="array" ref="G62">IF(G27="-","-",
IF(ROUND(G27,8)=ROUND(
((SUMIFS(Calc_Variable_1[Ausnet],Calc_Variable_1[[Customer type]:[Customer type]],"All")+
SUMIFS(Calc_Variable_1[Ausnet],Calc_Variable_1[[Customer type]:[Customer type]],OP_Rates!$E62)+
SUMIFS(Calc_NetworkV_1[Ausnet],Calc_NetworkV_1[[Customer type]:[Customer type]],OP_Rates!$E62,Calc_NetworkV_1[[Cost item]:[Cost item]],OP_Rates!$C62))*(1+Calc_ROM_1[Ausnet]))*(1+GST),8),0,1))</f>
        <v>0</v>
      </c>
      <c r="H62" s="84" cm="1">
        <f t="array" ref="H62">IF(H27="-","-",
IF(ROUND(H27,8)=ROUND(
((SUMIFS(Calc_Variable_1[Citipower],Calc_Variable_1[[Customer type]:[Customer type]],"All")+
SUMIFS(Calc_Variable_1[Citipower],Calc_Variable_1[[Customer type]:[Customer type]],OP_Rates!$E62)+
SUMIFS(Calc_NetworkV_1[Citipower],Calc_NetworkV_1[[Customer type]:[Customer type]],OP_Rates!$E62,Calc_NetworkV_1[[Cost item]:[Cost item]],OP_Rates!$C62))*(1+Calc_ROM_1[Citipower]))*(1+GST),8),0,1))</f>
        <v>0</v>
      </c>
      <c r="I62" s="84" cm="1">
        <f t="array" ref="I62">IF(I27="-","-",
IF(ROUND(I27,8)=ROUND(
((SUMIFS(Calc_Variable_1[Jemena],Calc_Variable_1[[Customer type]:[Customer type]],"All")+
SUMIFS(Calc_Variable_1[Jemena],Calc_Variable_1[[Customer type]:[Customer type]],OP_Rates!$E62)+
SUMIFS(Calc_NetworkV_1[Jemena],Calc_NetworkV_1[[Customer type]:[Customer type]],OP_Rates!$E62,Calc_NetworkV_1[[Cost item]:[Cost item]],OP_Rates!$C62))*(1+Calc_ROM_1[Jemena]))*(1+GST),8),0,1))</f>
        <v>0</v>
      </c>
      <c r="J62" s="84" cm="1">
        <f t="array" ref="J62">IF(J27="-","-",
IF(ROUND(J27,8)=ROUND(
((SUMIFS(Calc_Variable_1[Powercor],Calc_Variable_1[[Customer type]:[Customer type]],"All")+
SUMIFS(Calc_Variable_1[Powercor],Calc_Variable_1[[Customer type]:[Customer type]],OP_Rates!$E62)+
SUMIFS(Calc_NetworkV_1[Powercor],Calc_NetworkV_1[[Customer type]:[Customer type]],OP_Rates!$E62,Calc_NetworkV_1[[Cost item]:[Cost item]],OP_Rates!$C62))*(1+Calc_ROM_1[Powercor]))*(1+GST),8),0,1))</f>
        <v>0</v>
      </c>
      <c r="K62" s="84" cm="1">
        <f t="array" ref="K62">IF(K27="-","-",
IF(ROUND(K27,8)=ROUND(
((SUMIFS(Calc_Variable_1[United Energy],Calc_Variable_1[[Customer type]:[Customer type]],"All")+
SUMIFS(Calc_Variable_1[United Energy],Calc_Variable_1[[Customer type]:[Customer type]],OP_Rates!$E62)+
SUMIFS(Calc_NetworkV_1[United Energy],Calc_NetworkV_1[[Customer type]:[Customer type]],OP_Rates!$E62,Calc_NetworkV_1[[Cost item]:[Cost item]],OP_Rates!$C62))*(1+Calc_ROM_1[United Energy]))*(1+GST),8),0,1))</f>
        <v>0</v>
      </c>
      <c r="M62" s="20"/>
      <c r="N62" s="20"/>
      <c r="O62" s="20"/>
      <c r="Q62" s="84"/>
      <c r="R62" s="84"/>
      <c r="S62" s="84"/>
      <c r="T62" s="84"/>
      <c r="U62" s="84"/>
    </row>
    <row r="63" spans="3:21" hidden="1" outlineLevel="2"/>
    <row r="64" spans="3:21" ht="15.5" hidden="1" outlineLevel="2">
      <c r="C64" s="26" t="str">
        <f>C$29&amp;" - checks"</f>
        <v>Residential True Up - checks</v>
      </c>
      <c r="M64" s="26" t="str">
        <f>M$29&amp;" - checks"</f>
        <v>Small business True Up - checks</v>
      </c>
    </row>
    <row r="65" spans="2:22" ht="15.5" hidden="1" outlineLevel="2">
      <c r="C65" s="38" t="s">
        <v>55</v>
      </c>
      <c r="D65" s="38" t="s">
        <v>56</v>
      </c>
      <c r="E65" s="38" t="s">
        <v>57</v>
      </c>
      <c r="F65" s="110" t="s">
        <v>32</v>
      </c>
      <c r="G65" s="45" t="s">
        <v>58</v>
      </c>
      <c r="H65" s="45" t="s">
        <v>59</v>
      </c>
      <c r="I65" s="45" t="s">
        <v>60</v>
      </c>
      <c r="J65" s="45" t="s">
        <v>61</v>
      </c>
      <c r="K65" s="45" t="s">
        <v>62</v>
      </c>
      <c r="M65" s="38" t="s">
        <v>55</v>
      </c>
      <c r="N65" s="38" t="s">
        <v>56</v>
      </c>
      <c r="O65" s="38" t="s">
        <v>57</v>
      </c>
      <c r="P65" s="110" t="s">
        <v>32</v>
      </c>
      <c r="Q65" s="45" t="s">
        <v>58</v>
      </c>
      <c r="R65" s="45" t="s">
        <v>59</v>
      </c>
      <c r="S65" s="45" t="s">
        <v>60</v>
      </c>
      <c r="T65" s="45" t="s">
        <v>61</v>
      </c>
      <c r="U65" s="45" t="s">
        <v>62</v>
      </c>
    </row>
    <row r="66" spans="2:22" ht="15.5" hidden="1" outlineLevel="2">
      <c r="C66" s="53" t="s">
        <v>79</v>
      </c>
      <c r="D66" s="53" t="s">
        <v>64</v>
      </c>
      <c r="E66" s="53" t="s">
        <v>65</v>
      </c>
      <c r="F66" s="20" t="s">
        <v>80</v>
      </c>
      <c r="G66" s="155" t="str" cm="1">
        <f t="array" ref="G66">IF(G31="-","-",
IF(ROUND(G31,8)=
IF($F66="Network",
IF($C66&lt;&gt;"Controlled load",
ROUND(INDEX(Calc_TUR_Net_1[[Ausnet]:[United Energy]],MATCH(1,(Calc_TUR_Net_1[[Customer type]:[Customer type]]=OP_Rates!$E66)*(Calc_TUR_Net_1[[Rate type]:[Rate type]]=OP_Rates!$C66),0),MATCH(OP_Rates!G$65,Calc_TUR_Net_1[[#Headers],[Ausnet]:[United Energy]],0)),8),
ROUND(INDEX(Calc_TUR_NetCL_1[[Ausnet]:[United Energy]],MATCH(OP_Rates!$E66,Calc_TUR_Net_1[[Customer type]:[Customer type]],0),MATCH(OP_Rates!G$65,Calc_TUR_Net_1[[#Headers],[Ausnet]:[United Energy]],0)),8)),
IF($F66="Environmental",
ROUND(SUMIFS(Calc_TUR_Env_1[Ausnet],Calc_TUR_Env_1[[Customer type]:[Customer type]],OP_Rates!$E66,Calc_TUR_Env_1[[Rate type]:[Rate type]],OP_Rates!$C66),8))),0,1))</f>
        <v>-</v>
      </c>
      <c r="H66" s="155" t="str" cm="1">
        <f t="array" ref="H66">IF(H31="-","-",
IF(ROUND(H31,8)=
IF($F66="Network",
IF($C66&lt;&gt;"Controlled load",
ROUND(INDEX(Calc_TUR_Net_1[[Ausnet]:[United Energy]],MATCH(1,(Calc_TUR_Net_1[[Customer type]:[Customer type]]=OP_Rates!$E66)*(Calc_TUR_Net_1[[Rate type]:[Rate type]]=OP_Rates!$C66),0),MATCH(OP_Rates!H$65,Calc_TUR_Net_1[[#Headers],[Ausnet]:[United Energy]],0)),8),
ROUND(INDEX(Calc_TUR_NetCL_1[[Ausnet]:[United Energy]],MATCH(OP_Rates!$E66,Calc_TUR_Net_1[[Customer type]:[Customer type]],0),MATCH(OP_Rates!H$65,Calc_TUR_Net_1[[#Headers],[Ausnet]:[United Energy]],0)),8)),
IF($F66="Environmental",
ROUND(SUMIFS(Calc_TUR_Env_1[Citipower],Calc_TUR_Env_1[[Customer type]:[Customer type]],OP_Rates!$E66,Calc_TUR_Env_1[[Rate type]:[Rate type]],OP_Rates!$C66),8))),0,1))</f>
        <v>-</v>
      </c>
      <c r="I66" s="155" t="str" cm="1">
        <f t="array" ref="I66">IF(I31="-","-",
IF(ROUND(I31,8)=
IF($F66="Network",
IF($C66&lt;&gt;"Controlled load",
ROUND(INDEX(Calc_TUR_Net_1[[Ausnet]:[United Energy]],MATCH(1,(Calc_TUR_Net_1[[Customer type]:[Customer type]]=OP_Rates!$E66)*(Calc_TUR_Net_1[[Rate type]:[Rate type]]=OP_Rates!$C66),0),MATCH(OP_Rates!I$65,Calc_TUR_Net_1[[#Headers],[Ausnet]:[United Energy]],0)),8),
ROUND(INDEX(Calc_TUR_NetCL_1[[Ausnet]:[United Energy]],MATCH(OP_Rates!$E66,Calc_TUR_Net_1[[Customer type]:[Customer type]],0),MATCH(OP_Rates!I$65,Calc_TUR_Net_1[[#Headers],[Ausnet]:[United Energy]],0)),8)),
IF($F66="Environmental",
ROUND(SUMIFS(Calc_TUR_Env_1[Jemena],Calc_TUR_Env_1[[Customer type]:[Customer type]],OP_Rates!$E66,Calc_TUR_Env_1[[Rate type]:[Rate type]],OP_Rates!$C66),8))),0,1))</f>
        <v>-</v>
      </c>
      <c r="J66" s="155" t="str" cm="1">
        <f t="array" ref="J66">IF(J31="-","-",
IF(ROUND(J31,8)=
IF($F66="Network",
IF($C66&lt;&gt;"Controlled load",
ROUND(INDEX(Calc_TUR_Net_1[[Ausnet]:[United Energy]],MATCH(1,(Calc_TUR_Net_1[[Customer type]:[Customer type]]=OP_Rates!$E66)*(Calc_TUR_Net_1[[Rate type]:[Rate type]]=OP_Rates!$C66),0),MATCH(OP_Rates!J$65,Calc_TUR_Net_1[[#Headers],[Ausnet]:[United Energy]],0)),8),
ROUND(INDEX(Calc_TUR_NetCL_1[[Ausnet]:[United Energy]],MATCH(OP_Rates!$E66,Calc_TUR_Net_1[[Customer type]:[Customer type]],0),MATCH(OP_Rates!J$65,Calc_TUR_Net_1[[#Headers],[Ausnet]:[United Energy]],0)),8)),
IF($F66="Environmental",
ROUND(SUMIFS(Calc_TUR_Env_1[Powercor],Calc_TUR_Env_1[[Customer type]:[Customer type]],OP_Rates!$E66,Calc_TUR_Env_1[[Rate type]:[Rate type]],OP_Rates!$C66),8))),0,1))</f>
        <v>-</v>
      </c>
      <c r="K66" s="155" t="str" cm="1">
        <f t="array" ref="K66">IF(K31="-","-",
IF(ROUND(K31,8)=
IF($F66="Network",
IF($C66&lt;&gt;"Controlled load",
ROUND(INDEX(Calc_TUR_Net_1[[Ausnet]:[United Energy]],MATCH(1,(Calc_TUR_Net_1[[Customer type]:[Customer type]]=OP_Rates!$E66)*(Calc_TUR_Net_1[[Rate type]:[Rate type]]=OP_Rates!$C66),0),MATCH(OP_Rates!K$65,Calc_TUR_Net_1[[#Headers],[Ausnet]:[United Energy]],0)),8),
ROUND(INDEX(Calc_TUR_NetCL_1[[Ausnet]:[United Energy]],MATCH(OP_Rates!$E66,Calc_TUR_Net_1[[Customer type]:[Customer type]],0),MATCH(OP_Rates!K$65,Calc_TUR_Net_1[[#Headers],[Ausnet]:[United Energy]],0)),8)),
IF($F66="Environmental",
ROUND(SUMIFS(Calc_TUR_Env_1[United Energy],Calc_TUR_Env_1[[Customer type]:[Customer type]],OP_Rates!$E66,Calc_TUR_Env_1[[Rate type]:[Rate type]],OP_Rates!$C66),8))),0,1))</f>
        <v>-</v>
      </c>
      <c r="M66" s="53" t="s">
        <v>79</v>
      </c>
      <c r="N66" s="53" t="s">
        <v>64</v>
      </c>
      <c r="O66" s="53" t="s">
        <v>66</v>
      </c>
      <c r="P66" s="20" t="s">
        <v>80</v>
      </c>
      <c r="Q66" s="155" t="str" cm="1">
        <f t="array" ref="Q66">IF(Q31="-","-",
IF(ROUND(Q31,8)=
IF($P66="Network",
ROUND(INDEX(Calc_TUR_Net_1[[Ausnet]:[United Energy]],MATCH(1,(Calc_TUR_Net_1[[Customer type]:[Customer type]]=OP_Rates!$O66)*(Calc_TUR_Net_1[[Rate type]:[Rate type]]=OP_Rates!$C66),0),MATCH(OP_Rates!Q$65,Calc_TUR_Net_1[[#Headers],[Ausnet]:[United Energy]],0)),8),
IF($P66="Environmental",
ROUND(SUMIFS(Calc_TUR_Env_1[Ausnet],Calc_TUR_Env_1[[Customer type]:[Customer type]],OP_Rates!$O66,Calc_TUR_Env_1[[Rate type]:[Rate type]],OP_Rates!$C66),8))),0,1))</f>
        <v>-</v>
      </c>
      <c r="R66" s="155" t="str" cm="1">
        <f t="array" ref="R66">IF(R31="-","-",
IF(ROUND(R31,8)=
IF($P66="Network",
ROUND(INDEX(Calc_TUR_Net_1[[Ausnet]:[United Energy]],MATCH(1,(Calc_TUR_Net_1[[Customer type]:[Customer type]]=OP_Rates!$O66)*(Calc_TUR_Net_1[[Rate type]:[Rate type]]=OP_Rates!$C66),0),MATCH(OP_Rates!R$65,Calc_TUR_Net_1[[#Headers],[Ausnet]:[United Energy]],0)),8),
IF($P66="Environmental",
ROUND(SUMIFS(Calc_TUR_Env_1[Citipower],Calc_TUR_Env_1[[Customer type]:[Customer type]],OP_Rates!$O66,Calc_TUR_Env_1[[Rate type]:[Rate type]],OP_Rates!$C66),8))),0,1))</f>
        <v>-</v>
      </c>
      <c r="S66" s="155" t="str" cm="1">
        <f t="array" ref="S66">IF(S31="-","-",
IF(ROUND(S31,8)=
IF($P66="Network",
ROUND(INDEX(Calc_TUR_Net_1[[Ausnet]:[United Energy]],MATCH(1,(Calc_TUR_Net_1[[Customer type]:[Customer type]]=OP_Rates!$O66)*(Calc_TUR_Net_1[[Rate type]:[Rate type]]=OP_Rates!$C66),0),MATCH(OP_Rates!S$65,Calc_TUR_Net_1[[#Headers],[Ausnet]:[United Energy]],0)),8),
IF($P66="Environmental",
ROUND(SUMIFS(Calc_TUR_Env_1[Jemena],Calc_TUR_Env_1[[Customer type]:[Customer type]],OP_Rates!$O66,Calc_TUR_Env_1[[Rate type]:[Rate type]],OP_Rates!$C66),8))),0,1))</f>
        <v>-</v>
      </c>
      <c r="T66" s="155" t="str" cm="1">
        <f t="array" ref="T66">IF(T31="-","-",
IF(ROUND(T31,8)=
IF($P66="Network",
ROUND(INDEX(Calc_TUR_Net_1[[Ausnet]:[United Energy]],MATCH(1,(Calc_TUR_Net_1[[Customer type]:[Customer type]]=OP_Rates!$O66)*(Calc_TUR_Net_1[[Rate type]:[Rate type]]=OP_Rates!$C66),0),MATCH(OP_Rates!T$65,Calc_TUR_Net_1[[#Headers],[Ausnet]:[United Energy]],0)),8),
IF($P66="Environmental",
ROUND(SUMIFS(Calc_TUR_Env_1[Powercor],Calc_TUR_Env_1[[Customer type]:[Customer type]],OP_Rates!$O66,Calc_TUR_Env_1[[Rate type]:[Rate type]],OP_Rates!$C66),8))),0,1))</f>
        <v>-</v>
      </c>
      <c r="U66" s="155" t="str" cm="1">
        <f t="array" ref="U66">IF(U31="-","-",
IF(ROUND(U31,8)=
IF($P66="Network",
ROUND(INDEX(Calc_TUR_Net_1[[Ausnet]:[United Energy]],MATCH(1,(Calc_TUR_Net_1[[Customer type]:[Customer type]]=OP_Rates!$O66)*(Calc_TUR_Net_1[[Rate type]:[Rate type]]=OP_Rates!$C66),0),MATCH(OP_Rates!U$65,Calc_TUR_Net_1[[#Headers],[Ausnet]:[United Energy]],0)),8),
IF($P66="Environmental",
ROUND(SUMIFS(Calc_TUR_Env_1[United Energy],Calc_TUR_Env_1[[Customer type]:[Customer type]],OP_Rates!$O66,Calc_TUR_Env_1[[Rate type]:[Rate type]],OP_Rates!$C66),8))),0,1))</f>
        <v>-</v>
      </c>
    </row>
    <row r="67" spans="2:22" ht="15.5" hidden="1" outlineLevel="2">
      <c r="C67" s="53" t="s">
        <v>81</v>
      </c>
      <c r="D67" s="53" t="s">
        <v>64</v>
      </c>
      <c r="E67" s="53" t="s">
        <v>65</v>
      </c>
      <c r="F67" s="20" t="s">
        <v>80</v>
      </c>
      <c r="G67" s="155" t="str" cm="1">
        <f t="array" ref="G67">IF(G32="-","-",
IF(ROUND(G32,8)=
IF($F67="Network",
IF($C67&lt;&gt;"Controlled load",
ROUND(INDEX(Calc_TUR_Net_1[[Ausnet]:[United Energy]],MATCH(1,(Calc_TUR_Net_1[[Customer type]:[Customer type]]=OP_Rates!$E67)*(Calc_TUR_Net_1[[Rate type]:[Rate type]]=OP_Rates!$C67),0),MATCH(OP_Rates!G$65,Calc_TUR_Net_1[[#Headers],[Ausnet]:[United Energy]],0)),8),
ROUND(INDEX(Calc_TUR_NetCL_1[[Ausnet]:[United Energy]],MATCH(OP_Rates!$E67,Calc_TUR_Net_1[[Customer type]:[Customer type]],0),MATCH(OP_Rates!G$65,Calc_TUR_Net_1[[#Headers],[Ausnet]:[United Energy]],0)),8)),
IF($F67="Environmental",
ROUND(SUMIFS(Calc_TUR_Env_1[Ausnet],Calc_TUR_Env_1[[Customer type]:[Customer type]],OP_Rates!$E67,Calc_TUR_Env_1[[Rate type]:[Rate type]],OP_Rates!$C67),8))),0,1))</f>
        <v>-</v>
      </c>
      <c r="H67" s="155" t="str" cm="1">
        <f t="array" ref="H67">IF(H32="-","-",
IF(ROUND(H32,8)=
IF($F67="Network",
IF($C67&lt;&gt;"Controlled load",
ROUND(INDEX(Calc_TUR_Net_1[[Ausnet]:[United Energy]],MATCH(1,(Calc_TUR_Net_1[[Customer type]:[Customer type]]=OP_Rates!$E67)*(Calc_TUR_Net_1[[Rate type]:[Rate type]]=OP_Rates!$C67),0),MATCH(OP_Rates!H$65,Calc_TUR_Net_1[[#Headers],[Ausnet]:[United Energy]],0)),8),
ROUND(INDEX(Calc_TUR_NetCL_1[[Ausnet]:[United Energy]],MATCH(OP_Rates!$E67,Calc_TUR_Net_1[[Customer type]:[Customer type]],0),MATCH(OP_Rates!H$65,Calc_TUR_Net_1[[#Headers],[Ausnet]:[United Energy]],0)),8)),
IF($F67="Environmental",
ROUND(SUMIFS(Calc_TUR_Env_1[Citipower],Calc_TUR_Env_1[[Customer type]:[Customer type]],OP_Rates!$E67,Calc_TUR_Env_1[[Rate type]:[Rate type]],OP_Rates!$C67),8))),0,1))</f>
        <v>-</v>
      </c>
      <c r="I67" s="155" t="str" cm="1">
        <f t="array" ref="I67">IF(I32="-","-",
IF(ROUND(I32,8)=
IF($F67="Network",
IF($C67&lt;&gt;"Controlled load",
ROUND(INDEX(Calc_TUR_Net_1[[Ausnet]:[United Energy]],MATCH(1,(Calc_TUR_Net_1[[Customer type]:[Customer type]]=OP_Rates!$E67)*(Calc_TUR_Net_1[[Rate type]:[Rate type]]=OP_Rates!$C67),0),MATCH(OP_Rates!I$65,Calc_TUR_Net_1[[#Headers],[Ausnet]:[United Energy]],0)),8),
ROUND(INDEX(Calc_TUR_NetCL_1[[Ausnet]:[United Energy]],MATCH(OP_Rates!$E67,Calc_TUR_Net_1[[Customer type]:[Customer type]],0),MATCH(OP_Rates!I$65,Calc_TUR_Net_1[[#Headers],[Ausnet]:[United Energy]],0)),8)),
IF($F67="Environmental",
ROUND(SUMIFS(Calc_TUR_Env_1[Jemena],Calc_TUR_Env_1[[Customer type]:[Customer type]],OP_Rates!$E67,Calc_TUR_Env_1[[Rate type]:[Rate type]],OP_Rates!$C67),8))),0,1))</f>
        <v>-</v>
      </c>
      <c r="J67" s="155" t="str" cm="1">
        <f t="array" ref="J67">IF(J32="-","-",
IF(ROUND(J32,8)=
IF($F67="Network",
IF($C67&lt;&gt;"Controlled load",
ROUND(INDEX(Calc_TUR_Net_1[[Ausnet]:[United Energy]],MATCH(1,(Calc_TUR_Net_1[[Customer type]:[Customer type]]=OP_Rates!$E67)*(Calc_TUR_Net_1[[Rate type]:[Rate type]]=OP_Rates!$C67),0),MATCH(OP_Rates!J$65,Calc_TUR_Net_1[[#Headers],[Ausnet]:[United Energy]],0)),8),
ROUND(INDEX(Calc_TUR_NetCL_1[[Ausnet]:[United Energy]],MATCH(OP_Rates!$E67,Calc_TUR_Net_1[[Customer type]:[Customer type]],0),MATCH(OP_Rates!J$65,Calc_TUR_Net_1[[#Headers],[Ausnet]:[United Energy]],0)),8)),
IF($F67="Environmental",
ROUND(SUMIFS(Calc_TUR_Env_1[Powercor],Calc_TUR_Env_1[[Customer type]:[Customer type]],OP_Rates!$E67,Calc_TUR_Env_1[[Rate type]:[Rate type]],OP_Rates!$C67),8))),0,1))</f>
        <v>-</v>
      </c>
      <c r="K67" s="155" t="str" cm="1">
        <f t="array" ref="K67">IF(K32="-","-",
IF(ROUND(K32,8)=
IF($F67="Network",
IF($C67&lt;&gt;"Controlled load",
ROUND(INDEX(Calc_TUR_Net_1[[Ausnet]:[United Energy]],MATCH(1,(Calc_TUR_Net_1[[Customer type]:[Customer type]]=OP_Rates!$E67)*(Calc_TUR_Net_1[[Rate type]:[Rate type]]=OP_Rates!$C67),0),MATCH(OP_Rates!K$65,Calc_TUR_Net_1[[#Headers],[Ausnet]:[United Energy]],0)),8),
ROUND(INDEX(Calc_TUR_NetCL_1[[Ausnet]:[United Energy]],MATCH(OP_Rates!$E67,Calc_TUR_Net_1[[Customer type]:[Customer type]],0),MATCH(OP_Rates!K$65,Calc_TUR_Net_1[[#Headers],[Ausnet]:[United Energy]],0)),8)),
IF($F67="Environmental",
ROUND(SUMIFS(Calc_TUR_Env_1[United Energy],Calc_TUR_Env_1[[Customer type]:[Customer type]],OP_Rates!$E67,Calc_TUR_Env_1[[Rate type]:[Rate type]],OP_Rates!$C67),8))),0,1))</f>
        <v>-</v>
      </c>
      <c r="M67" s="53" t="s">
        <v>81</v>
      </c>
      <c r="N67" s="53" t="s">
        <v>64</v>
      </c>
      <c r="O67" s="53" t="s">
        <v>66</v>
      </c>
      <c r="P67" s="20" t="s">
        <v>80</v>
      </c>
      <c r="Q67" s="155" t="str" cm="1">
        <f t="array" ref="Q67">IF(Q32="-","-",
IF(ROUND(Q32,8)=
IF($P67="Network",
ROUND(INDEX(Calc_TUR_Net_1[[Ausnet]:[United Energy]],MATCH(1,(Calc_TUR_Net_1[[Customer type]:[Customer type]]=OP_Rates!$O67)*(Calc_TUR_Net_1[[Rate type]:[Rate type]]=OP_Rates!$C67),0),MATCH(OP_Rates!Q$65,Calc_TUR_Net_1[[#Headers],[Ausnet]:[United Energy]],0)),8),
IF($P67="Environmental",
ROUND(SUMIFS(Calc_TUR_Env_1[Ausnet],Calc_TUR_Env_1[[Customer type]:[Customer type]],OP_Rates!$O67,Calc_TUR_Env_1[[Rate type]:[Rate type]],OP_Rates!$C67),8))),0,1))</f>
        <v>-</v>
      </c>
      <c r="R67" s="155" t="str" cm="1">
        <f t="array" ref="R67">IF(R32="-","-",
IF(ROUND(R32,8)=
IF($P67="Network",
ROUND(INDEX(Calc_TUR_Net_1[[Ausnet]:[United Energy]],MATCH(1,(Calc_TUR_Net_1[[Customer type]:[Customer type]]=OP_Rates!$O67)*(Calc_TUR_Net_1[[Rate type]:[Rate type]]=OP_Rates!$C67),0),MATCH(OP_Rates!R$65,Calc_TUR_Net_1[[#Headers],[Ausnet]:[United Energy]],0)),8),
IF($P67="Environmental",
ROUND(SUMIFS(Calc_TUR_Env_1[Citipower],Calc_TUR_Env_1[[Customer type]:[Customer type]],OP_Rates!$O67,Calc_TUR_Env_1[[Rate type]:[Rate type]],OP_Rates!$C67),8))),0,1))</f>
        <v>-</v>
      </c>
      <c r="S67" s="155" t="str" cm="1">
        <f t="array" ref="S67">IF(S32="-","-",
IF(ROUND(S32,8)=
IF($P67="Network",
ROUND(INDEX(Calc_TUR_Net_1[[Ausnet]:[United Energy]],MATCH(1,(Calc_TUR_Net_1[[Customer type]:[Customer type]]=OP_Rates!$O67)*(Calc_TUR_Net_1[[Rate type]:[Rate type]]=OP_Rates!$C67),0),MATCH(OP_Rates!S$65,Calc_TUR_Net_1[[#Headers],[Ausnet]:[United Energy]],0)),8),
IF($P67="Environmental",
ROUND(SUMIFS(Calc_TUR_Env_1[Jemena],Calc_TUR_Env_1[[Customer type]:[Customer type]],OP_Rates!$O67,Calc_TUR_Env_1[[Rate type]:[Rate type]],OP_Rates!$C67),8))),0,1))</f>
        <v>-</v>
      </c>
      <c r="T67" s="155" t="str" cm="1">
        <f t="array" ref="T67">IF(T32="-","-",
IF(ROUND(T32,8)=
IF($P67="Network",
ROUND(INDEX(Calc_TUR_Net_1[[Ausnet]:[United Energy]],MATCH(1,(Calc_TUR_Net_1[[Customer type]:[Customer type]]=OP_Rates!$O67)*(Calc_TUR_Net_1[[Rate type]:[Rate type]]=OP_Rates!$C67),0),MATCH(OP_Rates!T$65,Calc_TUR_Net_1[[#Headers],[Ausnet]:[United Energy]],0)),8),
IF($P67="Environmental",
ROUND(SUMIFS(Calc_TUR_Env_1[Powercor],Calc_TUR_Env_1[[Customer type]:[Customer type]],OP_Rates!$O67,Calc_TUR_Env_1[[Rate type]:[Rate type]],OP_Rates!$C67),8))),0,1))</f>
        <v>-</v>
      </c>
      <c r="U67" s="155" t="str" cm="1">
        <f t="array" ref="U67">IF(U32="-","-",
IF(ROUND(U32,8)=
IF($P67="Network",
ROUND(INDEX(Calc_TUR_Net_1[[Ausnet]:[United Energy]],MATCH(1,(Calc_TUR_Net_1[[Customer type]:[Customer type]]=OP_Rates!$O67)*(Calc_TUR_Net_1[[Rate type]:[Rate type]]=OP_Rates!$C67),0),MATCH(OP_Rates!U$65,Calc_TUR_Net_1[[#Headers],[Ausnet]:[United Energy]],0)),8),
IF($P67="Environmental",
ROUND(SUMIFS(Calc_TUR_Env_1[United Energy],Calc_TUR_Env_1[[Customer type]:[Customer type]],OP_Rates!$O67,Calc_TUR_Env_1[[Rate type]:[Rate type]],OP_Rates!$C67),8))),0,1))</f>
        <v>-</v>
      </c>
    </row>
    <row r="68" spans="2:22" ht="15.5" hidden="1" outlineLevel="2">
      <c r="C68" s="53" t="s">
        <v>74</v>
      </c>
      <c r="D68" s="53" t="s">
        <v>68</v>
      </c>
      <c r="E68" s="53" t="s">
        <v>65</v>
      </c>
      <c r="F68" s="20" t="s">
        <v>80</v>
      </c>
      <c r="G68" s="155" t="str" cm="1">
        <f t="array" ref="G68">IF(G33="-","-",
IF(ROUND(G33,8)=
IF($F68="Network",
IF($C68&lt;&gt;"Controlled load",
ROUND(INDEX(Calc_TUR_Net_1[[Ausnet]:[United Energy]],MATCH(1,(Calc_TUR_Net_1[[Customer type]:[Customer type]]=OP_Rates!$E68)*(Calc_TUR_Net_1[[Rate type]:[Rate type]]=OP_Rates!$C68),0),MATCH(OP_Rates!G$65,Calc_TUR_Net_1[[#Headers],[Ausnet]:[United Energy]],0)),8),
ROUND(INDEX(Calc_TUR_NetCL_1[[Ausnet]:[United Energy]],MATCH(OP_Rates!$E68,Calc_TUR_Net_1[[Customer type]:[Customer type]],0),MATCH(OP_Rates!G$65,Calc_TUR_Net_1[[#Headers],[Ausnet]:[United Energy]],0)),8)),
IF($F68="Environmental",
ROUND(SUMIFS(Calc_TUR_Env_1[Ausnet],Calc_TUR_Env_1[[Customer type]:[Customer type]],OP_Rates!$E68,Calc_TUR_Env_1[[Rate type]:[Rate type]],OP_Rates!$C68),8))),0,1))</f>
        <v>-</v>
      </c>
      <c r="H68" s="155" t="str" cm="1">
        <f t="array" ref="H68">IF(H33="-","-",
IF(ROUND(H33,8)=
IF($F68="Network",
IF($C68&lt;&gt;"Controlled load",
ROUND(INDEX(Calc_TUR_Net_1[[Ausnet]:[United Energy]],MATCH(1,(Calc_TUR_Net_1[[Customer type]:[Customer type]]=OP_Rates!$E68)*(Calc_TUR_Net_1[[Rate type]:[Rate type]]=OP_Rates!$C68),0),MATCH(OP_Rates!H$65,Calc_TUR_Net_1[[#Headers],[Ausnet]:[United Energy]],0)),8),
ROUND(INDEX(Calc_TUR_NetCL_1[[Ausnet]:[United Energy]],MATCH(OP_Rates!$E68,Calc_TUR_Net_1[[Customer type]:[Customer type]],0),MATCH(OP_Rates!H$65,Calc_TUR_Net_1[[#Headers],[Ausnet]:[United Energy]],0)),8)),
IF($F68="Environmental",
ROUND(SUMIFS(Calc_TUR_Env_1[Citipower],Calc_TUR_Env_1[[Customer type]:[Customer type]],OP_Rates!$E68,Calc_TUR_Env_1[[Rate type]:[Rate type]],OP_Rates!$C68),8))),0,1))</f>
        <v>-</v>
      </c>
      <c r="I68" s="155" t="str" cm="1">
        <f t="array" ref="I68">IF(I33="-","-",
IF(ROUND(I33,8)=
IF($F68="Network",
IF($C68&lt;&gt;"Controlled load",
ROUND(INDEX(Calc_TUR_Net_1[[Ausnet]:[United Energy]],MATCH(1,(Calc_TUR_Net_1[[Customer type]:[Customer type]]=OP_Rates!$E68)*(Calc_TUR_Net_1[[Rate type]:[Rate type]]=OP_Rates!$C68),0),MATCH(OP_Rates!I$65,Calc_TUR_Net_1[[#Headers],[Ausnet]:[United Energy]],0)),8),
ROUND(INDEX(Calc_TUR_NetCL_1[[Ausnet]:[United Energy]],MATCH(OP_Rates!$E68,Calc_TUR_Net_1[[Customer type]:[Customer type]],0),MATCH(OP_Rates!I$65,Calc_TUR_Net_1[[#Headers],[Ausnet]:[United Energy]],0)),8)),
IF($F68="Environmental",
ROUND(SUMIFS(Calc_TUR_Env_1[Jemena],Calc_TUR_Env_1[[Customer type]:[Customer type]],OP_Rates!$E68,Calc_TUR_Env_1[[Rate type]:[Rate type]],OP_Rates!$C68),8))),0,1))</f>
        <v>-</v>
      </c>
      <c r="J68" s="155" t="str" cm="1">
        <f t="array" ref="J68">IF(J33="-","-",
IF(ROUND(J33,8)=
IF($F68="Network",
IF($C68&lt;&gt;"Controlled load",
ROUND(INDEX(Calc_TUR_Net_1[[Ausnet]:[United Energy]],MATCH(1,(Calc_TUR_Net_1[[Customer type]:[Customer type]]=OP_Rates!$E68)*(Calc_TUR_Net_1[[Rate type]:[Rate type]]=OP_Rates!$C68),0),MATCH(OP_Rates!J$65,Calc_TUR_Net_1[[#Headers],[Ausnet]:[United Energy]],0)),8),
ROUND(INDEX(Calc_TUR_NetCL_1[[Ausnet]:[United Energy]],MATCH(OP_Rates!$E68,Calc_TUR_Net_1[[Customer type]:[Customer type]],0),MATCH(OP_Rates!J$65,Calc_TUR_Net_1[[#Headers],[Ausnet]:[United Energy]],0)),8)),
IF($F68="Environmental",
ROUND(SUMIFS(Calc_TUR_Env_1[Powercor],Calc_TUR_Env_1[[Customer type]:[Customer type]],OP_Rates!$E68,Calc_TUR_Env_1[[Rate type]:[Rate type]],OP_Rates!$C68),8))),0,1))</f>
        <v>-</v>
      </c>
      <c r="K68" s="155" t="str" cm="1">
        <f t="array" ref="K68">IF(K33="-","-",
IF(ROUND(K33,8)=
IF($F68="Network",
IF($C68&lt;&gt;"Controlled load",
ROUND(INDEX(Calc_TUR_Net_1[[Ausnet]:[United Energy]],MATCH(1,(Calc_TUR_Net_1[[Customer type]:[Customer type]]=OP_Rates!$E68)*(Calc_TUR_Net_1[[Rate type]:[Rate type]]=OP_Rates!$C68),0),MATCH(OP_Rates!K$65,Calc_TUR_Net_1[[#Headers],[Ausnet]:[United Energy]],0)),8),
ROUND(INDEX(Calc_TUR_NetCL_1[[Ausnet]:[United Energy]],MATCH(OP_Rates!$E68,Calc_TUR_Net_1[[Customer type]:[Customer type]],0),MATCH(OP_Rates!K$65,Calc_TUR_Net_1[[#Headers],[Ausnet]:[United Energy]],0)),8)),
IF($F68="Environmental",
ROUND(SUMIFS(Calc_TUR_Env_1[United Energy],Calc_TUR_Env_1[[Customer type]:[Customer type]],OP_Rates!$E68,Calc_TUR_Env_1[[Rate type]:[Rate type]],OP_Rates!$C68),8))),0,1))</f>
        <v>-</v>
      </c>
      <c r="M68" s="53"/>
      <c r="N68" s="53"/>
      <c r="O68" s="53"/>
      <c r="P68" s="20"/>
      <c r="Q68" s="155" t="str" cm="1">
        <f t="array" ref="Q68">IF(Q33="-","-",
IF(ROUND(Q33,8)=
IF($P68="Network",
ROUND(INDEX(Calc_TUR_Net_1[[Ausnet]:[United Energy]],MATCH(1,(Calc_TUR_Net_1[[Customer type]:[Customer type]]=OP_Rates!$O68)*(Calc_TUR_Net_1[[Rate type]:[Rate type]]=OP_Rates!$C68),0),MATCH(OP_Rates!Q$65,Calc_TUR_Net_1[[#Headers],[Ausnet]:[United Energy]],0)),8),
IF($P68="Environmental",
ROUND(SUMIFS(Calc_TUR_Env_1[Ausnet],Calc_TUR_Env_1[[Customer type]:[Customer type]],OP_Rates!$O68,Calc_TUR_Env_1[[Rate type]:[Rate type]],OP_Rates!$C68),8))),0,1))</f>
        <v>-</v>
      </c>
      <c r="R68" s="155" t="str" cm="1">
        <f t="array" ref="R68">IF(R33="-","-",
IF(ROUND(R33,8)=
IF($P68="Network",
ROUND(INDEX(Calc_TUR_Net_1[[Ausnet]:[United Energy]],MATCH(1,(Calc_TUR_Net_1[[Customer type]:[Customer type]]=OP_Rates!$O68)*(Calc_TUR_Net_1[[Rate type]:[Rate type]]=OP_Rates!$C68),0),MATCH(OP_Rates!R$65,Calc_TUR_Net_1[[#Headers],[Ausnet]:[United Energy]],0)),8),
IF($P68="Environmental",
ROUND(SUMIFS(Calc_TUR_Env_1[Citipower],Calc_TUR_Env_1[[Customer type]:[Customer type]],OP_Rates!$O68,Calc_TUR_Env_1[[Rate type]:[Rate type]],OP_Rates!$C68),8))),0,1))</f>
        <v>-</v>
      </c>
      <c r="S68" s="155" t="str" cm="1">
        <f t="array" ref="S68">IF(S33="-","-",
IF(ROUND(S33,8)=
IF($P68="Network",
ROUND(INDEX(Calc_TUR_Net_1[[Ausnet]:[United Energy]],MATCH(1,(Calc_TUR_Net_1[[Customer type]:[Customer type]]=OP_Rates!$O68)*(Calc_TUR_Net_1[[Rate type]:[Rate type]]=OP_Rates!$C68),0),MATCH(OP_Rates!S$65,Calc_TUR_Net_1[[#Headers],[Ausnet]:[United Energy]],0)),8),
IF($P68="Environmental",
ROUND(SUMIFS(Calc_TUR_Env_1[Jemena],Calc_TUR_Env_1[[Customer type]:[Customer type]],OP_Rates!$O68,Calc_TUR_Env_1[[Rate type]:[Rate type]],OP_Rates!$C68),8))),0,1))</f>
        <v>-</v>
      </c>
      <c r="T68" s="155" t="str" cm="1">
        <f t="array" ref="T68">IF(T33="-","-",
IF(ROUND(T33,8)=
IF($P68="Network",
ROUND(INDEX(Calc_TUR_Net_1[[Ausnet]:[United Energy]],MATCH(1,(Calc_TUR_Net_1[[Customer type]:[Customer type]]=OP_Rates!$O68)*(Calc_TUR_Net_1[[Rate type]:[Rate type]]=OP_Rates!$C68),0),MATCH(OP_Rates!T$65,Calc_TUR_Net_1[[#Headers],[Ausnet]:[United Energy]],0)),8),
IF($P68="Environmental",
ROUND(SUMIFS(Calc_TUR_Env_1[Powercor],Calc_TUR_Env_1[[Customer type]:[Customer type]],OP_Rates!$O68,Calc_TUR_Env_1[[Rate type]:[Rate type]],OP_Rates!$C68),8))),0,1))</f>
        <v>-</v>
      </c>
      <c r="U68" s="155" t="str" cm="1">
        <f t="array" ref="U68">IF(U33="-","-",
IF(ROUND(U33,8)=
IF($P68="Network",
ROUND(INDEX(Calc_TUR_Net_1[[Ausnet]:[United Energy]],MATCH(1,(Calc_TUR_Net_1[[Customer type]:[Customer type]]=OP_Rates!$O68)*(Calc_TUR_Net_1[[Rate type]:[Rate type]]=OP_Rates!$C68),0),MATCH(OP_Rates!U$65,Calc_TUR_Net_1[[#Headers],[Ausnet]:[United Energy]],0)),8),
IF($P68="Environmental",
ROUND(SUMIFS(Calc_TUR_Env_1[United Energy],Calc_TUR_Env_1[[Customer type]:[Customer type]],OP_Rates!$O68,Calc_TUR_Env_1[[Rate type]:[Rate type]],OP_Rates!$C68),8))),0,1))</f>
        <v>-</v>
      </c>
    </row>
    <row r="69" spans="2:22" ht="15.5" hidden="1" outlineLevel="2">
      <c r="C69" s="53" t="s">
        <v>67</v>
      </c>
      <c r="D69" s="53" t="s">
        <v>68</v>
      </c>
      <c r="E69" s="53" t="s">
        <v>65</v>
      </c>
      <c r="F69" s="20" t="s">
        <v>82</v>
      </c>
      <c r="G69" s="155" cm="1">
        <f t="array" ref="G69">IF(G34="-","-",
IF(ROUND(G34,8)=
IF($F69="Network",
IF($C69&lt;&gt;"Controlled load",
ROUND(INDEX(Calc_TUR_Net_1[[Ausnet]:[United Energy]],MATCH(1,(Calc_TUR_Net_1[[Customer type]:[Customer type]]=OP_Rates!$E69)*(Calc_TUR_Net_1[[Rate type]:[Rate type]]=OP_Rates!$C69),0),MATCH(OP_Rates!G$65,Calc_TUR_Net_1[[#Headers],[Ausnet]:[United Energy]],0)),8),
ROUND(INDEX(Calc_TUR_NetCL_1[[Ausnet]:[United Energy]],MATCH(OP_Rates!$E69,Calc_TUR_Net_1[[Customer type]:[Customer type]],0),MATCH(OP_Rates!G$65,Calc_TUR_Net_1[[#Headers],[Ausnet]:[United Energy]],0)),8)),
IF($F69="Environmental",
ROUND(SUMIFS(Calc_TUR_Env_1[Ausnet],Calc_TUR_Env_1[[Customer type]:[Customer type]],OP_Rates!$E69,Calc_TUR_Env_1[[Rate type]:[Rate type]],OP_Rates!$C69),8))),0,1))</f>
        <v>0</v>
      </c>
      <c r="H69" s="155" cm="1">
        <f t="array" ref="H69">IF(H34="-","-",
IF(ROUND(H34,8)=
IF($F69="Network",
IF($C69&lt;&gt;"Controlled load",
ROUND(INDEX(Calc_TUR_Net_1[[Ausnet]:[United Energy]],MATCH(1,(Calc_TUR_Net_1[[Customer type]:[Customer type]]=OP_Rates!$E69)*(Calc_TUR_Net_1[[Rate type]:[Rate type]]=OP_Rates!$C69),0),MATCH(OP_Rates!H$65,Calc_TUR_Net_1[[#Headers],[Ausnet]:[United Energy]],0)),8),
ROUND(INDEX(Calc_TUR_NetCL_1[[Ausnet]:[United Energy]],MATCH(OP_Rates!$E69,Calc_TUR_Net_1[[Customer type]:[Customer type]],0),MATCH(OP_Rates!H$65,Calc_TUR_Net_1[[#Headers],[Ausnet]:[United Energy]],0)),8)),
IF($F69="Environmental",
ROUND(SUMIFS(Calc_TUR_Env_1[Citipower],Calc_TUR_Env_1[[Customer type]:[Customer type]],OP_Rates!$E69,Calc_TUR_Env_1[[Rate type]:[Rate type]],OP_Rates!$C69),8))),0,1))</f>
        <v>0</v>
      </c>
      <c r="I69" s="155" cm="1">
        <f t="array" ref="I69">IF(I34="-","-",
IF(ROUND(I34,8)=
IF($F69="Network",
IF($C69&lt;&gt;"Controlled load",
ROUND(INDEX(Calc_TUR_Net_1[[Ausnet]:[United Energy]],MATCH(1,(Calc_TUR_Net_1[[Customer type]:[Customer type]]=OP_Rates!$E69)*(Calc_TUR_Net_1[[Rate type]:[Rate type]]=OP_Rates!$C69),0),MATCH(OP_Rates!I$65,Calc_TUR_Net_1[[#Headers],[Ausnet]:[United Energy]],0)),8),
ROUND(INDEX(Calc_TUR_NetCL_1[[Ausnet]:[United Energy]],MATCH(OP_Rates!$E69,Calc_TUR_Net_1[[Customer type]:[Customer type]],0),MATCH(OP_Rates!I$65,Calc_TUR_Net_1[[#Headers],[Ausnet]:[United Energy]],0)),8)),
IF($F69="Environmental",
ROUND(SUMIFS(Calc_TUR_Env_1[Jemena],Calc_TUR_Env_1[[Customer type]:[Customer type]],OP_Rates!$E69,Calc_TUR_Env_1[[Rate type]:[Rate type]],OP_Rates!$C69),8))),0,1))</f>
        <v>0</v>
      </c>
      <c r="J69" s="155" cm="1">
        <f t="array" ref="J69">IF(J34="-","-",
IF(ROUND(J34,8)=
IF($F69="Network",
IF($C69&lt;&gt;"Controlled load",
ROUND(INDEX(Calc_TUR_Net_1[[Ausnet]:[United Energy]],MATCH(1,(Calc_TUR_Net_1[[Customer type]:[Customer type]]=OP_Rates!$E69)*(Calc_TUR_Net_1[[Rate type]:[Rate type]]=OP_Rates!$C69),0),MATCH(OP_Rates!J$65,Calc_TUR_Net_1[[#Headers],[Ausnet]:[United Energy]],0)),8),
ROUND(INDEX(Calc_TUR_NetCL_1[[Ausnet]:[United Energy]],MATCH(OP_Rates!$E69,Calc_TUR_Net_1[[Customer type]:[Customer type]],0),MATCH(OP_Rates!J$65,Calc_TUR_Net_1[[#Headers],[Ausnet]:[United Energy]],0)),8)),
IF($F69="Environmental",
ROUND(SUMIFS(Calc_TUR_Env_1[Powercor],Calc_TUR_Env_1[[Customer type]:[Customer type]],OP_Rates!$E69,Calc_TUR_Env_1[[Rate type]:[Rate type]],OP_Rates!$C69),8))),0,1))</f>
        <v>0</v>
      </c>
      <c r="K69" s="155" cm="1">
        <f t="array" ref="K69">IF(K34="-","-",
IF(ROUND(K34,8)=
IF($F69="Network",
IF($C69&lt;&gt;"Controlled load",
ROUND(INDEX(Calc_TUR_Net_1[[Ausnet]:[United Energy]],MATCH(1,(Calc_TUR_Net_1[[Customer type]:[Customer type]]=OP_Rates!$E69)*(Calc_TUR_Net_1[[Rate type]:[Rate type]]=OP_Rates!$C69),0),MATCH(OP_Rates!K$65,Calc_TUR_Net_1[[#Headers],[Ausnet]:[United Energy]],0)),8),
ROUND(INDEX(Calc_TUR_NetCL_1[[Ausnet]:[United Energy]],MATCH(OP_Rates!$E69,Calc_TUR_Net_1[[Customer type]:[Customer type]],0),MATCH(OP_Rates!K$65,Calc_TUR_Net_1[[#Headers],[Ausnet]:[United Energy]],0)),8)),
IF($F69="Environmental",
ROUND(SUMIFS(Calc_TUR_Env_1[United Energy],Calc_TUR_Env_1[[Customer type]:[Customer type]],OP_Rates!$E69,Calc_TUR_Env_1[[Rate type]:[Rate type]],OP_Rates!$C69),8))),0,1))</f>
        <v>0</v>
      </c>
      <c r="M69" s="53" t="s">
        <v>67</v>
      </c>
      <c r="N69" s="53" t="s">
        <v>68</v>
      </c>
      <c r="O69" s="53" t="s">
        <v>66</v>
      </c>
      <c r="P69" s="20" t="s">
        <v>82</v>
      </c>
      <c r="Q69" s="155" cm="1">
        <f t="array" ref="Q69">IF(Q34="-","-",
IF(ROUND(Q34,8)=
IF($P69="Network",
ROUND(INDEX(Calc_TUR_Net_1[[Ausnet]:[United Energy]],MATCH(1,(Calc_TUR_Net_1[[Customer type]:[Customer type]]=OP_Rates!$O69)*(Calc_TUR_Net_1[[Rate type]:[Rate type]]=OP_Rates!$C69),0),MATCH(OP_Rates!Q$65,Calc_TUR_Net_1[[#Headers],[Ausnet]:[United Energy]],0)),8),
IF($P69="Environmental",
ROUND(SUMIFS(Calc_TUR_Env_1[Ausnet],Calc_TUR_Env_1[[Customer type]:[Customer type]],OP_Rates!$O69,Calc_TUR_Env_1[[Rate type]:[Rate type]],OP_Rates!$C69),8))),0,1))</f>
        <v>0</v>
      </c>
      <c r="R69" s="155" cm="1">
        <f t="array" ref="R69">IF(R34="-","-",
IF(ROUND(R34,8)=
IF($P69="Network",
ROUND(INDEX(Calc_TUR_Net_1[[Ausnet]:[United Energy]],MATCH(1,(Calc_TUR_Net_1[[Customer type]:[Customer type]]=OP_Rates!$O69)*(Calc_TUR_Net_1[[Rate type]:[Rate type]]=OP_Rates!$C69),0),MATCH(OP_Rates!R$65,Calc_TUR_Net_1[[#Headers],[Ausnet]:[United Energy]],0)),8),
IF($P69="Environmental",
ROUND(SUMIFS(Calc_TUR_Env_1[Citipower],Calc_TUR_Env_1[[Customer type]:[Customer type]],OP_Rates!$O69,Calc_TUR_Env_1[[Rate type]:[Rate type]],OP_Rates!$C69),8))),0,1))</f>
        <v>0</v>
      </c>
      <c r="S69" s="155" cm="1">
        <f t="array" ref="S69">IF(S34="-","-",
IF(ROUND(S34,8)=
IF($P69="Network",
ROUND(INDEX(Calc_TUR_Net_1[[Ausnet]:[United Energy]],MATCH(1,(Calc_TUR_Net_1[[Customer type]:[Customer type]]=OP_Rates!$O69)*(Calc_TUR_Net_1[[Rate type]:[Rate type]]=OP_Rates!$C69),0),MATCH(OP_Rates!S$65,Calc_TUR_Net_1[[#Headers],[Ausnet]:[United Energy]],0)),8),
IF($P69="Environmental",
ROUND(SUMIFS(Calc_TUR_Env_1[Jemena],Calc_TUR_Env_1[[Customer type]:[Customer type]],OP_Rates!$O69,Calc_TUR_Env_1[[Rate type]:[Rate type]],OP_Rates!$C69),8))),0,1))</f>
        <v>0</v>
      </c>
      <c r="T69" s="155" cm="1">
        <f t="array" ref="T69">IF(T34="-","-",
IF(ROUND(T34,8)=
IF($P69="Network",
ROUND(INDEX(Calc_TUR_Net_1[[Ausnet]:[United Energy]],MATCH(1,(Calc_TUR_Net_1[[Customer type]:[Customer type]]=OP_Rates!$O69)*(Calc_TUR_Net_1[[Rate type]:[Rate type]]=OP_Rates!$C69),0),MATCH(OP_Rates!T$65,Calc_TUR_Net_1[[#Headers],[Ausnet]:[United Energy]],0)),8),
IF($P69="Environmental",
ROUND(SUMIFS(Calc_TUR_Env_1[Powercor],Calc_TUR_Env_1[[Customer type]:[Customer type]],OP_Rates!$O69,Calc_TUR_Env_1[[Rate type]:[Rate type]],OP_Rates!$C69),8))),0,1))</f>
        <v>0</v>
      </c>
      <c r="U69" s="155" cm="1">
        <f t="array" ref="U69">IF(U34="-","-",
IF(ROUND(U34,8)=
IF($P69="Network",
ROUND(INDEX(Calc_TUR_Net_1[[Ausnet]:[United Energy]],MATCH(1,(Calc_TUR_Net_1[[Customer type]:[Customer type]]=OP_Rates!$O69)*(Calc_TUR_Net_1[[Rate type]:[Rate type]]=OP_Rates!$C69),0),MATCH(OP_Rates!U$65,Calc_TUR_Net_1[[#Headers],[Ausnet]:[United Energy]],0)),8),
IF($P69="Environmental",
ROUND(SUMIFS(Calc_TUR_Env_1[United Energy],Calc_TUR_Env_1[[Customer type]:[Customer type]],OP_Rates!$O69,Calc_TUR_Env_1[[Rate type]:[Rate type]],OP_Rates!$C69),8))),0,1))</f>
        <v>0</v>
      </c>
    </row>
    <row r="70" spans="2:22" ht="15.5" hidden="1" outlineLevel="2">
      <c r="C70" s="53" t="s">
        <v>69</v>
      </c>
      <c r="D70" s="53" t="s">
        <v>68</v>
      </c>
      <c r="E70" s="53" t="s">
        <v>65</v>
      </c>
      <c r="F70" s="20" t="s">
        <v>82</v>
      </c>
      <c r="G70" s="155" cm="1">
        <f t="array" ref="G70">IF(G35="-","-",
IF(ROUND(G35,8)=
IF($F70="Network",
IF($C70&lt;&gt;"Controlled load",
ROUND(INDEX(Calc_TUR_Net_1[[Ausnet]:[United Energy]],MATCH(1,(Calc_TUR_Net_1[[Customer type]:[Customer type]]=OP_Rates!$E70)*(Calc_TUR_Net_1[[Rate type]:[Rate type]]=OP_Rates!$C70),0),MATCH(OP_Rates!G$65,Calc_TUR_Net_1[[#Headers],[Ausnet]:[United Energy]],0)),8),
ROUND(INDEX(Calc_TUR_NetCL_1[[Ausnet]:[United Energy]],MATCH(OP_Rates!$E70,Calc_TUR_Net_1[[Customer type]:[Customer type]],0),MATCH(OP_Rates!G$65,Calc_TUR_Net_1[[#Headers],[Ausnet]:[United Energy]],0)),8)),
IF($F70="Environmental",
ROUND(SUMIFS(Calc_TUR_Env_1[Ausnet],Calc_TUR_Env_1[[Customer type]:[Customer type]],OP_Rates!$E70,Calc_TUR_Env_1[[Rate type]:[Rate type]],OP_Rates!$C70),8))),0,1))</f>
        <v>0</v>
      </c>
      <c r="H70" s="155" cm="1">
        <f t="array" ref="H70">IF(H35="-","-",
IF(ROUND(H35,8)=
IF($F70="Network",
IF($C70&lt;&gt;"Controlled load",
ROUND(INDEX(Calc_TUR_Net_1[[Ausnet]:[United Energy]],MATCH(1,(Calc_TUR_Net_1[[Customer type]:[Customer type]]=OP_Rates!$E70)*(Calc_TUR_Net_1[[Rate type]:[Rate type]]=OP_Rates!$C70),0),MATCH(OP_Rates!H$65,Calc_TUR_Net_1[[#Headers],[Ausnet]:[United Energy]],0)),8),
ROUND(INDEX(Calc_TUR_NetCL_1[[Ausnet]:[United Energy]],MATCH(OP_Rates!$E70,Calc_TUR_Net_1[[Customer type]:[Customer type]],0),MATCH(OP_Rates!H$65,Calc_TUR_Net_1[[#Headers],[Ausnet]:[United Energy]],0)),8)),
IF($F70="Environmental",
ROUND(SUMIFS(Calc_TUR_Env_1[Citipower],Calc_TUR_Env_1[[Customer type]:[Customer type]],OP_Rates!$E70,Calc_TUR_Env_1[[Rate type]:[Rate type]],OP_Rates!$C70),8))),0,1))</f>
        <v>0</v>
      </c>
      <c r="I70" s="155" cm="1">
        <f t="array" ref="I70">IF(I35="-","-",
IF(ROUND(I35,8)=
IF($F70="Network",
IF($C70&lt;&gt;"Controlled load",
ROUND(INDEX(Calc_TUR_Net_1[[Ausnet]:[United Energy]],MATCH(1,(Calc_TUR_Net_1[[Customer type]:[Customer type]]=OP_Rates!$E70)*(Calc_TUR_Net_1[[Rate type]:[Rate type]]=OP_Rates!$C70),0),MATCH(OP_Rates!I$65,Calc_TUR_Net_1[[#Headers],[Ausnet]:[United Energy]],0)),8),
ROUND(INDEX(Calc_TUR_NetCL_1[[Ausnet]:[United Energy]],MATCH(OP_Rates!$E70,Calc_TUR_Net_1[[Customer type]:[Customer type]],0),MATCH(OP_Rates!I$65,Calc_TUR_Net_1[[#Headers],[Ausnet]:[United Energy]],0)),8)),
IF($F70="Environmental",
ROUND(SUMIFS(Calc_TUR_Env_1[Jemena],Calc_TUR_Env_1[[Customer type]:[Customer type]],OP_Rates!$E70,Calc_TUR_Env_1[[Rate type]:[Rate type]],OP_Rates!$C70),8))),0,1))</f>
        <v>0</v>
      </c>
      <c r="J70" s="155" cm="1">
        <f t="array" ref="J70">IF(J35="-","-",
IF(ROUND(J35,8)=
IF($F70="Network",
IF($C70&lt;&gt;"Controlled load",
ROUND(INDEX(Calc_TUR_Net_1[[Ausnet]:[United Energy]],MATCH(1,(Calc_TUR_Net_1[[Customer type]:[Customer type]]=OP_Rates!$E70)*(Calc_TUR_Net_1[[Rate type]:[Rate type]]=OP_Rates!$C70),0),MATCH(OP_Rates!J$65,Calc_TUR_Net_1[[#Headers],[Ausnet]:[United Energy]],0)),8),
ROUND(INDEX(Calc_TUR_NetCL_1[[Ausnet]:[United Energy]],MATCH(OP_Rates!$E70,Calc_TUR_Net_1[[Customer type]:[Customer type]],0),MATCH(OP_Rates!J$65,Calc_TUR_Net_1[[#Headers],[Ausnet]:[United Energy]],0)),8)),
IF($F70="Environmental",
ROUND(SUMIFS(Calc_TUR_Env_1[Powercor],Calc_TUR_Env_1[[Customer type]:[Customer type]],OP_Rates!$E70,Calc_TUR_Env_1[[Rate type]:[Rate type]],OP_Rates!$C70),8))),0,1))</f>
        <v>0</v>
      </c>
      <c r="K70" s="155" cm="1">
        <f t="array" ref="K70">IF(K35="-","-",
IF(ROUND(K35,8)=
IF($F70="Network",
IF($C70&lt;&gt;"Controlled load",
ROUND(INDEX(Calc_TUR_Net_1[[Ausnet]:[United Energy]],MATCH(1,(Calc_TUR_Net_1[[Customer type]:[Customer type]]=OP_Rates!$E70)*(Calc_TUR_Net_1[[Rate type]:[Rate type]]=OP_Rates!$C70),0),MATCH(OP_Rates!K$65,Calc_TUR_Net_1[[#Headers],[Ausnet]:[United Energy]],0)),8),
ROUND(INDEX(Calc_TUR_NetCL_1[[Ausnet]:[United Energy]],MATCH(OP_Rates!$E70,Calc_TUR_Net_1[[Customer type]:[Customer type]],0),MATCH(OP_Rates!K$65,Calc_TUR_Net_1[[#Headers],[Ausnet]:[United Energy]],0)),8)),
IF($F70="Environmental",
ROUND(SUMIFS(Calc_TUR_Env_1[United Energy],Calc_TUR_Env_1[[Customer type]:[Customer type]],OP_Rates!$E70,Calc_TUR_Env_1[[Rate type]:[Rate type]],OP_Rates!$C70),8))),0,1))</f>
        <v>0</v>
      </c>
      <c r="M70" s="53" t="s">
        <v>69</v>
      </c>
      <c r="N70" s="53" t="s">
        <v>68</v>
      </c>
      <c r="O70" s="53" t="s">
        <v>66</v>
      </c>
      <c r="P70" s="20" t="s">
        <v>82</v>
      </c>
      <c r="Q70" s="155" cm="1">
        <f t="array" ref="Q70">IF(Q35="-","-",
IF(ROUND(Q35,8)=
IF($P70="Network",
ROUND(INDEX(Calc_TUR_Net_1[[Ausnet]:[United Energy]],MATCH(1,(Calc_TUR_Net_1[[Customer type]:[Customer type]]=OP_Rates!$O70)*(Calc_TUR_Net_1[[Rate type]:[Rate type]]=OP_Rates!$C70),0),MATCH(OP_Rates!Q$65,Calc_TUR_Net_1[[#Headers],[Ausnet]:[United Energy]],0)),8),
IF($P70="Environmental",
ROUND(SUMIFS(Calc_TUR_Env_1[Ausnet],Calc_TUR_Env_1[[Customer type]:[Customer type]],OP_Rates!$O70,Calc_TUR_Env_1[[Rate type]:[Rate type]],OP_Rates!$C70),8))),0,1))</f>
        <v>0</v>
      </c>
      <c r="R70" s="155" cm="1">
        <f t="array" ref="R70">IF(R35="-","-",
IF(ROUND(R35,8)=
IF($P70="Network",
ROUND(INDEX(Calc_TUR_Net_1[[Ausnet]:[United Energy]],MATCH(1,(Calc_TUR_Net_1[[Customer type]:[Customer type]]=OP_Rates!$O70)*(Calc_TUR_Net_1[[Rate type]:[Rate type]]=OP_Rates!$C70),0),MATCH(OP_Rates!R$65,Calc_TUR_Net_1[[#Headers],[Ausnet]:[United Energy]],0)),8),
IF($P70="Environmental",
ROUND(SUMIFS(Calc_TUR_Env_1[Citipower],Calc_TUR_Env_1[[Customer type]:[Customer type]],OP_Rates!$O70,Calc_TUR_Env_1[[Rate type]:[Rate type]],OP_Rates!$C70),8))),0,1))</f>
        <v>0</v>
      </c>
      <c r="S70" s="155" cm="1">
        <f t="array" ref="S70">IF(S35="-","-",
IF(ROUND(S35,8)=
IF($P70="Network",
ROUND(INDEX(Calc_TUR_Net_1[[Ausnet]:[United Energy]],MATCH(1,(Calc_TUR_Net_1[[Customer type]:[Customer type]]=OP_Rates!$O70)*(Calc_TUR_Net_1[[Rate type]:[Rate type]]=OP_Rates!$C70),0),MATCH(OP_Rates!S$65,Calc_TUR_Net_1[[#Headers],[Ausnet]:[United Energy]],0)),8),
IF($P70="Environmental",
ROUND(SUMIFS(Calc_TUR_Env_1[Jemena],Calc_TUR_Env_1[[Customer type]:[Customer type]],OP_Rates!$O70,Calc_TUR_Env_1[[Rate type]:[Rate type]],OP_Rates!$C70),8))),0,1))</f>
        <v>0</v>
      </c>
      <c r="T70" s="155" cm="1">
        <f t="array" ref="T70">IF(T35="-","-",
IF(ROUND(T35,8)=
IF($P70="Network",
ROUND(INDEX(Calc_TUR_Net_1[[Ausnet]:[United Energy]],MATCH(1,(Calc_TUR_Net_1[[Customer type]:[Customer type]]=OP_Rates!$O70)*(Calc_TUR_Net_1[[Rate type]:[Rate type]]=OP_Rates!$C70),0),MATCH(OP_Rates!T$65,Calc_TUR_Net_1[[#Headers],[Ausnet]:[United Energy]],0)),8),
IF($P70="Environmental",
ROUND(SUMIFS(Calc_TUR_Env_1[Powercor],Calc_TUR_Env_1[[Customer type]:[Customer type]],OP_Rates!$O70,Calc_TUR_Env_1[[Rate type]:[Rate type]],OP_Rates!$C70),8))),0,1))</f>
        <v>0</v>
      </c>
      <c r="U70" s="155" cm="1">
        <f t="array" ref="U70">IF(U35="-","-",
IF(ROUND(U35,8)=
IF($P70="Network",
ROUND(INDEX(Calc_TUR_Net_1[[Ausnet]:[United Energy]],MATCH(1,(Calc_TUR_Net_1[[Customer type]:[Customer type]]=OP_Rates!$O70)*(Calc_TUR_Net_1[[Rate type]:[Rate type]]=OP_Rates!$C70),0),MATCH(OP_Rates!U$65,Calc_TUR_Net_1[[#Headers],[Ausnet]:[United Energy]],0)),8),
IF($P70="Environmental",
ROUND(SUMIFS(Calc_TUR_Env_1[United Energy],Calc_TUR_Env_1[[Customer type]:[Customer type]],OP_Rates!$O70,Calc_TUR_Env_1[[Rate type]:[Rate type]],OP_Rates!$C70),8))),0,1))</f>
        <v>0</v>
      </c>
    </row>
    <row r="71" spans="2:22" ht="15.5" hidden="1" outlineLevel="2">
      <c r="C71" s="53" t="s">
        <v>70</v>
      </c>
      <c r="D71" s="53" t="s">
        <v>68</v>
      </c>
      <c r="E71" s="53" t="s">
        <v>65</v>
      </c>
      <c r="F71" s="20" t="s">
        <v>82</v>
      </c>
      <c r="G71" s="155" cm="1">
        <f t="array" ref="G71">IF(G36="-","-",
IF(ROUND(G36,8)=
IF($F71="Network",
IF($C71&lt;&gt;"Controlled load",
ROUND(INDEX(Calc_TUR_Net_1[[Ausnet]:[United Energy]],MATCH(1,(Calc_TUR_Net_1[[Customer type]:[Customer type]]=OP_Rates!$E71)*(Calc_TUR_Net_1[[Rate type]:[Rate type]]=OP_Rates!$C71),0),MATCH(OP_Rates!G$65,Calc_TUR_Net_1[[#Headers],[Ausnet]:[United Energy]],0)),8),
ROUND(INDEX(Calc_TUR_NetCL_1[[Ausnet]:[United Energy]],MATCH(OP_Rates!$E71,Calc_TUR_Net_1[[Customer type]:[Customer type]],0),MATCH(OP_Rates!G$65,Calc_TUR_Net_1[[#Headers],[Ausnet]:[United Energy]],0)),8)),
IF($F71="Environmental",
ROUND(SUMIFS(Calc_TUR_Env_1[Ausnet],Calc_TUR_Env_1[[Customer type]:[Customer type]],OP_Rates!$E71,Calc_TUR_Env_1[[Rate type]:[Rate type]],OP_Rates!$C71),8))),0,1))</f>
        <v>0</v>
      </c>
      <c r="H71" s="155" cm="1">
        <f t="array" ref="H71">IF(H36="-","-",
IF(ROUND(H36,8)=
IF($F71="Network",
IF($C71&lt;&gt;"Controlled load",
ROUND(INDEX(Calc_TUR_Net_1[[Ausnet]:[United Energy]],MATCH(1,(Calc_TUR_Net_1[[Customer type]:[Customer type]]=OP_Rates!$E71)*(Calc_TUR_Net_1[[Rate type]:[Rate type]]=OP_Rates!$C71),0),MATCH(OP_Rates!H$65,Calc_TUR_Net_1[[#Headers],[Ausnet]:[United Energy]],0)),8),
ROUND(INDEX(Calc_TUR_NetCL_1[[Ausnet]:[United Energy]],MATCH(OP_Rates!$E71,Calc_TUR_Net_1[[Customer type]:[Customer type]],0),MATCH(OP_Rates!H$65,Calc_TUR_Net_1[[#Headers],[Ausnet]:[United Energy]],0)),8)),
IF($F71="Environmental",
ROUND(SUMIFS(Calc_TUR_Env_1[Citipower],Calc_TUR_Env_1[[Customer type]:[Customer type]],OP_Rates!$E71,Calc_TUR_Env_1[[Rate type]:[Rate type]],OP_Rates!$C71),8))),0,1))</f>
        <v>0</v>
      </c>
      <c r="I71" s="155" cm="1">
        <f t="array" ref="I71">IF(I36="-","-",
IF(ROUND(I36,8)=
IF($F71="Network",
IF($C71&lt;&gt;"Controlled load",
ROUND(INDEX(Calc_TUR_Net_1[[Ausnet]:[United Energy]],MATCH(1,(Calc_TUR_Net_1[[Customer type]:[Customer type]]=OP_Rates!$E71)*(Calc_TUR_Net_1[[Rate type]:[Rate type]]=OP_Rates!$C71),0),MATCH(OP_Rates!I$65,Calc_TUR_Net_1[[#Headers],[Ausnet]:[United Energy]],0)),8),
ROUND(INDEX(Calc_TUR_NetCL_1[[Ausnet]:[United Energy]],MATCH(OP_Rates!$E71,Calc_TUR_Net_1[[Customer type]:[Customer type]],0),MATCH(OP_Rates!I$65,Calc_TUR_Net_1[[#Headers],[Ausnet]:[United Energy]],0)),8)),
IF($F71="Environmental",
ROUND(SUMIFS(Calc_TUR_Env_1[Jemena],Calc_TUR_Env_1[[Customer type]:[Customer type]],OP_Rates!$E71,Calc_TUR_Env_1[[Rate type]:[Rate type]],OP_Rates!$C71),8))),0,1))</f>
        <v>0</v>
      </c>
      <c r="J71" s="155" cm="1">
        <f t="array" ref="J71">IF(J36="-","-",
IF(ROUND(J36,8)=
IF($F71="Network",
IF($C71&lt;&gt;"Controlled load",
ROUND(INDEX(Calc_TUR_Net_1[[Ausnet]:[United Energy]],MATCH(1,(Calc_TUR_Net_1[[Customer type]:[Customer type]]=OP_Rates!$E71)*(Calc_TUR_Net_1[[Rate type]:[Rate type]]=OP_Rates!$C71),0),MATCH(OP_Rates!J$65,Calc_TUR_Net_1[[#Headers],[Ausnet]:[United Energy]],0)),8),
ROUND(INDEX(Calc_TUR_NetCL_1[[Ausnet]:[United Energy]],MATCH(OP_Rates!$E71,Calc_TUR_Net_1[[Customer type]:[Customer type]],0),MATCH(OP_Rates!J$65,Calc_TUR_Net_1[[#Headers],[Ausnet]:[United Energy]],0)),8)),
IF($F71="Environmental",
ROUND(SUMIFS(Calc_TUR_Env_1[Powercor],Calc_TUR_Env_1[[Customer type]:[Customer type]],OP_Rates!$E71,Calc_TUR_Env_1[[Rate type]:[Rate type]],OP_Rates!$C71),8))),0,1))</f>
        <v>0</v>
      </c>
      <c r="K71" s="155" cm="1">
        <f t="array" ref="K71">IF(K36="-","-",
IF(ROUND(K36,8)=
IF($F71="Network",
IF($C71&lt;&gt;"Controlled load",
ROUND(INDEX(Calc_TUR_Net_1[[Ausnet]:[United Energy]],MATCH(1,(Calc_TUR_Net_1[[Customer type]:[Customer type]]=OP_Rates!$E71)*(Calc_TUR_Net_1[[Rate type]:[Rate type]]=OP_Rates!$C71),0),MATCH(OP_Rates!K$65,Calc_TUR_Net_1[[#Headers],[Ausnet]:[United Energy]],0)),8),
ROUND(INDEX(Calc_TUR_NetCL_1[[Ausnet]:[United Energy]],MATCH(OP_Rates!$E71,Calc_TUR_Net_1[[Customer type]:[Customer type]],0),MATCH(OP_Rates!K$65,Calc_TUR_Net_1[[#Headers],[Ausnet]:[United Energy]],0)),8)),
IF($F71="Environmental",
ROUND(SUMIFS(Calc_TUR_Env_1[United Energy],Calc_TUR_Env_1[[Customer type]:[Customer type]],OP_Rates!$E71,Calc_TUR_Env_1[[Rate type]:[Rate type]],OP_Rates!$C71),8))),0,1))</f>
        <v>0</v>
      </c>
      <c r="M71" s="53" t="s">
        <v>70</v>
      </c>
      <c r="N71" s="53" t="s">
        <v>68</v>
      </c>
      <c r="O71" s="53" t="s">
        <v>66</v>
      </c>
      <c r="P71" s="20" t="s">
        <v>82</v>
      </c>
      <c r="Q71" s="155" cm="1">
        <f t="array" ref="Q71">IF(Q36="-","-",
IF(ROUND(Q36,8)=
IF($P71="Network",
ROUND(INDEX(Calc_TUR_Net_1[[Ausnet]:[United Energy]],MATCH(1,(Calc_TUR_Net_1[[Customer type]:[Customer type]]=OP_Rates!$O71)*(Calc_TUR_Net_1[[Rate type]:[Rate type]]=OP_Rates!$C71),0),MATCH(OP_Rates!Q$65,Calc_TUR_Net_1[[#Headers],[Ausnet]:[United Energy]],0)),8),
IF($P71="Environmental",
ROUND(SUMIFS(Calc_TUR_Env_1[Ausnet],Calc_TUR_Env_1[[Customer type]:[Customer type]],OP_Rates!$O71,Calc_TUR_Env_1[[Rate type]:[Rate type]],OP_Rates!$C71),8))),0,1))</f>
        <v>0</v>
      </c>
      <c r="R71" s="155" cm="1">
        <f t="array" ref="R71">IF(R36="-","-",
IF(ROUND(R36,8)=
IF($P71="Network",
ROUND(INDEX(Calc_TUR_Net_1[[Ausnet]:[United Energy]],MATCH(1,(Calc_TUR_Net_1[[Customer type]:[Customer type]]=OP_Rates!$O71)*(Calc_TUR_Net_1[[Rate type]:[Rate type]]=OP_Rates!$C71),0),MATCH(OP_Rates!R$65,Calc_TUR_Net_1[[#Headers],[Ausnet]:[United Energy]],0)),8),
IF($P71="Environmental",
ROUND(SUMIFS(Calc_TUR_Env_1[Citipower],Calc_TUR_Env_1[[Customer type]:[Customer type]],OP_Rates!$O71,Calc_TUR_Env_1[[Rate type]:[Rate type]],OP_Rates!$C71),8))),0,1))</f>
        <v>0</v>
      </c>
      <c r="S71" s="155" cm="1">
        <f t="array" ref="S71">IF(S36="-","-",
IF(ROUND(S36,8)=
IF($P71="Network",
ROUND(INDEX(Calc_TUR_Net_1[[Ausnet]:[United Energy]],MATCH(1,(Calc_TUR_Net_1[[Customer type]:[Customer type]]=OP_Rates!$O71)*(Calc_TUR_Net_1[[Rate type]:[Rate type]]=OP_Rates!$C71),0),MATCH(OP_Rates!S$65,Calc_TUR_Net_1[[#Headers],[Ausnet]:[United Energy]],0)),8),
IF($P71="Environmental",
ROUND(SUMIFS(Calc_TUR_Env_1[Jemena],Calc_TUR_Env_1[[Customer type]:[Customer type]],OP_Rates!$O71,Calc_TUR_Env_1[[Rate type]:[Rate type]],OP_Rates!$C71),8))),0,1))</f>
        <v>0</v>
      </c>
      <c r="T71" s="155" cm="1">
        <f t="array" ref="T71">IF(T36="-","-",
IF(ROUND(T36,8)=
IF($P71="Network",
ROUND(INDEX(Calc_TUR_Net_1[[Ausnet]:[United Energy]],MATCH(1,(Calc_TUR_Net_1[[Customer type]:[Customer type]]=OP_Rates!$O71)*(Calc_TUR_Net_1[[Rate type]:[Rate type]]=OP_Rates!$C71),0),MATCH(OP_Rates!T$65,Calc_TUR_Net_1[[#Headers],[Ausnet]:[United Energy]],0)),8),
IF($P71="Environmental",
ROUND(SUMIFS(Calc_TUR_Env_1[Powercor],Calc_TUR_Env_1[[Customer type]:[Customer type]],OP_Rates!$O71,Calc_TUR_Env_1[[Rate type]:[Rate type]],OP_Rates!$C71),8))),0,1))</f>
        <v>0</v>
      </c>
      <c r="U71" s="155" cm="1">
        <f t="array" ref="U71">IF(U36="-","-",
IF(ROUND(U36,8)=
IF($P71="Network",
ROUND(INDEX(Calc_TUR_Net_1[[Ausnet]:[United Energy]],MATCH(1,(Calc_TUR_Net_1[[Customer type]:[Customer type]]=OP_Rates!$O71)*(Calc_TUR_Net_1[[Rate type]:[Rate type]]=OP_Rates!$C71),0),MATCH(OP_Rates!U$65,Calc_TUR_Net_1[[#Headers],[Ausnet]:[United Energy]],0)),8),
IF($P71="Environmental",
ROUND(SUMIFS(Calc_TUR_Env_1[United Energy],Calc_TUR_Env_1[[Customer type]:[Customer type]],OP_Rates!$O71,Calc_TUR_Env_1[[Rate type]:[Rate type]],OP_Rates!$C71),8))),0,1))</f>
        <v>0</v>
      </c>
    </row>
    <row r="72" spans="2:22" ht="15.5" hidden="1" outlineLevel="2">
      <c r="C72" s="53" t="s">
        <v>72</v>
      </c>
      <c r="D72" s="53" t="s">
        <v>68</v>
      </c>
      <c r="E72" s="53" t="s">
        <v>65</v>
      </c>
      <c r="F72" s="20" t="s">
        <v>82</v>
      </c>
      <c r="G72" s="155" cm="1">
        <f t="array" ref="G72">IF(G37="-","-",
IF(ROUND(G37,8)=
IF($F72="Network",
IF($C72&lt;&gt;"Controlled load",
ROUND(INDEX(Calc_TUR_Net_1[[Ausnet]:[United Energy]],MATCH(1,(Calc_TUR_Net_1[[Customer type]:[Customer type]]=OP_Rates!$E72)*(Calc_TUR_Net_1[[Rate type]:[Rate type]]=OP_Rates!$C72),0),MATCH(OP_Rates!G$65,Calc_TUR_Net_1[[#Headers],[Ausnet]:[United Energy]],0)),8),
ROUND(INDEX(Calc_TUR_NetCL_1[[Ausnet]:[United Energy]],MATCH(OP_Rates!$E72,Calc_TUR_Net_1[[Customer type]:[Customer type]],0),MATCH(OP_Rates!G$65,Calc_TUR_Net_1[[#Headers],[Ausnet]:[United Energy]],0)),8)),
IF($F72="Environmental",
ROUND(SUMIFS(Calc_TUR_Env_1[Ausnet],Calc_TUR_Env_1[[Customer type]:[Customer type]],OP_Rates!$E72,Calc_TUR_Env_1[[Rate type]:[Rate type]],OP_Rates!$C72),8))),0,1))</f>
        <v>0</v>
      </c>
      <c r="H72" s="155" cm="1">
        <f t="array" ref="H72">IF(H37="-","-",
IF(ROUND(H37,8)=
IF($F72="Network",
IF($C72&lt;&gt;"Controlled load",
ROUND(INDEX(Calc_TUR_Net_1[[Ausnet]:[United Energy]],MATCH(1,(Calc_TUR_Net_1[[Customer type]:[Customer type]]=OP_Rates!$E72)*(Calc_TUR_Net_1[[Rate type]:[Rate type]]=OP_Rates!$C72),0),MATCH(OP_Rates!H$65,Calc_TUR_Net_1[[#Headers],[Ausnet]:[United Energy]],0)),8),
ROUND(INDEX(Calc_TUR_NetCL_1[[Ausnet]:[United Energy]],MATCH(OP_Rates!$E72,Calc_TUR_Net_1[[Customer type]:[Customer type]],0),MATCH(OP_Rates!H$65,Calc_TUR_Net_1[[#Headers],[Ausnet]:[United Energy]],0)),8)),
IF($F72="Environmental",
ROUND(SUMIFS(Calc_TUR_Env_1[Citipower],Calc_TUR_Env_1[[Customer type]:[Customer type]],OP_Rates!$E72,Calc_TUR_Env_1[[Rate type]:[Rate type]],OP_Rates!$C72),8))),0,1))</f>
        <v>0</v>
      </c>
      <c r="I72" s="155" cm="1">
        <f t="array" ref="I72">IF(I37="-","-",
IF(ROUND(I37,8)=
IF($F72="Network",
IF($C72&lt;&gt;"Controlled load",
ROUND(INDEX(Calc_TUR_Net_1[[Ausnet]:[United Energy]],MATCH(1,(Calc_TUR_Net_1[[Customer type]:[Customer type]]=OP_Rates!$E72)*(Calc_TUR_Net_1[[Rate type]:[Rate type]]=OP_Rates!$C72),0),MATCH(OP_Rates!I$65,Calc_TUR_Net_1[[#Headers],[Ausnet]:[United Energy]],0)),8),
ROUND(INDEX(Calc_TUR_NetCL_1[[Ausnet]:[United Energy]],MATCH(OP_Rates!$E72,Calc_TUR_Net_1[[Customer type]:[Customer type]],0),MATCH(OP_Rates!I$65,Calc_TUR_Net_1[[#Headers],[Ausnet]:[United Energy]],0)),8)),
IF($F72="Environmental",
ROUND(SUMIFS(Calc_TUR_Env_1[Jemena],Calc_TUR_Env_1[[Customer type]:[Customer type]],OP_Rates!$E72,Calc_TUR_Env_1[[Rate type]:[Rate type]],OP_Rates!$C72),8))),0,1))</f>
        <v>0</v>
      </c>
      <c r="J72" s="155" cm="1">
        <f t="array" ref="J72">IF(J37="-","-",
IF(ROUND(J37,8)=
IF($F72="Network",
IF($C72&lt;&gt;"Controlled load",
ROUND(INDEX(Calc_TUR_Net_1[[Ausnet]:[United Energy]],MATCH(1,(Calc_TUR_Net_1[[Customer type]:[Customer type]]=OP_Rates!$E72)*(Calc_TUR_Net_1[[Rate type]:[Rate type]]=OP_Rates!$C72),0),MATCH(OP_Rates!J$65,Calc_TUR_Net_1[[#Headers],[Ausnet]:[United Energy]],0)),8),
ROUND(INDEX(Calc_TUR_NetCL_1[[Ausnet]:[United Energy]],MATCH(OP_Rates!$E72,Calc_TUR_Net_1[[Customer type]:[Customer type]],0),MATCH(OP_Rates!J$65,Calc_TUR_Net_1[[#Headers],[Ausnet]:[United Energy]],0)),8)),
IF($F72="Environmental",
ROUND(SUMIFS(Calc_TUR_Env_1[Powercor],Calc_TUR_Env_1[[Customer type]:[Customer type]],OP_Rates!$E72,Calc_TUR_Env_1[[Rate type]:[Rate type]],OP_Rates!$C72),8))),0,1))</f>
        <v>0</v>
      </c>
      <c r="K72" s="155" cm="1">
        <f t="array" ref="K72">IF(K37="-","-",
IF(ROUND(K37,8)=
IF($F72="Network",
IF($C72&lt;&gt;"Controlled load",
ROUND(INDEX(Calc_TUR_Net_1[[Ausnet]:[United Energy]],MATCH(1,(Calc_TUR_Net_1[[Customer type]:[Customer type]]=OP_Rates!$E72)*(Calc_TUR_Net_1[[Rate type]:[Rate type]]=OP_Rates!$C72),0),MATCH(OP_Rates!K$65,Calc_TUR_Net_1[[#Headers],[Ausnet]:[United Energy]],0)),8),
ROUND(INDEX(Calc_TUR_NetCL_1[[Ausnet]:[United Energy]],MATCH(OP_Rates!$E72,Calc_TUR_Net_1[[Customer type]:[Customer type]],0),MATCH(OP_Rates!K$65,Calc_TUR_Net_1[[#Headers],[Ausnet]:[United Energy]],0)),8)),
IF($F72="Environmental",
ROUND(SUMIFS(Calc_TUR_Env_1[United Energy],Calc_TUR_Env_1[[Customer type]:[Customer type]],OP_Rates!$E72,Calc_TUR_Env_1[[Rate type]:[Rate type]],OP_Rates!$C72),8))),0,1))</f>
        <v>0</v>
      </c>
      <c r="M72" s="53" t="s">
        <v>72</v>
      </c>
      <c r="N72" s="53" t="s">
        <v>68</v>
      </c>
      <c r="O72" s="53" t="s">
        <v>66</v>
      </c>
      <c r="P72" s="20" t="s">
        <v>82</v>
      </c>
      <c r="Q72" s="155" cm="1">
        <f t="array" ref="Q72">IF(Q37="-","-",
IF(ROUND(Q37,8)=
IF($P72="Network",
ROUND(INDEX(Calc_TUR_Net_1[[Ausnet]:[United Energy]],MATCH(1,(Calc_TUR_Net_1[[Customer type]:[Customer type]]=OP_Rates!$O72)*(Calc_TUR_Net_1[[Rate type]:[Rate type]]=OP_Rates!$C72),0),MATCH(OP_Rates!Q$65,Calc_TUR_Net_1[[#Headers],[Ausnet]:[United Energy]],0)),8),
IF($P72="Environmental",
ROUND(SUMIFS(Calc_TUR_Env_1[Ausnet],Calc_TUR_Env_1[[Customer type]:[Customer type]],OP_Rates!$O72,Calc_TUR_Env_1[[Rate type]:[Rate type]],OP_Rates!$C72),8))),0,1))</f>
        <v>0</v>
      </c>
      <c r="R72" s="155" cm="1">
        <f t="array" ref="R72">IF(R37="-","-",
IF(ROUND(R37,8)=
IF($P72="Network",
ROUND(INDEX(Calc_TUR_Net_1[[Ausnet]:[United Energy]],MATCH(1,(Calc_TUR_Net_1[[Customer type]:[Customer type]]=OP_Rates!$O72)*(Calc_TUR_Net_1[[Rate type]:[Rate type]]=OP_Rates!$C72),0),MATCH(OP_Rates!R$65,Calc_TUR_Net_1[[#Headers],[Ausnet]:[United Energy]],0)),8),
IF($P72="Environmental",
ROUND(SUMIFS(Calc_TUR_Env_1[Citipower],Calc_TUR_Env_1[[Customer type]:[Customer type]],OP_Rates!$O72,Calc_TUR_Env_1[[Rate type]:[Rate type]],OP_Rates!$C72),8))),0,1))</f>
        <v>0</v>
      </c>
      <c r="S72" s="155" cm="1">
        <f t="array" ref="S72">IF(S37="-","-",
IF(ROUND(S37,8)=
IF($P72="Network",
ROUND(INDEX(Calc_TUR_Net_1[[Ausnet]:[United Energy]],MATCH(1,(Calc_TUR_Net_1[[Customer type]:[Customer type]]=OP_Rates!$O72)*(Calc_TUR_Net_1[[Rate type]:[Rate type]]=OP_Rates!$C72),0),MATCH(OP_Rates!S$65,Calc_TUR_Net_1[[#Headers],[Ausnet]:[United Energy]],0)),8),
IF($P72="Environmental",
ROUND(SUMIFS(Calc_TUR_Env_1[Jemena],Calc_TUR_Env_1[[Customer type]:[Customer type]],OP_Rates!$O72,Calc_TUR_Env_1[[Rate type]:[Rate type]],OP_Rates!$C72),8))),0,1))</f>
        <v>0</v>
      </c>
      <c r="T72" s="155" cm="1">
        <f t="array" ref="T72">IF(T37="-","-",
IF(ROUND(T37,8)=
IF($P72="Network",
ROUND(INDEX(Calc_TUR_Net_1[[Ausnet]:[United Energy]],MATCH(1,(Calc_TUR_Net_1[[Customer type]:[Customer type]]=OP_Rates!$O72)*(Calc_TUR_Net_1[[Rate type]:[Rate type]]=OP_Rates!$C72),0),MATCH(OP_Rates!T$65,Calc_TUR_Net_1[[#Headers],[Ausnet]:[United Energy]],0)),8),
IF($P72="Environmental",
ROUND(SUMIFS(Calc_TUR_Env_1[Powercor],Calc_TUR_Env_1[[Customer type]:[Customer type]],OP_Rates!$O72,Calc_TUR_Env_1[[Rate type]:[Rate type]],OP_Rates!$C72),8))),0,1))</f>
        <v>0</v>
      </c>
      <c r="U72" s="155" cm="1">
        <f t="array" ref="U72">IF(U37="-","-",
IF(ROUND(U37,8)=
IF($P72="Network",
ROUND(INDEX(Calc_TUR_Net_1[[Ausnet]:[United Energy]],MATCH(1,(Calc_TUR_Net_1[[Customer type]:[Customer type]]=OP_Rates!$O72)*(Calc_TUR_Net_1[[Rate type]:[Rate type]]=OP_Rates!$C72),0),MATCH(OP_Rates!U$65,Calc_TUR_Net_1[[#Headers],[Ausnet]:[United Energy]],0)),8),
IF($P72="Environmental",
ROUND(SUMIFS(Calc_TUR_Env_1[United Energy],Calc_TUR_Env_1[[Customer type]:[Customer type]],OP_Rates!$O72,Calc_TUR_Env_1[[Rate type]:[Rate type]],OP_Rates!$C72),8))),0,1))</f>
        <v>0</v>
      </c>
    </row>
    <row r="73" spans="2:22" ht="15.5" hidden="1" outlineLevel="2">
      <c r="C73" s="53" t="s">
        <v>73</v>
      </c>
      <c r="D73" s="53" t="s">
        <v>68</v>
      </c>
      <c r="E73" s="53" t="s">
        <v>65</v>
      </c>
      <c r="F73" s="20" t="s">
        <v>82</v>
      </c>
      <c r="G73" s="155" cm="1">
        <f t="array" ref="G73">IF(G38="-","-",
IF(ROUND(G38,8)=
IF($F73="Network",
IF($C73&lt;&gt;"Controlled load",
ROUND(INDEX(Calc_TUR_Net_1[[Ausnet]:[United Energy]],MATCH(1,(Calc_TUR_Net_1[[Customer type]:[Customer type]]=OP_Rates!$E73)*(Calc_TUR_Net_1[[Rate type]:[Rate type]]=OP_Rates!$C73),0),MATCH(OP_Rates!G$65,Calc_TUR_Net_1[[#Headers],[Ausnet]:[United Energy]],0)),8),
ROUND(INDEX(Calc_TUR_NetCL_1[[Ausnet]:[United Energy]],MATCH(OP_Rates!$E73,Calc_TUR_Net_1[[Customer type]:[Customer type]],0),MATCH(OP_Rates!G$65,Calc_TUR_Net_1[[#Headers],[Ausnet]:[United Energy]],0)),8)),
IF($F73="Environmental",
ROUND(SUMIFS(Calc_TUR_Env_1[Ausnet],Calc_TUR_Env_1[[Customer type]:[Customer type]],OP_Rates!$E73,Calc_TUR_Env_1[[Rate type]:[Rate type]],OP_Rates!$C73),8))),0,1))</f>
        <v>0</v>
      </c>
      <c r="H73" s="155" cm="1">
        <f t="array" ref="H73">IF(H38="-","-",
IF(ROUND(H38,8)=
IF($F73="Network",
IF($C73&lt;&gt;"Controlled load",
ROUND(INDEX(Calc_TUR_Net_1[[Ausnet]:[United Energy]],MATCH(1,(Calc_TUR_Net_1[[Customer type]:[Customer type]]=OP_Rates!$E73)*(Calc_TUR_Net_1[[Rate type]:[Rate type]]=OP_Rates!$C73),0),MATCH(OP_Rates!H$65,Calc_TUR_Net_1[[#Headers],[Ausnet]:[United Energy]],0)),8),
ROUND(INDEX(Calc_TUR_NetCL_1[[Ausnet]:[United Energy]],MATCH(OP_Rates!$E73,Calc_TUR_Net_1[[Customer type]:[Customer type]],0),MATCH(OP_Rates!H$65,Calc_TUR_Net_1[[#Headers],[Ausnet]:[United Energy]],0)),8)),
IF($F73="Environmental",
ROUND(SUMIFS(Calc_TUR_Env_1[Citipower],Calc_TUR_Env_1[[Customer type]:[Customer type]],OP_Rates!$E73,Calc_TUR_Env_1[[Rate type]:[Rate type]],OP_Rates!$C73),8))),0,1))</f>
        <v>0</v>
      </c>
      <c r="I73" s="155" cm="1">
        <f t="array" ref="I73">IF(I38="-","-",
IF(ROUND(I38,8)=
IF($F73="Network",
IF($C73&lt;&gt;"Controlled load",
ROUND(INDEX(Calc_TUR_Net_1[[Ausnet]:[United Energy]],MATCH(1,(Calc_TUR_Net_1[[Customer type]:[Customer type]]=OP_Rates!$E73)*(Calc_TUR_Net_1[[Rate type]:[Rate type]]=OP_Rates!$C73),0),MATCH(OP_Rates!I$65,Calc_TUR_Net_1[[#Headers],[Ausnet]:[United Energy]],0)),8),
ROUND(INDEX(Calc_TUR_NetCL_1[[Ausnet]:[United Energy]],MATCH(OP_Rates!$E73,Calc_TUR_Net_1[[Customer type]:[Customer type]],0),MATCH(OP_Rates!I$65,Calc_TUR_Net_1[[#Headers],[Ausnet]:[United Energy]],0)),8)),
IF($F73="Environmental",
ROUND(SUMIFS(Calc_TUR_Env_1[Jemena],Calc_TUR_Env_1[[Customer type]:[Customer type]],OP_Rates!$E73,Calc_TUR_Env_1[[Rate type]:[Rate type]],OP_Rates!$C73),8))),0,1))</f>
        <v>0</v>
      </c>
      <c r="J73" s="155" cm="1">
        <f t="array" ref="J73">IF(J38="-","-",
IF(ROUND(J38,8)=
IF($F73="Network",
IF($C73&lt;&gt;"Controlled load",
ROUND(INDEX(Calc_TUR_Net_1[[Ausnet]:[United Energy]],MATCH(1,(Calc_TUR_Net_1[[Customer type]:[Customer type]]=OP_Rates!$E73)*(Calc_TUR_Net_1[[Rate type]:[Rate type]]=OP_Rates!$C73),0),MATCH(OP_Rates!J$65,Calc_TUR_Net_1[[#Headers],[Ausnet]:[United Energy]],0)),8),
ROUND(INDEX(Calc_TUR_NetCL_1[[Ausnet]:[United Energy]],MATCH(OP_Rates!$E73,Calc_TUR_Net_1[[Customer type]:[Customer type]],0),MATCH(OP_Rates!J$65,Calc_TUR_Net_1[[#Headers],[Ausnet]:[United Energy]],0)),8)),
IF($F73="Environmental",
ROUND(SUMIFS(Calc_TUR_Env_1[Powercor],Calc_TUR_Env_1[[Customer type]:[Customer type]],OP_Rates!$E73,Calc_TUR_Env_1[[Rate type]:[Rate type]],OP_Rates!$C73),8))),0,1))</f>
        <v>0</v>
      </c>
      <c r="K73" s="155" cm="1">
        <f t="array" ref="K73">IF(K38="-","-",
IF(ROUND(K38,8)=
IF($F73="Network",
IF($C73&lt;&gt;"Controlled load",
ROUND(INDEX(Calc_TUR_Net_1[[Ausnet]:[United Energy]],MATCH(1,(Calc_TUR_Net_1[[Customer type]:[Customer type]]=OP_Rates!$E73)*(Calc_TUR_Net_1[[Rate type]:[Rate type]]=OP_Rates!$C73),0),MATCH(OP_Rates!K$65,Calc_TUR_Net_1[[#Headers],[Ausnet]:[United Energy]],0)),8),
ROUND(INDEX(Calc_TUR_NetCL_1[[Ausnet]:[United Energy]],MATCH(OP_Rates!$E73,Calc_TUR_Net_1[[Customer type]:[Customer type]],0),MATCH(OP_Rates!K$65,Calc_TUR_Net_1[[#Headers],[Ausnet]:[United Energy]],0)),8)),
IF($F73="Environmental",
ROUND(SUMIFS(Calc_TUR_Env_1[United Energy],Calc_TUR_Env_1[[Customer type]:[Customer type]],OP_Rates!$E73,Calc_TUR_Env_1[[Rate type]:[Rate type]],OP_Rates!$C73),8))),0,1))</f>
        <v>0</v>
      </c>
      <c r="M73" s="53" t="s">
        <v>73</v>
      </c>
      <c r="N73" s="53" t="s">
        <v>68</v>
      </c>
      <c r="O73" s="53" t="s">
        <v>66</v>
      </c>
      <c r="P73" s="20" t="s">
        <v>82</v>
      </c>
      <c r="Q73" s="155" cm="1">
        <f t="array" ref="Q73">IF(Q38="-","-",
IF(ROUND(Q38,8)=
IF($P73="Network",
ROUND(INDEX(Calc_TUR_Net_1[[Ausnet]:[United Energy]],MATCH(1,(Calc_TUR_Net_1[[Customer type]:[Customer type]]=OP_Rates!$O73)*(Calc_TUR_Net_1[[Rate type]:[Rate type]]=OP_Rates!$C73),0),MATCH(OP_Rates!Q$65,Calc_TUR_Net_1[[#Headers],[Ausnet]:[United Energy]],0)),8),
IF($P73="Environmental",
ROUND(SUMIFS(Calc_TUR_Env_1[Ausnet],Calc_TUR_Env_1[[Customer type]:[Customer type]],OP_Rates!$O73,Calc_TUR_Env_1[[Rate type]:[Rate type]],OP_Rates!$C73),8))),0,1))</f>
        <v>0</v>
      </c>
      <c r="R73" s="155" cm="1">
        <f t="array" ref="R73">IF(R38="-","-",
IF(ROUND(R38,8)=
IF($P73="Network",
ROUND(INDEX(Calc_TUR_Net_1[[Ausnet]:[United Energy]],MATCH(1,(Calc_TUR_Net_1[[Customer type]:[Customer type]]=OP_Rates!$O73)*(Calc_TUR_Net_1[[Rate type]:[Rate type]]=OP_Rates!$C73),0),MATCH(OP_Rates!R$65,Calc_TUR_Net_1[[#Headers],[Ausnet]:[United Energy]],0)),8),
IF($P73="Environmental",
ROUND(SUMIFS(Calc_TUR_Env_1[Citipower],Calc_TUR_Env_1[[Customer type]:[Customer type]],OP_Rates!$O73,Calc_TUR_Env_1[[Rate type]:[Rate type]],OP_Rates!$C73),8))),0,1))</f>
        <v>0</v>
      </c>
      <c r="S73" s="155" cm="1">
        <f t="array" ref="S73">IF(S38="-","-",
IF(ROUND(S38,8)=
IF($P73="Network",
ROUND(INDEX(Calc_TUR_Net_1[[Ausnet]:[United Energy]],MATCH(1,(Calc_TUR_Net_1[[Customer type]:[Customer type]]=OP_Rates!$O73)*(Calc_TUR_Net_1[[Rate type]:[Rate type]]=OP_Rates!$C73),0),MATCH(OP_Rates!S$65,Calc_TUR_Net_1[[#Headers],[Ausnet]:[United Energy]],0)),8),
IF($P73="Environmental",
ROUND(SUMIFS(Calc_TUR_Env_1[Jemena],Calc_TUR_Env_1[[Customer type]:[Customer type]],OP_Rates!$O73,Calc_TUR_Env_1[[Rate type]:[Rate type]],OP_Rates!$C73),8))),0,1))</f>
        <v>0</v>
      </c>
      <c r="T73" s="155" cm="1">
        <f t="array" ref="T73">IF(T38="-","-",
IF(ROUND(T38,8)=
IF($P73="Network",
ROUND(INDEX(Calc_TUR_Net_1[[Ausnet]:[United Energy]],MATCH(1,(Calc_TUR_Net_1[[Customer type]:[Customer type]]=OP_Rates!$O73)*(Calc_TUR_Net_1[[Rate type]:[Rate type]]=OP_Rates!$C73),0),MATCH(OP_Rates!T$65,Calc_TUR_Net_1[[#Headers],[Ausnet]:[United Energy]],0)),8),
IF($P73="Environmental",
ROUND(SUMIFS(Calc_TUR_Env_1[Powercor],Calc_TUR_Env_1[[Customer type]:[Customer type]],OP_Rates!$O73,Calc_TUR_Env_1[[Rate type]:[Rate type]],OP_Rates!$C73),8))),0,1))</f>
        <v>0</v>
      </c>
      <c r="U73" s="155" cm="1">
        <f t="array" ref="U73">IF(U38="-","-",
IF(ROUND(U38,8)=
IF($P73="Network",
ROUND(INDEX(Calc_TUR_Net_1[[Ausnet]:[United Energy]],MATCH(1,(Calc_TUR_Net_1[[Customer type]:[Customer type]]=OP_Rates!$O73)*(Calc_TUR_Net_1[[Rate type]:[Rate type]]=OP_Rates!$C73),0),MATCH(OP_Rates!U$65,Calc_TUR_Net_1[[#Headers],[Ausnet]:[United Energy]],0)),8),
IF($P73="Environmental",
ROUND(SUMIFS(Calc_TUR_Env_1[United Energy],Calc_TUR_Env_1[[Customer type]:[Customer type]],OP_Rates!$O73,Calc_TUR_Env_1[[Rate type]:[Rate type]],OP_Rates!$C73),8))),0,1))</f>
        <v>0</v>
      </c>
    </row>
    <row r="74" spans="2:22" ht="15.5" hidden="1" outlineLevel="2">
      <c r="C74" s="53" t="s">
        <v>74</v>
      </c>
      <c r="D74" s="53" t="s">
        <v>68</v>
      </c>
      <c r="E74" s="53" t="s">
        <v>65</v>
      </c>
      <c r="F74" s="20" t="s">
        <v>82</v>
      </c>
      <c r="G74" s="155" cm="1">
        <f t="array" ref="G74">IF(G39="-","-",
IF(ROUND(G39,8)=
IF($F74="Network",
IF($C74&lt;&gt;"Controlled load",
ROUND(INDEX(Calc_TUR_Net_1[[Ausnet]:[United Energy]],MATCH(1,(Calc_TUR_Net_1[[Customer type]:[Customer type]]=OP_Rates!$E74)*(Calc_TUR_Net_1[[Rate type]:[Rate type]]=OP_Rates!$C74),0),MATCH(OP_Rates!G$65,Calc_TUR_Net_1[[#Headers],[Ausnet]:[United Energy]],0)),8),
ROUND(INDEX(Calc_TUR_NetCL_1[[Ausnet]:[United Energy]],MATCH(OP_Rates!$E74,Calc_TUR_Net_1[[Customer type]:[Customer type]],0),MATCH(OP_Rates!G$65,Calc_TUR_Net_1[[#Headers],[Ausnet]:[United Energy]],0)),8)),
IF($F74="Environmental",
ROUND(SUMIFS(Calc_TUR_Env_1[Ausnet],Calc_TUR_Env_1[[Customer type]:[Customer type]],OP_Rates!$E74,Calc_TUR_Env_1[[Rate type]:[Rate type]],OP_Rates!$C74),8))),0,1))</f>
        <v>0</v>
      </c>
      <c r="H74" s="155" cm="1">
        <f t="array" ref="H74">IF(H39="-","-",
IF(ROUND(H39,8)=
IF($F74="Network",
IF($C74&lt;&gt;"Controlled load",
ROUND(INDEX(Calc_TUR_Net_1[[Ausnet]:[United Energy]],MATCH(1,(Calc_TUR_Net_1[[Customer type]:[Customer type]]=OP_Rates!$E74)*(Calc_TUR_Net_1[[Rate type]:[Rate type]]=OP_Rates!$C74),0),MATCH(OP_Rates!H$65,Calc_TUR_Net_1[[#Headers],[Ausnet]:[United Energy]],0)),8),
ROUND(INDEX(Calc_TUR_NetCL_1[[Ausnet]:[United Energy]],MATCH(OP_Rates!$E74,Calc_TUR_Net_1[[Customer type]:[Customer type]],0),MATCH(OP_Rates!H$65,Calc_TUR_Net_1[[#Headers],[Ausnet]:[United Energy]],0)),8)),
IF($F74="Environmental",
ROUND(SUMIFS(Calc_TUR_Env_1[Citipower],Calc_TUR_Env_1[[Customer type]:[Customer type]],OP_Rates!$E74,Calc_TUR_Env_1[[Rate type]:[Rate type]],OP_Rates!$C74),8))),0,1))</f>
        <v>0</v>
      </c>
      <c r="I74" s="155" cm="1">
        <f t="array" ref="I74">IF(I39="-","-",
IF(ROUND(I39,8)=
IF($F74="Network",
IF($C74&lt;&gt;"Controlled load",
ROUND(INDEX(Calc_TUR_Net_1[[Ausnet]:[United Energy]],MATCH(1,(Calc_TUR_Net_1[[Customer type]:[Customer type]]=OP_Rates!$E74)*(Calc_TUR_Net_1[[Rate type]:[Rate type]]=OP_Rates!$C74),0),MATCH(OP_Rates!I$65,Calc_TUR_Net_1[[#Headers],[Ausnet]:[United Energy]],0)),8),
ROUND(INDEX(Calc_TUR_NetCL_1[[Ausnet]:[United Energy]],MATCH(OP_Rates!$E74,Calc_TUR_Net_1[[Customer type]:[Customer type]],0),MATCH(OP_Rates!I$65,Calc_TUR_Net_1[[#Headers],[Ausnet]:[United Energy]],0)),8)),
IF($F74="Environmental",
ROUND(SUMIFS(Calc_TUR_Env_1[Jemena],Calc_TUR_Env_1[[Customer type]:[Customer type]],OP_Rates!$E74,Calc_TUR_Env_1[[Rate type]:[Rate type]],OP_Rates!$C74),8))),0,1))</f>
        <v>0</v>
      </c>
      <c r="J74" s="155" cm="1">
        <f t="array" ref="J74">IF(J39="-","-",
IF(ROUND(J39,8)=
IF($F74="Network",
IF($C74&lt;&gt;"Controlled load",
ROUND(INDEX(Calc_TUR_Net_1[[Ausnet]:[United Energy]],MATCH(1,(Calc_TUR_Net_1[[Customer type]:[Customer type]]=OP_Rates!$E74)*(Calc_TUR_Net_1[[Rate type]:[Rate type]]=OP_Rates!$C74),0),MATCH(OP_Rates!J$65,Calc_TUR_Net_1[[#Headers],[Ausnet]:[United Energy]],0)),8),
ROUND(INDEX(Calc_TUR_NetCL_1[[Ausnet]:[United Energy]],MATCH(OP_Rates!$E74,Calc_TUR_Net_1[[Customer type]:[Customer type]],0),MATCH(OP_Rates!J$65,Calc_TUR_Net_1[[#Headers],[Ausnet]:[United Energy]],0)),8)),
IF($F74="Environmental",
ROUND(SUMIFS(Calc_TUR_Env_1[Powercor],Calc_TUR_Env_1[[Customer type]:[Customer type]],OP_Rates!$E74,Calc_TUR_Env_1[[Rate type]:[Rate type]],OP_Rates!$C74),8))),0,1))</f>
        <v>0</v>
      </c>
      <c r="K74" s="155" cm="1">
        <f t="array" ref="K74">IF(K39="-","-",
IF(ROUND(K39,8)=
IF($F74="Network",
IF($C74&lt;&gt;"Controlled load",
ROUND(INDEX(Calc_TUR_Net_1[[Ausnet]:[United Energy]],MATCH(1,(Calc_TUR_Net_1[[Customer type]:[Customer type]]=OP_Rates!$E74)*(Calc_TUR_Net_1[[Rate type]:[Rate type]]=OP_Rates!$C74),0),MATCH(OP_Rates!K$65,Calc_TUR_Net_1[[#Headers],[Ausnet]:[United Energy]],0)),8),
ROUND(INDEX(Calc_TUR_NetCL_1[[Ausnet]:[United Energy]],MATCH(OP_Rates!$E74,Calc_TUR_Net_1[[Customer type]:[Customer type]],0),MATCH(OP_Rates!K$65,Calc_TUR_Net_1[[#Headers],[Ausnet]:[United Energy]],0)),8)),
IF($F74="Environmental",
ROUND(SUMIFS(Calc_TUR_Env_1[United Energy],Calc_TUR_Env_1[[Customer type]:[Customer type]],OP_Rates!$E74,Calc_TUR_Env_1[[Rate type]:[Rate type]],OP_Rates!$C74),8))),0,1))</f>
        <v>0</v>
      </c>
      <c r="M74" s="53"/>
      <c r="N74" s="53"/>
      <c r="O74" s="53"/>
      <c r="P74" s="20"/>
      <c r="Q74" s="155"/>
      <c r="R74" s="155"/>
      <c r="S74" s="155"/>
      <c r="T74" s="155"/>
      <c r="U74" s="155"/>
    </row>
    <row r="75" spans="2:22" outlineLevel="1" collapsed="1">
      <c r="G75" s="78"/>
      <c r="H75" s="78"/>
      <c r="I75" s="78"/>
      <c r="J75" s="78"/>
      <c r="K75" s="78"/>
      <c r="Q75" s="78"/>
      <c r="R75" s="78"/>
      <c r="S75" s="78"/>
      <c r="T75" s="78"/>
      <c r="U75" s="78"/>
    </row>
    <row r="78" spans="2:22" ht="16" thickBot="1">
      <c r="B78" s="216">
        <f ca="1">MAX(B$3:B77)+0.01</f>
        <v>5.0199999999999996</v>
      </c>
      <c r="C78" s="25" t="str">
        <f>"VDO rates - "&amp;Calc_Rates!$D$266</f>
        <v>VDO rates - VDO 2022-23 - Final</v>
      </c>
      <c r="D78" s="25"/>
      <c r="E78" s="25"/>
      <c r="F78" s="25"/>
      <c r="G78" s="25"/>
      <c r="H78" s="25"/>
      <c r="I78" s="25"/>
      <c r="J78" s="25"/>
      <c r="K78" s="25"/>
      <c r="L78" s="25"/>
      <c r="M78" s="25"/>
      <c r="N78" s="25"/>
      <c r="O78" s="25"/>
      <c r="P78" s="25"/>
      <c r="Q78" s="25"/>
      <c r="R78" s="25"/>
      <c r="S78" s="25"/>
      <c r="T78" s="25"/>
      <c r="U78" s="25"/>
      <c r="V78" s="25"/>
    </row>
    <row r="79" spans="2:22" outlineLevel="1"/>
    <row r="80" spans="2:22" ht="15.5" outlineLevel="1">
      <c r="C80" s="26" t="s">
        <v>53</v>
      </c>
      <c r="M80" s="26" t="s">
        <v>54</v>
      </c>
      <c r="P80" s="78"/>
      <c r="Q80" s="78"/>
      <c r="R80" s="78"/>
    </row>
    <row r="81" spans="1:24" ht="15.5" outlineLevel="1">
      <c r="C81" s="111" t="s">
        <v>55</v>
      </c>
      <c r="D81" s="111" t="s">
        <v>56</v>
      </c>
      <c r="E81" s="111" t="s">
        <v>57</v>
      </c>
      <c r="F81" s="111" t="s">
        <v>7</v>
      </c>
      <c r="G81" s="54" t="s">
        <v>58</v>
      </c>
      <c r="H81" s="54" t="s">
        <v>59</v>
      </c>
      <c r="I81" s="54" t="s">
        <v>60</v>
      </c>
      <c r="J81" s="54" t="s">
        <v>61</v>
      </c>
      <c r="K81" s="54" t="s">
        <v>62</v>
      </c>
      <c r="M81" s="111" t="s">
        <v>55</v>
      </c>
      <c r="N81" s="111" t="s">
        <v>56</v>
      </c>
      <c r="O81" s="111" t="s">
        <v>57</v>
      </c>
      <c r="P81" s="111" t="s">
        <v>7</v>
      </c>
      <c r="Q81" s="54" t="s">
        <v>58</v>
      </c>
      <c r="R81" s="54" t="s">
        <v>59</v>
      </c>
      <c r="S81" s="54" t="s">
        <v>60</v>
      </c>
      <c r="T81" s="54" t="s">
        <v>61</v>
      </c>
      <c r="U81" s="54" t="s">
        <v>62</v>
      </c>
    </row>
    <row r="82" spans="1:24" outlineLevel="1">
      <c r="C82" s="20" t="s">
        <v>63</v>
      </c>
      <c r="D82" s="20" t="s">
        <v>64</v>
      </c>
      <c r="E82" s="20" t="s">
        <v>65</v>
      </c>
      <c r="F82" s="20" t="s">
        <v>7</v>
      </c>
      <c r="G82" s="135" cm="1">
        <f t="array" ref="G82">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1.2994000000000001</v>
      </c>
      <c r="H82" s="135" cm="1">
        <f t="array" ref="H82">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1.1623000000000001</v>
      </c>
      <c r="I82" s="135" cm="1">
        <f t="array" ref="I82">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1.1577</v>
      </c>
      <c r="J82" s="135" cm="1">
        <f t="array" ref="J82">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1.3102</v>
      </c>
      <c r="K82" s="135" cm="1">
        <f t="array" ref="K82">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1.0752999999999999</v>
      </c>
      <c r="M82" s="20" t="s">
        <v>63</v>
      </c>
      <c r="N82" s="20" t="s">
        <v>64</v>
      </c>
      <c r="O82" s="20" t="s">
        <v>66</v>
      </c>
      <c r="P82" s="20" t="s">
        <v>7</v>
      </c>
      <c r="Q82" s="135" cm="1">
        <f t="array" ref="Q82">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1.2994000000000001</v>
      </c>
      <c r="R82" s="135" cm="1">
        <f t="array" ref="R82">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1.3859999999999999</v>
      </c>
      <c r="S82" s="135" cm="1">
        <f t="array" ref="S82">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1.3087</v>
      </c>
      <c r="T82" s="135" cm="1">
        <f t="array" ref="T82">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1.4379999999999999</v>
      </c>
      <c r="U82" s="135" cm="1">
        <f t="array" ref="U82">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1.2191000000000001</v>
      </c>
    </row>
    <row r="83" spans="1:24" outlineLevel="1">
      <c r="C83" s="20" t="s">
        <v>67</v>
      </c>
      <c r="D83" s="20" t="s">
        <v>68</v>
      </c>
      <c r="E83" s="20" t="s">
        <v>65</v>
      </c>
      <c r="F83" s="20" t="s">
        <v>7</v>
      </c>
      <c r="G83" s="135" cm="1">
        <f t="array" ref="G83">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0.2893</v>
      </c>
      <c r="H83" s="135" cm="1">
        <f t="array" ref="H83">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3" s="135" cm="1">
        <f t="array" ref="I83">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3" s="135" cm="1">
        <f t="array" ref="J83">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3" s="135" cm="1">
        <f t="array" ref="K83">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3" s="20" t="s">
        <v>67</v>
      </c>
      <c r="N83" s="20" t="s">
        <v>68</v>
      </c>
      <c r="O83" s="20" t="s">
        <v>66</v>
      </c>
      <c r="P83" s="20" t="s">
        <v>7</v>
      </c>
      <c r="Q83" s="135" cm="1">
        <f t="array" ref="Q83">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0.33079999999999998</v>
      </c>
      <c r="R83" s="135" cm="1">
        <f t="array" ref="R83">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3" s="135" cm="1">
        <f t="array" ref="S83">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3" s="135" cm="1">
        <f t="array" ref="T83">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3" s="135" cm="1">
        <f t="array" ref="U83">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4" spans="1:24" ht="15.5" outlineLevel="1">
      <c r="A84" s="1" t="s">
        <v>18</v>
      </c>
      <c r="C84" s="20" t="s">
        <v>69</v>
      </c>
      <c r="D84" s="20" t="s">
        <v>68</v>
      </c>
      <c r="E84" s="20" t="s">
        <v>65</v>
      </c>
      <c r="F84" s="20" t="s">
        <v>7</v>
      </c>
      <c r="G84" s="135" cm="1">
        <f t="array" ref="G84">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0.307</v>
      </c>
      <c r="H84" s="135" cm="1">
        <f t="array" ref="H84">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4" s="135" cm="1">
        <f t="array" ref="I84">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4" s="135" cm="1">
        <f t="array" ref="J84">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4" s="135" cm="1">
        <f t="array" ref="K84">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4" s="20" t="s">
        <v>69</v>
      </c>
      <c r="N84" s="20" t="s">
        <v>68</v>
      </c>
      <c r="O84" s="20" t="s">
        <v>66</v>
      </c>
      <c r="P84" s="20" t="s">
        <v>7</v>
      </c>
      <c r="Q84" s="135" cm="1">
        <f t="array" ref="Q84">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0.36630000000000001</v>
      </c>
      <c r="R84" s="135" cm="1">
        <f t="array" ref="R84">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4" s="135" cm="1">
        <f t="array" ref="S84">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4" s="135" cm="1">
        <f t="array" ref="T84">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4" s="135" cm="1">
        <f t="array" ref="U84">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5" spans="1:24" ht="15.5" outlineLevel="1">
      <c r="A85" s="1"/>
      <c r="C85" s="20" t="s">
        <v>70</v>
      </c>
      <c r="D85" s="20" t="s">
        <v>68</v>
      </c>
      <c r="E85" s="20" t="s">
        <v>65</v>
      </c>
      <c r="F85" s="20" t="s">
        <v>7</v>
      </c>
      <c r="G85" s="135" cm="1">
        <f t="array" ref="G85">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v>
      </c>
      <c r="H85" s="135" cm="1">
        <f t="array" ref="H85">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0.217</v>
      </c>
      <c r="I85" s="135" cm="1">
        <f t="array" ref="I85">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0.23219999999999999</v>
      </c>
      <c r="J85" s="135" cm="1">
        <f t="array" ref="J85">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0.23330000000000001</v>
      </c>
      <c r="K85" s="135" cm="1">
        <f t="array" ref="K85">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0.23269999999999999</v>
      </c>
      <c r="M85" s="20" t="s">
        <v>70</v>
      </c>
      <c r="N85" s="20" t="s">
        <v>68</v>
      </c>
      <c r="O85" s="20" t="s">
        <v>66</v>
      </c>
      <c r="P85" s="20" t="s">
        <v>7</v>
      </c>
      <c r="Q85" s="135" cm="1">
        <f t="array" ref="Q85">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5" s="135" cm="1">
        <f t="array" ref="R85">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0.21659999999999999</v>
      </c>
      <c r="S85" s="135" cm="1">
        <f t="array" ref="S85">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0.24679999999999999</v>
      </c>
      <c r="T85" s="135" cm="1">
        <f t="array" ref="T85">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0.23330000000000001</v>
      </c>
      <c r="U85" s="135" cm="1">
        <f t="array" ref="U85">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0.22789999999999999</v>
      </c>
    </row>
    <row r="86" spans="1:24" ht="15.5" outlineLevel="1">
      <c r="A86" s="1"/>
      <c r="C86" s="20" t="s">
        <v>71</v>
      </c>
      <c r="D86" s="20" t="s">
        <v>64</v>
      </c>
      <c r="E86" s="20" t="s">
        <v>65</v>
      </c>
      <c r="F86" s="20" t="s">
        <v>7</v>
      </c>
      <c r="G86" s="135" cm="1">
        <f t="array" ref="G86">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1.2994000000000001</v>
      </c>
      <c r="H86" s="135" cm="1">
        <f t="array" ref="H86">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1.1623000000000001</v>
      </c>
      <c r="I86" s="135" cm="1">
        <f t="array" ref="I86">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1.1577</v>
      </c>
      <c r="J86" s="135" cm="1">
        <f t="array" ref="J86">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1.3102</v>
      </c>
      <c r="K86" s="135" cm="1">
        <f t="array" ref="K86">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1.0752999999999999</v>
      </c>
      <c r="M86" s="20" t="s">
        <v>71</v>
      </c>
      <c r="N86" s="20" t="s">
        <v>64</v>
      </c>
      <c r="O86" s="20" t="s">
        <v>66</v>
      </c>
      <c r="P86" s="20" t="s">
        <v>7</v>
      </c>
      <c r="Q86" s="135" cm="1">
        <f t="array" ref="Q86">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1.2994000000000001</v>
      </c>
      <c r="R86" s="135" cm="1">
        <f t="array" ref="R86">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1.3859999999999999</v>
      </c>
      <c r="S86" s="135" cm="1">
        <f t="array" ref="S86">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1.6514</v>
      </c>
      <c r="T86" s="135" cm="1">
        <f t="array" ref="T86">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1.4379999999999999</v>
      </c>
      <c r="U86" s="135" cm="1">
        <f t="array" ref="U86">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1.2191000000000001</v>
      </c>
    </row>
    <row r="87" spans="1:24" ht="15.5" outlineLevel="1">
      <c r="A87" s="1"/>
      <c r="C87" s="20" t="s">
        <v>72</v>
      </c>
      <c r="D87" s="20" t="s">
        <v>68</v>
      </c>
      <c r="E87" s="20" t="s">
        <v>65</v>
      </c>
      <c r="F87" s="20" t="s">
        <v>7</v>
      </c>
      <c r="G87" s="135" cm="1">
        <f t="array" ref="G87">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0.40810000000000002</v>
      </c>
      <c r="H87" s="135" cm="1">
        <f t="array" ref="H87">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0.30209999999999998</v>
      </c>
      <c r="I87" s="135" cm="1">
        <f t="array" ref="I87">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0.29670000000000002</v>
      </c>
      <c r="J87" s="135" cm="1">
        <f t="array" ref="J87">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0.32679999999999998</v>
      </c>
      <c r="K87" s="135" cm="1">
        <f t="array" ref="K87">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0.3251</v>
      </c>
      <c r="M87" s="20" t="s">
        <v>72</v>
      </c>
      <c r="N87" s="20" t="s">
        <v>68</v>
      </c>
      <c r="O87" s="20" t="s">
        <v>66</v>
      </c>
      <c r="P87" s="20" t="s">
        <v>7</v>
      </c>
      <c r="Q87" s="135" cm="1">
        <f t="array" ref="Q87">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0.35210000000000002</v>
      </c>
      <c r="R87" s="135" cm="1">
        <f t="array" ref="R87">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0.27850000000000003</v>
      </c>
      <c r="S87" s="135" cm="1">
        <f t="array" ref="S87">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0.2848</v>
      </c>
      <c r="T87" s="135" cm="1">
        <f t="array" ref="T87">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0.31380000000000002</v>
      </c>
      <c r="U87" s="135" cm="1">
        <f t="array" ref="U87">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0.29599999999999999</v>
      </c>
    </row>
    <row r="88" spans="1:24" ht="15.5" outlineLevel="1">
      <c r="A88" s="1"/>
      <c r="C88" s="20" t="s">
        <v>73</v>
      </c>
      <c r="D88" s="20" t="s">
        <v>68</v>
      </c>
      <c r="E88" s="20" t="s">
        <v>65</v>
      </c>
      <c r="F88" s="20" t="s">
        <v>7</v>
      </c>
      <c r="G88" s="135" cm="1">
        <f t="array" ref="G88">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0.19650000000000001</v>
      </c>
      <c r="H88" s="135" cm="1">
        <f t="array" ref="H88">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0.17349999999999999</v>
      </c>
      <c r="I88" s="135" cm="1">
        <f t="array" ref="I88">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0.18229999999999999</v>
      </c>
      <c r="J88" s="135" cm="1">
        <f t="array" ref="J88">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0.1855</v>
      </c>
      <c r="K88" s="135" cm="1">
        <f t="array" ref="K88">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0.18310000000000001</v>
      </c>
      <c r="M88" s="20" t="s">
        <v>73</v>
      </c>
      <c r="N88" s="20" t="s">
        <v>68</v>
      </c>
      <c r="O88" s="20" t="s">
        <v>66</v>
      </c>
      <c r="P88" s="20" t="s">
        <v>7</v>
      </c>
      <c r="Q88" s="135" cm="1">
        <f t="array" ref="Q88">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0.1817</v>
      </c>
      <c r="R88" s="135" cm="1">
        <f t="array" ref="R88">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0.1575</v>
      </c>
      <c r="S88" s="135" cm="1">
        <f t="array" ref="S88">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0.15479999999999999</v>
      </c>
      <c r="T88" s="135" cm="1">
        <f t="array" ref="T88">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0.1668</v>
      </c>
      <c r="U88" s="135" cm="1">
        <f t="array" ref="U88">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0.16009999999999999</v>
      </c>
    </row>
    <row r="89" spans="1:24" ht="15.5" outlineLevel="1">
      <c r="A89" s="1"/>
      <c r="C89" s="20" t="s">
        <v>74</v>
      </c>
      <c r="D89" s="20" t="s">
        <v>68</v>
      </c>
      <c r="E89" s="20" t="s">
        <v>65</v>
      </c>
      <c r="F89" s="20" t="s">
        <v>7</v>
      </c>
      <c r="G89" s="135" cm="1">
        <f t="array" ref="G89">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0.19620000000000001</v>
      </c>
      <c r="H89" s="135" cm="1">
        <f t="array" ref="H89">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0.15659999999999999</v>
      </c>
      <c r="I89" s="135" cm="1">
        <f t="array" ref="I89">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0.17610000000000001</v>
      </c>
      <c r="J89" s="135" cm="1">
        <f t="array" ref="J89">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0.1656</v>
      </c>
      <c r="K89" s="135" cm="1">
        <f t="array" ref="K89">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0.16309999999999999</v>
      </c>
      <c r="M89" s="40"/>
      <c r="N89" s="40"/>
      <c r="O89" s="20"/>
      <c r="P89" s="53" t="s">
        <v>7</v>
      </c>
      <c r="Q89" s="135" cm="1">
        <f t="array" ref="Q89">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9" s="135" cm="1">
        <f t="array" ref="R89">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9" s="135" cm="1">
        <f t="array" ref="S89">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9" s="135" cm="1">
        <f t="array" ref="T89">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9" s="135" cm="1">
        <f t="array" ref="U89">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90" spans="1:24" ht="15.5" outlineLevel="1">
      <c r="A90" s="1"/>
    </row>
    <row r="91" spans="1:24" ht="15.5" outlineLevel="1">
      <c r="A91" s="1"/>
      <c r="C91" s="26" t="s">
        <v>75</v>
      </c>
      <c r="H91" s="78"/>
      <c r="M91" s="26" t="s">
        <v>76</v>
      </c>
      <c r="R91" s="78"/>
      <c r="X91" s="71"/>
    </row>
    <row r="92" spans="1:24" ht="15.5" outlineLevel="2">
      <c r="A92" s="1"/>
      <c r="C92" s="153" t="s">
        <v>55</v>
      </c>
      <c r="D92" s="153" t="s">
        <v>56</v>
      </c>
      <c r="E92" s="153" t="s">
        <v>57</v>
      </c>
      <c r="F92" s="39" t="s">
        <v>7</v>
      </c>
      <c r="G92" s="54" t="s">
        <v>58</v>
      </c>
      <c r="H92" s="54" t="s">
        <v>59</v>
      </c>
      <c r="I92" s="54" t="s">
        <v>60</v>
      </c>
      <c r="J92" s="54" t="s">
        <v>61</v>
      </c>
      <c r="K92" s="76" t="s">
        <v>62</v>
      </c>
      <c r="M92" s="153" t="s">
        <v>55</v>
      </c>
      <c r="N92" s="153" t="s">
        <v>56</v>
      </c>
      <c r="O92" s="153" t="s">
        <v>57</v>
      </c>
      <c r="P92" s="39" t="s">
        <v>7</v>
      </c>
      <c r="Q92" s="54" t="s">
        <v>58</v>
      </c>
      <c r="R92" s="54" t="s">
        <v>59</v>
      </c>
      <c r="S92" s="54" t="s">
        <v>60</v>
      </c>
      <c r="T92" s="54" t="s">
        <v>61</v>
      </c>
      <c r="U92" s="76" t="s">
        <v>62</v>
      </c>
    </row>
    <row r="93" spans="1:24" ht="15.5" outlineLevel="2">
      <c r="A93" s="1"/>
      <c r="C93" s="20" t="s">
        <v>63</v>
      </c>
      <c r="D93" s="20" t="s">
        <v>64</v>
      </c>
      <c r="E93" s="20" t="s">
        <v>65</v>
      </c>
      <c r="F93" s="20" t="s">
        <v>7</v>
      </c>
      <c r="G93" s="56">
        <f>IF(SUMIFS(Calc_Rates!G$278:G$308,Calc_Rates!$C$278:$C$308,OP_Rates!$C93,Calc_Rates!$F$278:$F$308,OP_Rates!$E93)=0,"-",SUMIFS(Calc_Rates!G$278:G$308,Calc_Rates!$C$278:$C$308,OP_Rates!$C93,Calc_Rates!$F$278:$F$308,OP_Rates!$E93))</f>
        <v>1.2994255767551646</v>
      </c>
      <c r="H93" s="56">
        <f>IF(SUMIFS(Calc_Rates!H$278:H$308,Calc_Rates!$C$278:$C$308,OP_Rates!$C93,Calc_Rates!$F$278:$F$308,OP_Rates!$E93)=0,"-",SUMIFS(Calc_Rates!H$278:H$308,Calc_Rates!$C$278:$C$308,OP_Rates!$C93,Calc_Rates!$F$278:$F$308,OP_Rates!$E93))</f>
        <v>1.1623045707689168</v>
      </c>
      <c r="I93" s="56">
        <f>IF(SUMIFS(Calc_Rates!I$278:I$308,Calc_Rates!$C$278:$C$308,OP_Rates!$C93,Calc_Rates!$F$278:$F$308,OP_Rates!$E93)=0,"-",SUMIFS(Calc_Rates!I$278:I$308,Calc_Rates!$C$278:$C$308,OP_Rates!$C93,Calc_Rates!$F$278:$F$308,OP_Rates!$E93))</f>
        <v>1.1576609995152904</v>
      </c>
      <c r="J93" s="56">
        <f>IF(SUMIFS(Calc_Rates!J$278:J$308,Calc_Rates!$C$278:$C$308,OP_Rates!$C93,Calc_Rates!$F$278:$F$308,OP_Rates!$E93)=0,"-",SUMIFS(Calc_Rates!J$278:J$308,Calc_Rates!$C$278:$C$308,OP_Rates!$C93,Calc_Rates!$F$278:$F$308,OP_Rates!$E93))</f>
        <v>1.3101901872783883</v>
      </c>
      <c r="K93" s="56">
        <f>IF(SUMIFS(Calc_Rates!K$278:K$308,Calc_Rates!$C$278:$C$308,OP_Rates!$C93,Calc_Rates!$F$278:$F$308,OP_Rates!$E93)=0,"-",SUMIFS(Calc_Rates!K$278:K$308,Calc_Rates!$C$278:$C$308,OP_Rates!$C93,Calc_Rates!$F$278:$F$308,OP_Rates!$E93))</f>
        <v>1.0752552041537577</v>
      </c>
      <c r="M93" s="20" t="s">
        <v>63</v>
      </c>
      <c r="N93" s="20" t="s">
        <v>64</v>
      </c>
      <c r="O93" s="20" t="s">
        <v>66</v>
      </c>
      <c r="P93" s="20" t="s">
        <v>7</v>
      </c>
      <c r="Q93" s="56">
        <f>IF(SUMIFS(Calc_Rates!G$278:G$308,Calc_Rates!$C$278:$C$308,OP_Rates!$M93,Calc_Rates!$F$278:$F$308,OP_Rates!$O93)=0,"-",SUMIFS(Calc_Rates!G$278:G$308,Calc_Rates!$C$278:$C$308,OP_Rates!$M93,Calc_Rates!$F$278:$F$308,OP_Rates!$O93))</f>
        <v>1.2994255767551646</v>
      </c>
      <c r="R93" s="56">
        <f>IF(SUMIFS(Calc_Rates!H$278:H$308,Calc_Rates!$C$278:$C$308,OP_Rates!$M93,Calc_Rates!$F$278:$F$308,OP_Rates!$O93)=0,"-",SUMIFS(Calc_Rates!H$278:H$308,Calc_Rates!$C$278:$C$308,OP_Rates!$M93,Calc_Rates!$F$278:$F$308,OP_Rates!$O93))</f>
        <v>1.3860277627689166</v>
      </c>
      <c r="S93" s="56">
        <f>IF(SUMIFS(Calc_Rates!I$278:I$308,Calc_Rates!$C$278:$C$308,OP_Rates!$M93,Calc_Rates!$F$278:$F$308,OP_Rates!$O93)=0,"-",SUMIFS(Calc_Rates!I$278:I$308,Calc_Rates!$C$278:$C$308,OP_Rates!$M93,Calc_Rates!$F$278:$F$308,OP_Rates!$O93))</f>
        <v>1.3087037944741946</v>
      </c>
      <c r="T93" s="56">
        <f>IF(SUMIFS(Calc_Rates!J$278:J$308,Calc_Rates!$C$278:$C$308,OP_Rates!$M93,Calc_Rates!$F$278:$F$308,OP_Rates!$O93)=0,"-",SUMIFS(Calc_Rates!J$278:J$308,Calc_Rates!$C$278:$C$308,OP_Rates!$M93,Calc_Rates!$F$278:$F$308,OP_Rates!$O93))</f>
        <v>1.4380320112783882</v>
      </c>
      <c r="U93" s="56">
        <f>IF(SUMIFS(Calc_Rates!K$278:K$308,Calc_Rates!$C$278:$C$308,OP_Rates!$M93,Calc_Rates!$F$278:$F$308,OP_Rates!$O93)=0,"-",SUMIFS(Calc_Rates!K$278:K$308,Calc_Rates!$C$278:$C$308,OP_Rates!$M93,Calc_Rates!$F$278:$F$308,OP_Rates!$O93))</f>
        <v>1.2190772561537579</v>
      </c>
    </row>
    <row r="94" spans="1:24" ht="15.5" outlineLevel="2">
      <c r="A94" s="1"/>
      <c r="C94" s="20" t="s">
        <v>67</v>
      </c>
      <c r="D94" s="20" t="s">
        <v>68</v>
      </c>
      <c r="E94" s="20" t="s">
        <v>65</v>
      </c>
      <c r="F94" s="20" t="s">
        <v>7</v>
      </c>
      <c r="G94" s="56">
        <f>IF(SUMIFS(Calc_Rates!G$322:G$400,Calc_Rates!$C$322:$C$400,OP_Rates!$C94&amp;" charge",Calc_Rates!$F$322:$F$400,OP_Rates!$E94)=0,"-",SUMIFS(Calc_Rates!G$322:G$400,Calc_Rates!$C$322:$C$400,OP_Rates!$C94&amp;" charge",Calc_Rates!$F$322:$F$400,OP_Rates!$E94))</f>
        <v>0.28881635012917412</v>
      </c>
      <c r="H94" s="56" t="str">
        <f>IF(SUMIFS(Calc_Rates!H$322:H$400,Calc_Rates!$C$322:$C$400,OP_Rates!$C94&amp;" charge",Calc_Rates!$F$322:$F$400,OP_Rates!$E94)=0,"-",SUMIFS(Calc_Rates!H$322:H$400,Calc_Rates!$C$322:$C$400,OP_Rates!$C94&amp;" charge",Calc_Rates!$F$322:$F$400,OP_Rates!$E94))</f>
        <v>-</v>
      </c>
      <c r="I94" s="56" t="str">
        <f>IF(SUMIFS(Calc_Rates!I$322:I$400,Calc_Rates!$C$322:$C$400,OP_Rates!$C94&amp;" charge",Calc_Rates!$F$322:$F$400,OP_Rates!$E94)=0,"-",SUMIFS(Calc_Rates!I$322:I$400,Calc_Rates!$C$322:$C$400,OP_Rates!$C94&amp;" charge",Calc_Rates!$F$322:$F$400,OP_Rates!$E94))</f>
        <v>-</v>
      </c>
      <c r="J94" s="56" t="str">
        <f>IF(SUMIFS(Calc_Rates!J$322:J$400,Calc_Rates!$C$322:$C$400,OP_Rates!$C94&amp;" charge",Calc_Rates!$F$322:$F$400,OP_Rates!$E94)=0,"-",SUMIFS(Calc_Rates!J$322:J$400,Calc_Rates!$C$322:$C$400,OP_Rates!$C94&amp;" charge",Calc_Rates!$F$322:$F$400,OP_Rates!$E94))</f>
        <v>-</v>
      </c>
      <c r="K94" s="56" t="str">
        <f>IF(SUMIFS(Calc_Rates!K$322:K$400,Calc_Rates!$C$322:$C$400,OP_Rates!$C94&amp;" charge",Calc_Rates!$F$322:$F$400,OP_Rates!$E94)=0,"-",SUMIFS(Calc_Rates!K$322:K$400,Calc_Rates!$C$322:$C$400,OP_Rates!$C94&amp;" charge",Calc_Rates!$F$322:$F$400,OP_Rates!$E94))</f>
        <v>-</v>
      </c>
      <c r="M94" s="20" t="s">
        <v>67</v>
      </c>
      <c r="N94" s="20" t="s">
        <v>68</v>
      </c>
      <c r="O94" s="20" t="s">
        <v>66</v>
      </c>
      <c r="P94" s="20" t="s">
        <v>7</v>
      </c>
      <c r="Q94" s="56">
        <f>IF(SUMIFS(Calc_Rates!G$322:G$400,Calc_Rates!$C$322:$C$400,OP_Rates!$M94&amp;" charge",Calc_Rates!$F$322:$F$400,OP_Rates!$O94)=0,"-",SUMIFS(Calc_Rates!G$322:G$400,Calc_Rates!$C$322:$C$400,OP_Rates!$M94&amp;" charge",Calc_Rates!$F$322:$F$400,OP_Rates!$O94))</f>
        <v>0.33039999423444849</v>
      </c>
      <c r="R94" s="56" t="str">
        <f>IF(SUMIFS(Calc_Rates!H$322:H$400,Calc_Rates!$C$322:$C$400,OP_Rates!$M94&amp;" charge",Calc_Rates!$F$322:$F$400,OP_Rates!$O94)=0,"-",SUMIFS(Calc_Rates!H$322:H$400,Calc_Rates!$C$322:$C$400,OP_Rates!$M94&amp;" charge",Calc_Rates!$F$322:$F$400,OP_Rates!$O94))</f>
        <v>-</v>
      </c>
      <c r="S94" s="56" t="str">
        <f>IF(SUMIFS(Calc_Rates!I$322:I$400,Calc_Rates!$C$322:$C$400,OP_Rates!$M94&amp;" charge",Calc_Rates!$F$322:$F$400,OP_Rates!$O94)=0,"-",SUMIFS(Calc_Rates!I$322:I$400,Calc_Rates!$C$322:$C$400,OP_Rates!$M94&amp;" charge",Calc_Rates!$F$322:$F$400,OP_Rates!$O94))</f>
        <v>-</v>
      </c>
      <c r="T94" s="56" t="str">
        <f>IF(SUMIFS(Calc_Rates!J$322:J$400,Calc_Rates!$C$322:$C$400,OP_Rates!$M94&amp;" charge",Calc_Rates!$F$322:$F$400,OP_Rates!$O94)=0,"-",SUMIFS(Calc_Rates!J$322:J$400,Calc_Rates!$C$322:$C$400,OP_Rates!$M94&amp;" charge",Calc_Rates!$F$322:$F$400,OP_Rates!$O94))</f>
        <v>-</v>
      </c>
      <c r="U94" s="56" t="str">
        <f>IF(SUMIFS(Calc_Rates!K$322:K$400,Calc_Rates!$C$322:$C$400,OP_Rates!$M94&amp;" charge",Calc_Rates!$F$322:$F$400,OP_Rates!$O94)=0,"-",SUMIFS(Calc_Rates!K$322:K$400,Calc_Rates!$C$322:$C$400,OP_Rates!$M94&amp;" charge",Calc_Rates!$F$322:$F$400,OP_Rates!$O94))</f>
        <v>-</v>
      </c>
    </row>
    <row r="95" spans="1:24" ht="15.5" outlineLevel="2">
      <c r="A95" s="1"/>
      <c r="C95" s="20" t="s">
        <v>69</v>
      </c>
      <c r="D95" s="20" t="s">
        <v>68</v>
      </c>
      <c r="E95" s="20" t="s">
        <v>65</v>
      </c>
      <c r="F95" s="20" t="s">
        <v>7</v>
      </c>
      <c r="G95" s="56">
        <f>IF(SUMIFS(Calc_Rates!G$322:G$400,Calc_Rates!$C$322:$C$400,OP_Rates!$C95&amp;" charge",Calc_Rates!$F$322:$F$400,OP_Rates!$E95)=0,"-",SUMIFS(Calc_Rates!G$322:G$400,Calc_Rates!$C$322:$C$400,OP_Rates!$C95&amp;" charge",Calc_Rates!$F$322:$F$400,OP_Rates!$E95))</f>
        <v>0.30652290932917409</v>
      </c>
      <c r="H95" s="56" t="str">
        <f>IF(SUMIFS(Calc_Rates!H$322:H$400,Calc_Rates!$C$322:$C$400,OP_Rates!$C95&amp;" charge",Calc_Rates!$F$322:$F$400,OP_Rates!$E95)=0,"-",SUMIFS(Calc_Rates!H$322:H$400,Calc_Rates!$C$322:$C$400,OP_Rates!$C95&amp;" charge",Calc_Rates!$F$322:$F$400,OP_Rates!$E95))</f>
        <v>-</v>
      </c>
      <c r="I95" s="56" t="str">
        <f>IF(SUMIFS(Calc_Rates!I$322:I$400,Calc_Rates!$C$322:$C$400,OP_Rates!$C95&amp;" charge",Calc_Rates!$F$322:$F$400,OP_Rates!$E95)=0,"-",SUMIFS(Calc_Rates!I$322:I$400,Calc_Rates!$C$322:$C$400,OP_Rates!$C95&amp;" charge",Calc_Rates!$F$322:$F$400,OP_Rates!$E95))</f>
        <v>-</v>
      </c>
      <c r="J95" s="56" t="str">
        <f>IF(SUMIFS(Calc_Rates!J$322:J$400,Calc_Rates!$C$322:$C$400,OP_Rates!$C95&amp;" charge",Calc_Rates!$F$322:$F$400,OP_Rates!$E95)=0,"-",SUMIFS(Calc_Rates!J$322:J$400,Calc_Rates!$C$322:$C$400,OP_Rates!$C95&amp;" charge",Calc_Rates!$F$322:$F$400,OP_Rates!$E95))</f>
        <v>-</v>
      </c>
      <c r="K95" s="56" t="str">
        <f>IF(SUMIFS(Calc_Rates!K$322:K$400,Calc_Rates!$C$322:$C$400,OP_Rates!$C95&amp;" charge",Calc_Rates!$F$322:$F$400,OP_Rates!$E95)=0,"-",SUMIFS(Calc_Rates!K$322:K$400,Calc_Rates!$C$322:$C$400,OP_Rates!$C95&amp;" charge",Calc_Rates!$F$322:$F$400,OP_Rates!$E95))</f>
        <v>-</v>
      </c>
      <c r="M95" s="20" t="s">
        <v>69</v>
      </c>
      <c r="N95" s="20" t="s">
        <v>68</v>
      </c>
      <c r="O95" s="20" t="s">
        <v>66</v>
      </c>
      <c r="P95" s="20" t="s">
        <v>7</v>
      </c>
      <c r="Q95" s="56">
        <f>IF(SUMIFS(Calc_Rates!G$322:G$400,Calc_Rates!$C$322:$C$400,OP_Rates!$M95&amp;" charge",Calc_Rates!$F$322:$F$400,OP_Rates!$O95)=0,"-",SUMIFS(Calc_Rates!G$322:G$400,Calc_Rates!$C$322:$C$400,OP_Rates!$M95&amp;" charge",Calc_Rates!$F$322:$F$400,OP_Rates!$O95))</f>
        <v>0.36584344007444836</v>
      </c>
      <c r="R95" s="56" t="str">
        <f>IF(SUMIFS(Calc_Rates!H$322:H$400,Calc_Rates!$C$322:$C$400,OP_Rates!$M95&amp;" charge",Calc_Rates!$F$322:$F$400,OP_Rates!$O95)=0,"-",SUMIFS(Calc_Rates!H$322:H$400,Calc_Rates!$C$322:$C$400,OP_Rates!$M95&amp;" charge",Calc_Rates!$F$322:$F$400,OP_Rates!$O95))</f>
        <v>-</v>
      </c>
      <c r="S95" s="56" t="str">
        <f>IF(SUMIFS(Calc_Rates!I$322:I$400,Calc_Rates!$C$322:$C$400,OP_Rates!$M95&amp;" charge",Calc_Rates!$F$322:$F$400,OP_Rates!$O95)=0,"-",SUMIFS(Calc_Rates!I$322:I$400,Calc_Rates!$C$322:$C$400,OP_Rates!$M95&amp;" charge",Calc_Rates!$F$322:$F$400,OP_Rates!$O95))</f>
        <v>-</v>
      </c>
      <c r="T95" s="56" t="str">
        <f>IF(SUMIFS(Calc_Rates!J$322:J$400,Calc_Rates!$C$322:$C$400,OP_Rates!$M95&amp;" charge",Calc_Rates!$F$322:$F$400,OP_Rates!$O95)=0,"-",SUMIFS(Calc_Rates!J$322:J$400,Calc_Rates!$C$322:$C$400,OP_Rates!$M95&amp;" charge",Calc_Rates!$F$322:$F$400,OP_Rates!$O95))</f>
        <v>-</v>
      </c>
      <c r="U95" s="56" t="str">
        <f>IF(SUMIFS(Calc_Rates!K$322:K$400,Calc_Rates!$C$322:$C$400,OP_Rates!$M95&amp;" charge",Calc_Rates!$F$322:$F$400,OP_Rates!$O95)=0,"-",SUMIFS(Calc_Rates!K$322:K$400,Calc_Rates!$C$322:$C$400,OP_Rates!$M95&amp;" charge",Calc_Rates!$F$322:$F$400,OP_Rates!$O95))</f>
        <v>-</v>
      </c>
    </row>
    <row r="96" spans="1:24" outlineLevel="2">
      <c r="C96" s="20" t="s">
        <v>70</v>
      </c>
      <c r="D96" s="20" t="s">
        <v>68</v>
      </c>
      <c r="E96" s="20" t="s">
        <v>65</v>
      </c>
      <c r="F96" s="20" t="s">
        <v>7</v>
      </c>
      <c r="G96" s="56" t="str">
        <f>IF(SUMIFS(Calc_Rates!G$322:G$400,Calc_Rates!$C$322:$C$400,OP_Rates!$C96&amp;" charge",Calc_Rates!$F$322:$F$400,OP_Rates!$E96)=0,"-",SUMIFS(Calc_Rates!G$322:G$400,Calc_Rates!$C$322:$C$400,OP_Rates!$C96&amp;" charge",Calc_Rates!$F$322:$F$400,OP_Rates!$E96))</f>
        <v>-</v>
      </c>
      <c r="H96" s="56">
        <f>IF(SUMIFS(Calc_Rates!H$322:H$400,Calc_Rates!$C$322:$C$400,OP_Rates!$C96&amp;" charge",Calc_Rates!$F$322:$F$400,OP_Rates!$E96)=0,"-",SUMIFS(Calc_Rates!H$322:H$400,Calc_Rates!$C$322:$C$400,OP_Rates!$C96&amp;" charge",Calc_Rates!$F$322:$F$400,OP_Rates!$E96))</f>
        <v>0.21656303614182171</v>
      </c>
      <c r="I96" s="56">
        <f>IF(SUMIFS(Calc_Rates!I$322:I$400,Calc_Rates!$C$322:$C$400,OP_Rates!$C96&amp;" charge",Calc_Rates!$F$322:$F$400,OP_Rates!$E96)=0,"-",SUMIFS(Calc_Rates!I$322:I$400,Calc_Rates!$C$322:$C$400,OP_Rates!$C96&amp;" charge",Calc_Rates!$F$322:$F$400,OP_Rates!$E96))</f>
        <v>0.23173545415907634</v>
      </c>
      <c r="J96" s="56">
        <f>IF(SUMIFS(Calc_Rates!J$322:J$400,Calc_Rates!$C$322:$C$400,OP_Rates!$C96&amp;" charge",Calc_Rates!$F$322:$F$400,OP_Rates!$E96)=0,"-",SUMIFS(Calc_Rates!J$322:J$400,Calc_Rates!$C$322:$C$400,OP_Rates!$C96&amp;" charge",Calc_Rates!$F$322:$F$400,OP_Rates!$E96))</f>
        <v>0.23284356235156284</v>
      </c>
      <c r="K96" s="56">
        <f>IF(SUMIFS(Calc_Rates!K$322:K$400,Calc_Rates!$C$322:$C$400,OP_Rates!$C96&amp;" charge",Calc_Rates!$F$322:$F$400,OP_Rates!$E96)=0,"-",SUMIFS(Calc_Rates!K$322:K$400,Calc_Rates!$C$322:$C$400,OP_Rates!$C96&amp;" charge",Calc_Rates!$F$322:$F$400,OP_Rates!$E96))</f>
        <v>0.23224609885723921</v>
      </c>
      <c r="M96" s="20" t="s">
        <v>70</v>
      </c>
      <c r="N96" s="20" t="s">
        <v>68</v>
      </c>
      <c r="O96" s="20" t="s">
        <v>66</v>
      </c>
      <c r="P96" s="20" t="s">
        <v>7</v>
      </c>
      <c r="Q96" s="56" t="str">
        <f>IF(SUMIFS(Calc_Rates!G$322:G$400,Calc_Rates!$C$322:$C$400,OP_Rates!$M96&amp;" charge",Calc_Rates!$F$322:$F$400,OP_Rates!$O96)=0,"-",SUMIFS(Calc_Rates!G$322:G$400,Calc_Rates!$C$322:$C$400,OP_Rates!$M96&amp;" charge",Calc_Rates!$F$322:$F$400,OP_Rates!$O96))</f>
        <v>-</v>
      </c>
      <c r="R96" s="56">
        <f>IF(SUMIFS(Calc_Rates!H$322:H$400,Calc_Rates!$C$322:$C$400,OP_Rates!$M96&amp;" charge",Calc_Rates!$F$322:$F$400,OP_Rates!$O96)=0,"-",SUMIFS(Calc_Rates!H$322:H$400,Calc_Rates!$C$322:$C$400,OP_Rates!$M96&amp;" charge",Calc_Rates!$F$322:$F$400,OP_Rates!$O96))</f>
        <v>0.21622068798290336</v>
      </c>
      <c r="S96" s="56">
        <f>IF(SUMIFS(Calc_Rates!I$322:I$400,Calc_Rates!$C$322:$C$400,OP_Rates!$M96&amp;" charge",Calc_Rates!$F$322:$F$400,OP_Rates!$O96)=0,"-",SUMIFS(Calc_Rates!I$322:I$400,Calc_Rates!$C$322:$C$400,OP_Rates!$M96&amp;" charge",Calc_Rates!$F$322:$F$400,OP_Rates!$O96))</f>
        <v>0.24634475208398035</v>
      </c>
      <c r="T96" s="56">
        <f>IF(SUMIFS(Calc_Rates!J$322:J$400,Calc_Rates!$C$322:$C$400,OP_Rates!$M96&amp;" charge",Calc_Rates!$F$322:$F$400,OP_Rates!$O96)=0,"-",SUMIFS(Calc_Rates!J$322:J$400,Calc_Rates!$C$322:$C$400,OP_Rates!$M96&amp;" charge",Calc_Rates!$F$322:$F$400,OP_Rates!$O96))</f>
        <v>0.2328672489538397</v>
      </c>
      <c r="U96" s="56">
        <f>IF(SUMIFS(Calc_Rates!K$322:K$400,Calc_Rates!$C$322:$C$400,OP_Rates!$M96&amp;" charge",Calc_Rates!$F$322:$F$400,OP_Rates!$O96)=0,"-",SUMIFS(Calc_Rates!K$322:K$400,Calc_Rates!$C$322:$C$400,OP_Rates!$M96&amp;" charge",Calc_Rates!$F$322:$F$400,OP_Rates!$O96))</f>
        <v>0.22747120097087636</v>
      </c>
    </row>
    <row r="97" spans="3:23" outlineLevel="2">
      <c r="C97" s="20" t="s">
        <v>71</v>
      </c>
      <c r="D97" s="20" t="s">
        <v>64</v>
      </c>
      <c r="E97" s="20" t="s">
        <v>65</v>
      </c>
      <c r="F97" s="20" t="s">
        <v>7</v>
      </c>
      <c r="G97" s="56">
        <f>IF(SUMIFS(Calc_Rates!G$278:G$308,Calc_Rates!$C$278:$C$308,OP_Rates!$C97,Calc_Rates!$F$278:$F$308,OP_Rates!$E97)=0,"-",SUMIFS(Calc_Rates!G$278:G$308,Calc_Rates!$C$278:$C$308,OP_Rates!$C97,Calc_Rates!$F$278:$F$308,OP_Rates!$E97))</f>
        <v>1.2994255767551646</v>
      </c>
      <c r="H97" s="56">
        <f>IF(SUMIFS(Calc_Rates!H$278:H$308,Calc_Rates!$C$278:$C$308,OP_Rates!$C97,Calc_Rates!$F$278:$F$308,OP_Rates!$E97)=0,"-",SUMIFS(Calc_Rates!H$278:H$308,Calc_Rates!$C$278:$C$308,OP_Rates!$C97,Calc_Rates!$F$278:$F$308,OP_Rates!$E97))</f>
        <v>1.1623045707689168</v>
      </c>
      <c r="I97" s="56">
        <f>IF(SUMIFS(Calc_Rates!I$278:I$308,Calc_Rates!$C$278:$C$308,OP_Rates!$C97,Calc_Rates!$F$278:$F$308,OP_Rates!$E97)=0,"-",SUMIFS(Calc_Rates!I$278:I$308,Calc_Rates!$C$278:$C$308,OP_Rates!$C97,Calc_Rates!$F$278:$F$308,OP_Rates!$E97))</f>
        <v>1.1576609995152904</v>
      </c>
      <c r="J97" s="56">
        <f>IF(SUMIFS(Calc_Rates!J$278:J$308,Calc_Rates!$C$278:$C$308,OP_Rates!$C97,Calc_Rates!$F$278:$F$308,OP_Rates!$E97)=0,"-",SUMIFS(Calc_Rates!J$278:J$308,Calc_Rates!$C$278:$C$308,OP_Rates!$C97,Calc_Rates!$F$278:$F$308,OP_Rates!$E97))</f>
        <v>1.3101901872783883</v>
      </c>
      <c r="K97" s="56">
        <f>IF(SUMIFS(Calc_Rates!K$278:K$308,Calc_Rates!$C$278:$C$308,OP_Rates!$C97,Calc_Rates!$F$278:$F$308,OP_Rates!$E97)=0,"-",SUMIFS(Calc_Rates!K$278:K$308,Calc_Rates!$C$278:$C$308,OP_Rates!$C97,Calc_Rates!$F$278:$F$308,OP_Rates!$E97))</f>
        <v>1.0752552041537577</v>
      </c>
      <c r="M97" s="20" t="s">
        <v>71</v>
      </c>
      <c r="N97" s="20" t="s">
        <v>64</v>
      </c>
      <c r="O97" s="20" t="s">
        <v>66</v>
      </c>
      <c r="P97" s="20" t="s">
        <v>7</v>
      </c>
      <c r="Q97" s="56">
        <f>IF(SUMIFS(Calc_Rates!G$278:G$308,Calc_Rates!$C$278:$C$308,OP_Rates!$M97,Calc_Rates!$F$278:$F$308,OP_Rates!$O97)=0,"-",SUMIFS(Calc_Rates!G$278:G$308,Calc_Rates!$C$278:$C$308,OP_Rates!$M97,Calc_Rates!$F$278:$F$308,OP_Rates!$O97))</f>
        <v>1.2994255767551646</v>
      </c>
      <c r="R97" s="56">
        <f>IF(SUMIFS(Calc_Rates!H$278:H$308,Calc_Rates!$C$278:$C$308,OP_Rates!$M97,Calc_Rates!$F$278:$F$308,OP_Rates!$O97)=0,"-",SUMIFS(Calc_Rates!H$278:H$308,Calc_Rates!$C$278:$C$308,OP_Rates!$M97,Calc_Rates!$F$278:$F$308,OP_Rates!$O97))</f>
        <v>1.3860277627689166</v>
      </c>
      <c r="S97" s="56">
        <f>IF(SUMIFS(Calc_Rates!I$278:I$308,Calc_Rates!$C$278:$C$308,OP_Rates!$M97,Calc_Rates!$F$278:$F$308,OP_Rates!$O97)=0,"-",SUMIFS(Calc_Rates!I$278:I$308,Calc_Rates!$C$278:$C$308,OP_Rates!$M97,Calc_Rates!$F$278:$F$308,OP_Rates!$O97))</f>
        <v>1.6513687134878929</v>
      </c>
      <c r="T97" s="56">
        <f>IF(SUMIFS(Calc_Rates!J$278:J$308,Calc_Rates!$C$278:$C$308,OP_Rates!$M97,Calc_Rates!$F$278:$F$308,OP_Rates!$O97)=0,"-",SUMIFS(Calc_Rates!J$278:J$308,Calc_Rates!$C$278:$C$308,OP_Rates!$M97,Calc_Rates!$F$278:$F$308,OP_Rates!$O97))</f>
        <v>1.4380320112783882</v>
      </c>
      <c r="U97" s="56">
        <f>IF(SUMIFS(Calc_Rates!K$278:K$308,Calc_Rates!$C$278:$C$308,OP_Rates!$M97,Calc_Rates!$F$278:$F$308,OP_Rates!$O97)=0,"-",SUMIFS(Calc_Rates!K$278:K$308,Calc_Rates!$C$278:$C$308,OP_Rates!$M97,Calc_Rates!$F$278:$F$308,OP_Rates!$O97))</f>
        <v>1.2190772561537579</v>
      </c>
    </row>
    <row r="98" spans="3:23" outlineLevel="2">
      <c r="C98" s="20" t="s">
        <v>72</v>
      </c>
      <c r="D98" s="20" t="s">
        <v>68</v>
      </c>
      <c r="E98" s="20" t="s">
        <v>65</v>
      </c>
      <c r="F98" s="20" t="s">
        <v>7</v>
      </c>
      <c r="G98" s="56">
        <f>IF(SUMIFS(Calc_Rates!G$322:G$400,Calc_Rates!$C$322:$C$400,OP_Rates!$C98&amp;" charge",Calc_Rates!$F$322:$F$400,OP_Rates!$E98)=0,"-",SUMIFS(Calc_Rates!G$322:G$400,Calc_Rates!$C$322:$C$400,OP_Rates!$C98&amp;" charge",Calc_Rates!$F$322:$F$400,OP_Rates!$E98))</f>
        <v>0.40764509224917411</v>
      </c>
      <c r="H98" s="56">
        <f>IF(SUMIFS(Calc_Rates!H$322:H$400,Calc_Rates!$C$322:$C$400,OP_Rates!$C98&amp;" charge",Calc_Rates!$F$322:$F$400,OP_Rates!$E98)=0,"-",SUMIFS(Calc_Rates!H$322:H$400,Calc_Rates!$C$322:$C$400,OP_Rates!$C98&amp;" charge",Calc_Rates!$F$322:$F$400,OP_Rates!$E98))</f>
        <v>0.30171315614182159</v>
      </c>
      <c r="I98" s="56">
        <f>IF(SUMIFS(Calc_Rates!I$322:I$400,Calc_Rates!$C$322:$C$400,OP_Rates!$C98&amp;" charge",Calc_Rates!$F$322:$F$400,OP_Rates!$E98)=0,"-",SUMIFS(Calc_Rates!I$322:I$400,Calc_Rates!$C$322:$C$400,OP_Rates!$C98&amp;" charge",Calc_Rates!$F$322:$F$400,OP_Rates!$E98))</f>
        <v>0.29623958615907631</v>
      </c>
      <c r="J98" s="56">
        <f>IF(SUMIFS(Calc_Rates!J$322:J$400,Calc_Rates!$C$322:$C$400,OP_Rates!$C98&amp;" charge",Calc_Rates!$F$322:$F$400,OP_Rates!$E98)=0,"-",SUMIFS(Calc_Rates!J$322:J$400,Calc_Rates!$C$322:$C$400,OP_Rates!$C98&amp;" charge",Calc_Rates!$F$322:$F$400,OP_Rates!$E98))</f>
        <v>0.32639205035156288</v>
      </c>
      <c r="K98" s="56">
        <f>IF(SUMIFS(Calc_Rates!K$322:K$400,Calc_Rates!$C$322:$C$400,OP_Rates!$C98&amp;" charge",Calc_Rates!$F$322:$F$400,OP_Rates!$E98)=0,"-",SUMIFS(Calc_Rates!K$322:K$400,Calc_Rates!$C$322:$C$400,OP_Rates!$C98&amp;" charge",Calc_Rates!$F$322:$F$400,OP_Rates!$E98))</f>
        <v>0.32462814685723923</v>
      </c>
      <c r="M98" s="20" t="s">
        <v>72</v>
      </c>
      <c r="N98" s="20" t="s">
        <v>68</v>
      </c>
      <c r="O98" s="20" t="s">
        <v>66</v>
      </c>
      <c r="P98" s="20" t="s">
        <v>7</v>
      </c>
      <c r="Q98" s="56">
        <f>IF(SUMIFS(Calc_Rates!G$322:G$400,Calc_Rates!$C$322:$C$400,OP_Rates!$M98&amp;" charge",Calc_Rates!$F$322:$F$400,OP_Rates!$O98)=0,"-",SUMIFS(Calc_Rates!G$322:G$400,Calc_Rates!$C$322:$C$400,OP_Rates!$M98&amp;" charge",Calc_Rates!$F$322:$F$400,OP_Rates!$O98))</f>
        <v>0.35163153511444845</v>
      </c>
      <c r="R98" s="56">
        <f>IF(SUMIFS(Calc_Rates!H$322:H$400,Calc_Rates!$C$322:$C$400,OP_Rates!$M98&amp;" charge",Calc_Rates!$F$322:$F$400,OP_Rates!$O98)=0,"-",SUMIFS(Calc_Rates!H$322:H$400,Calc_Rates!$C$322:$C$400,OP_Rates!$M98&amp;" charge",Calc_Rates!$F$322:$F$400,OP_Rates!$O98))</f>
        <v>0.27804200798290335</v>
      </c>
      <c r="S98" s="56">
        <f>IF(SUMIFS(Calc_Rates!I$322:I$400,Calc_Rates!$C$322:$C$400,OP_Rates!$M98&amp;" charge",Calc_Rates!$F$322:$F$400,OP_Rates!$O98)=0,"-",SUMIFS(Calc_Rates!I$322:I$400,Calc_Rates!$C$322:$C$400,OP_Rates!$M98&amp;" charge",Calc_Rates!$F$322:$F$400,OP_Rates!$O98))</f>
        <v>0.28435903168398036</v>
      </c>
      <c r="T98" s="56">
        <f>IF(SUMIFS(Calc_Rates!J$322:J$400,Calc_Rates!$C$322:$C$400,OP_Rates!$M98&amp;" charge",Calc_Rates!$F$322:$F$400,OP_Rates!$O98)=0,"-",SUMIFS(Calc_Rates!J$322:J$400,Calc_Rates!$C$322:$C$400,OP_Rates!$M98&amp;" charge",Calc_Rates!$F$322:$F$400,OP_Rates!$O98))</f>
        <v>0.31335160895383979</v>
      </c>
      <c r="U98" s="56">
        <f>IF(SUMIFS(Calc_Rates!K$322:K$400,Calc_Rates!$C$322:$C$400,OP_Rates!$M98&amp;" charge",Calc_Rates!$F$322:$F$400,OP_Rates!$O98)=0,"-",SUMIFS(Calc_Rates!K$322:K$400,Calc_Rates!$C$322:$C$400,OP_Rates!$M98&amp;" charge",Calc_Rates!$F$322:$F$400,OP_Rates!$O98))</f>
        <v>0.29559129697087638</v>
      </c>
    </row>
    <row r="99" spans="3:23" outlineLevel="2">
      <c r="C99" s="20" t="s">
        <v>73</v>
      </c>
      <c r="D99" s="20" t="s">
        <v>68</v>
      </c>
      <c r="E99" s="20" t="s">
        <v>65</v>
      </c>
      <c r="F99" s="20" t="s">
        <v>7</v>
      </c>
      <c r="G99" s="56">
        <f>IF(SUMIFS(Calc_Rates!G$322:G$400,Calc_Rates!$C$322:$C$400,OP_Rates!$C99&amp;" charge",Calc_Rates!$F$322:$F$400,OP_Rates!$E99)=0,"-",SUMIFS(Calc_Rates!G$322:G$400,Calc_Rates!$C$322:$C$400,OP_Rates!$C99&amp;" charge",Calc_Rates!$F$322:$F$400,OP_Rates!$E99))</f>
        <v>0.19609370164917411</v>
      </c>
      <c r="H99" s="56">
        <f>IF(SUMIFS(Calc_Rates!H$322:H$400,Calc_Rates!$C$322:$C$400,OP_Rates!$C99&amp;" charge",Calc_Rates!$F$322:$F$400,OP_Rates!$E99)=0,"-",SUMIFS(Calc_Rates!H$322:H$400,Calc_Rates!$C$322:$C$400,OP_Rates!$C99&amp;" charge",Calc_Rates!$F$322:$F$400,OP_Rates!$E99))</f>
        <v>0.17305482414182166</v>
      </c>
      <c r="I99" s="56">
        <f>IF(SUMIFS(Calc_Rates!I$322:I$400,Calc_Rates!$C$322:$C$400,OP_Rates!$C99&amp;" charge",Calc_Rates!$F$322:$F$400,OP_Rates!$E99)=0,"-",SUMIFS(Calc_Rates!I$322:I$400,Calc_Rates!$C$322:$C$400,OP_Rates!$C99&amp;" charge",Calc_Rates!$F$322:$F$400,OP_Rates!$E99))</f>
        <v>0.18192846615907635</v>
      </c>
      <c r="J99" s="56">
        <f>IF(SUMIFS(Calc_Rates!J$322:J$400,Calc_Rates!$C$322:$C$400,OP_Rates!$C99&amp;" charge",Calc_Rates!$F$322:$F$400,OP_Rates!$E99)=0,"-",SUMIFS(Calc_Rates!J$322:J$400,Calc_Rates!$C$322:$C$400,OP_Rates!$C99&amp;" charge",Calc_Rates!$F$322:$F$400,OP_Rates!$E99))</f>
        <v>0.18501952235156283</v>
      </c>
      <c r="K99" s="56">
        <f>IF(SUMIFS(Calc_Rates!K$322:K$400,Calc_Rates!$C$322:$C$400,OP_Rates!$C99&amp;" charge",Calc_Rates!$F$322:$F$400,OP_Rates!$E99)=0,"-",SUMIFS(Calc_Rates!K$322:K$400,Calc_Rates!$C$322:$C$400,OP_Rates!$C99&amp;" charge",Calc_Rates!$F$322:$F$400,OP_Rates!$E99))</f>
        <v>0.18267239885723921</v>
      </c>
      <c r="M99" s="20" t="s">
        <v>73</v>
      </c>
      <c r="N99" s="20" t="s">
        <v>68</v>
      </c>
      <c r="O99" s="20" t="s">
        <v>66</v>
      </c>
      <c r="P99" s="20" t="s">
        <v>7</v>
      </c>
      <c r="Q99" s="56">
        <f>IF(SUMIFS(Calc_Rates!G$322:G$400,Calc_Rates!$C$322:$C$400,OP_Rates!$M99&amp;" charge",Calc_Rates!$F$322:$F$400,OP_Rates!$O99)=0,"-",SUMIFS(Calc_Rates!G$322:G$400,Calc_Rates!$C$322:$C$400,OP_Rates!$M99&amp;" charge",Calc_Rates!$F$322:$F$400,OP_Rates!$O99))</f>
        <v>0.18125314363444839</v>
      </c>
      <c r="R99" s="56">
        <f>IF(SUMIFS(Calc_Rates!H$322:H$400,Calc_Rates!$C$322:$C$400,OP_Rates!$M99&amp;" charge",Calc_Rates!$F$322:$F$400,OP_Rates!$O99)=0,"-",SUMIFS(Calc_Rates!H$322:H$400,Calc_Rates!$C$322:$C$400,OP_Rates!$M99&amp;" charge",Calc_Rates!$F$322:$F$400,OP_Rates!$O99))</f>
        <v>0.15708217998290336</v>
      </c>
      <c r="S99" s="56">
        <f>IF(SUMIFS(Calc_Rates!I$322:I$400,Calc_Rates!$C$322:$C$400,OP_Rates!$M99&amp;" charge",Calc_Rates!$F$322:$F$400,OP_Rates!$O99)=0,"-",SUMIFS(Calc_Rates!I$322:I$400,Calc_Rates!$C$322:$C$400,OP_Rates!$M99&amp;" charge",Calc_Rates!$F$322:$F$400,OP_Rates!$O99))</f>
        <v>0.15434762928398035</v>
      </c>
      <c r="T99" s="56">
        <f>IF(SUMIFS(Calc_Rates!J$322:J$400,Calc_Rates!$C$322:$C$400,OP_Rates!$M99&amp;" charge",Calc_Rates!$F$322:$F$400,OP_Rates!$O99)=0,"-",SUMIFS(Calc_Rates!J$322:J$400,Calc_Rates!$C$322:$C$400,OP_Rates!$M99&amp;" charge",Calc_Rates!$F$322:$F$400,OP_Rates!$O99))</f>
        <v>0.16638016895383972</v>
      </c>
      <c r="U99" s="56">
        <f>IF(SUMIFS(Calc_Rates!K$322:K$400,Calc_Rates!$C$322:$C$400,OP_Rates!$M99&amp;" charge",Calc_Rates!$F$322:$F$400,OP_Rates!$O99)=0,"-",SUMIFS(Calc_Rates!K$322:K$400,Calc_Rates!$C$322:$C$400,OP_Rates!$M99&amp;" charge",Calc_Rates!$F$322:$F$400,OP_Rates!$O99))</f>
        <v>0.15970103697087634</v>
      </c>
    </row>
    <row r="100" spans="3:23" outlineLevel="2">
      <c r="C100" s="20" t="s">
        <v>74</v>
      </c>
      <c r="D100" s="20" t="s">
        <v>68</v>
      </c>
      <c r="E100" s="20" t="s">
        <v>65</v>
      </c>
      <c r="F100" s="20" t="s">
        <v>7</v>
      </c>
      <c r="G100" s="56">
        <f>IF(SUMIFS(Calc_Rates!G$322:G$400,Calc_Rates!$C$322:$C$400,OP_Rates!$C100&amp;" charge",Calc_Rates!$F$322:$F$400,OP_Rates!$E100)=0,"-",SUMIFS(Calc_Rates!G$322:G$400,Calc_Rates!$C$322:$C$400,OP_Rates!$C100&amp;" charge",Calc_Rates!$F$322:$F$400,OP_Rates!$E100))</f>
        <v>0.19579859232917413</v>
      </c>
      <c r="H100" s="56">
        <f>IF(SUMIFS(Calc_Rates!H$322:H$400,Calc_Rates!$C$322:$C$400,OP_Rates!$C100&amp;" charge",Calc_Rates!$F$322:$F$400,OP_Rates!$E100)=0,"-",SUMIFS(Calc_Rates!H$322:H$400,Calc_Rates!$C$322:$C$400,OP_Rates!$C100&amp;" charge",Calc_Rates!$F$322:$F$400,OP_Rates!$E100))</f>
        <v>0.15614144414182168</v>
      </c>
      <c r="I100" s="56">
        <f>IF(SUMIFS(Calc_Rates!I$322:I$400,Calc_Rates!$C$322:$C$400,OP_Rates!$C100&amp;" charge",Calc_Rates!$F$322:$F$400,OP_Rates!$E100)=0,"-",SUMIFS(Calc_Rates!I$322:I$400,Calc_Rates!$C$322:$C$400,OP_Rates!$C100&amp;" charge",Calc_Rates!$F$322:$F$400,OP_Rates!$E100))</f>
        <v>0.17571134095907634</v>
      </c>
      <c r="J100" s="56">
        <f>IF(SUMIFS(Calc_Rates!J$322:J$400,Calc_Rates!$C$322:$C$400,OP_Rates!$C100&amp;" charge",Calc_Rates!$F$322:$F$400,OP_Rates!$E100)=0,"-",SUMIFS(Calc_Rates!J$322:J$400,Calc_Rates!$C$322:$C$400,OP_Rates!$C100&amp;" charge",Calc_Rates!$F$322:$F$400,OP_Rates!$E100))</f>
        <v>0.16519004235156284</v>
      </c>
      <c r="K100" s="56">
        <f>IF(SUMIFS(Calc_Rates!K$322:K$400,Calc_Rates!$C$322:$C$400,OP_Rates!$C100&amp;" charge",Calc_Rates!$F$322:$F$400,OP_Rates!$E100)=0,"-",SUMIFS(Calc_Rates!K$322:K$400,Calc_Rates!$C$322:$C$400,OP_Rates!$C100&amp;" charge",Calc_Rates!$F$322:$F$400,OP_Rates!$E100))</f>
        <v>0.1627262748572392</v>
      </c>
      <c r="M100" s="20"/>
      <c r="N100" s="20"/>
      <c r="O100" s="20"/>
      <c r="P100" s="20" t="s">
        <v>7</v>
      </c>
      <c r="Q100" s="56"/>
      <c r="R100" s="56"/>
      <c r="S100" s="56"/>
      <c r="T100" s="56"/>
      <c r="U100" s="56"/>
    </row>
    <row r="101" spans="3:23" outlineLevel="1"/>
    <row r="102" spans="3:23" ht="15.5" outlineLevel="1">
      <c r="C102" s="26" t="s">
        <v>77</v>
      </c>
      <c r="M102" s="26" t="s">
        <v>78</v>
      </c>
    </row>
    <row r="103" spans="3:23" ht="15.5" outlineLevel="2">
      <c r="C103" s="153" t="s">
        <v>55</v>
      </c>
      <c r="D103" s="153" t="s">
        <v>56</v>
      </c>
      <c r="E103" s="153" t="s">
        <v>57</v>
      </c>
      <c r="F103" s="39" t="s">
        <v>32</v>
      </c>
      <c r="G103" s="54" t="s">
        <v>58</v>
      </c>
      <c r="H103" s="54" t="s">
        <v>59</v>
      </c>
      <c r="I103" s="54" t="s">
        <v>60</v>
      </c>
      <c r="J103" s="54" t="s">
        <v>61</v>
      </c>
      <c r="K103" s="76" t="s">
        <v>62</v>
      </c>
      <c r="M103" s="153" t="s">
        <v>55</v>
      </c>
      <c r="N103" s="153" t="s">
        <v>56</v>
      </c>
      <c r="O103" s="153" t="s">
        <v>57</v>
      </c>
      <c r="P103" s="39" t="s">
        <v>32</v>
      </c>
      <c r="Q103" s="54" t="s">
        <v>58</v>
      </c>
      <c r="R103" s="54" t="s">
        <v>59</v>
      </c>
      <c r="S103" s="54" t="s">
        <v>60</v>
      </c>
      <c r="T103" s="54" t="s">
        <v>61</v>
      </c>
      <c r="U103" s="76" t="s">
        <v>62</v>
      </c>
    </row>
    <row r="104" spans="3:23" outlineLevel="2">
      <c r="C104" s="53" t="s">
        <v>79</v>
      </c>
      <c r="D104" s="53" t="s">
        <v>64</v>
      </c>
      <c r="E104" s="53" t="s">
        <v>65</v>
      </c>
      <c r="F104" s="53" t="s">
        <v>80</v>
      </c>
      <c r="G104" s="154" t="str" cm="1">
        <f t="array" ref="G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4" s="154" t="str" cm="1">
        <f t="array" ref="H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4" s="154" t="str" cm="1">
        <f t="array" ref="I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4" s="154" t="str" cm="1">
        <f t="array" ref="J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4" s="154" t="str" cm="1">
        <f t="array" ref="K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4" s="53" t="s">
        <v>79</v>
      </c>
      <c r="N104" s="53" t="s">
        <v>64</v>
      </c>
      <c r="O104" s="53" t="s">
        <v>66</v>
      </c>
      <c r="P104" s="53" t="s">
        <v>80</v>
      </c>
      <c r="Q104" s="154" t="str" cm="1">
        <f t="array" ref="Q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4" s="154" t="str" cm="1">
        <f t="array" ref="R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4" s="154" t="str" cm="1">
        <f t="array" ref="S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4" s="154" t="str" cm="1">
        <f t="array" ref="T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4" s="154" t="str" cm="1">
        <f t="array" ref="U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5" spans="3:23" outlineLevel="2">
      <c r="C105" s="53" t="s">
        <v>81</v>
      </c>
      <c r="D105" s="53" t="s">
        <v>64</v>
      </c>
      <c r="E105" s="53" t="s">
        <v>65</v>
      </c>
      <c r="F105" s="53" t="s">
        <v>80</v>
      </c>
      <c r="G105" s="154" t="str" cm="1">
        <f t="array" ref="G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5" s="154" t="str" cm="1">
        <f t="array" ref="H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5" s="154" t="str" cm="1">
        <f t="array" ref="I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5" s="154" t="str" cm="1">
        <f t="array" ref="J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5" s="154" t="str" cm="1">
        <f t="array" ref="K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5" s="53" t="s">
        <v>81</v>
      </c>
      <c r="N105" s="53" t="s">
        <v>64</v>
      </c>
      <c r="O105" s="53" t="s">
        <v>66</v>
      </c>
      <c r="P105" s="53" t="s">
        <v>80</v>
      </c>
      <c r="Q105" s="154" t="str" cm="1">
        <f t="array" ref="Q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5" s="154" t="str" cm="1">
        <f t="array" ref="R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5" s="154" t="str" cm="1">
        <f t="array" ref="S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5" s="154" t="str" cm="1">
        <f t="array" ref="T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5" s="154" t="str" cm="1">
        <f t="array" ref="U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c r="W105" s="71"/>
    </row>
    <row r="106" spans="3:23" outlineLevel="2">
      <c r="C106" s="53" t="s">
        <v>74</v>
      </c>
      <c r="D106" s="53" t="s">
        <v>68</v>
      </c>
      <c r="E106" s="53" t="s">
        <v>65</v>
      </c>
      <c r="F106" s="53" t="s">
        <v>80</v>
      </c>
      <c r="G106" s="154" t="str" cm="1">
        <f t="array" ref="G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6" s="154" t="str" cm="1">
        <f t="array" ref="H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6" s="154" t="str" cm="1">
        <f t="array" ref="I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6" s="154" t="str" cm="1">
        <f t="array" ref="J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6" s="154" t="str" cm="1">
        <f t="array" ref="K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6" s="53"/>
      <c r="N106" s="53"/>
      <c r="O106" s="53"/>
      <c r="P106" s="53"/>
      <c r="Q106" s="154" t="str" cm="1">
        <f t="array" ref="Q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6" s="154" t="str" cm="1">
        <f t="array" ref="R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6" s="154" t="str" cm="1">
        <f t="array" ref="S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6" s="154" t="str" cm="1">
        <f t="array" ref="T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6" s="154" t="str" cm="1">
        <f t="array" ref="U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7" spans="3:23" outlineLevel="2">
      <c r="C107" s="53" t="s">
        <v>67</v>
      </c>
      <c r="D107" s="53" t="s">
        <v>68</v>
      </c>
      <c r="E107" s="53" t="s">
        <v>65</v>
      </c>
      <c r="F107" s="53" t="s">
        <v>82</v>
      </c>
      <c r="G107" s="154" cm="1">
        <f t="array" ref="G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07" s="154" cm="1">
        <f t="array" ref="H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7" s="154" cm="1">
        <f t="array" ref="I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7" s="154" cm="1">
        <f t="array" ref="J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7" s="154" cm="1">
        <f t="array" ref="K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7" s="53" t="s">
        <v>67</v>
      </c>
      <c r="N107" s="53" t="s">
        <v>68</v>
      </c>
      <c r="O107" s="53" t="s">
        <v>66</v>
      </c>
      <c r="P107" s="53" t="s">
        <v>82</v>
      </c>
      <c r="Q107" s="154" cm="1">
        <f t="array" ref="Q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4.3609479704997934E-4</v>
      </c>
      <c r="R107" s="154" cm="1">
        <f t="array" ref="R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7" s="154" cm="1">
        <f t="array" ref="S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7" s="154" cm="1">
        <f t="array" ref="T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7" s="154" cm="1">
        <f t="array" ref="U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8" spans="3:23" outlineLevel="2">
      <c r="C108" s="53" t="s">
        <v>69</v>
      </c>
      <c r="D108" s="53" t="s">
        <v>68</v>
      </c>
      <c r="E108" s="53" t="s">
        <v>65</v>
      </c>
      <c r="F108" s="53" t="s">
        <v>82</v>
      </c>
      <c r="G108" s="154" cm="1">
        <f t="array" ref="G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08" s="154" cm="1">
        <f t="array" ref="H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8" s="154" cm="1">
        <f t="array" ref="I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8" s="154" cm="1">
        <f t="array" ref="J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8" s="154" cm="1">
        <f t="array" ref="K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8" s="53" t="s">
        <v>69</v>
      </c>
      <c r="N108" s="53" t="s">
        <v>68</v>
      </c>
      <c r="O108" s="53" t="s">
        <v>66</v>
      </c>
      <c r="P108" s="53" t="s">
        <v>82</v>
      </c>
      <c r="Q108" s="154" cm="1">
        <f t="array" ref="Q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4.3609479704997934E-4</v>
      </c>
      <c r="R108" s="154" cm="1">
        <f t="array" ref="R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8" s="154" cm="1">
        <f t="array" ref="S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8" s="154" cm="1">
        <f t="array" ref="T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8" s="154" cm="1">
        <f t="array" ref="U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9" spans="3:23" outlineLevel="2">
      <c r="C109" s="53" t="s">
        <v>70</v>
      </c>
      <c r="D109" s="53" t="s">
        <v>68</v>
      </c>
      <c r="E109" s="53" t="s">
        <v>65</v>
      </c>
      <c r="F109" s="53" t="s">
        <v>82</v>
      </c>
      <c r="G109" s="154" cm="1">
        <f t="array" ref="G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0</v>
      </c>
      <c r="H109" s="154" cm="1">
        <f t="array" ref="H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4.2329571152283947E-4</v>
      </c>
      <c r="I109" s="154" cm="1">
        <f t="array" ref="I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4.2108355321215024E-4</v>
      </c>
      <c r="J109" s="154" cm="1">
        <f t="array" ref="J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4.3289302051611621E-4</v>
      </c>
      <c r="K109" s="154" cm="1">
        <f t="array" ref="K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4.2336209237385492E-4</v>
      </c>
      <c r="M109" s="53" t="s">
        <v>70</v>
      </c>
      <c r="N109" s="53" t="s">
        <v>68</v>
      </c>
      <c r="O109" s="53" t="s">
        <v>66</v>
      </c>
      <c r="P109" s="53" t="s">
        <v>82</v>
      </c>
      <c r="Q109" s="154" cm="1">
        <f t="array" ref="Q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v>
      </c>
      <c r="R109" s="154" cm="1">
        <f t="array" ref="R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4.2329571152283947E-4</v>
      </c>
      <c r="S109" s="154" cm="1">
        <f t="array" ref="S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4.2108355321215024E-4</v>
      </c>
      <c r="T109" s="154" cm="1">
        <f t="array" ref="T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4.3289302051611621E-4</v>
      </c>
      <c r="U109" s="154" cm="1">
        <f t="array" ref="U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4.2336209237385492E-4</v>
      </c>
    </row>
    <row r="110" spans="3:23" outlineLevel="2">
      <c r="C110" s="53" t="s">
        <v>72</v>
      </c>
      <c r="D110" s="53" t="s">
        <v>68</v>
      </c>
      <c r="E110" s="53" t="s">
        <v>65</v>
      </c>
      <c r="F110" s="53" t="s">
        <v>82</v>
      </c>
      <c r="G110" s="154" cm="1">
        <f t="array" ref="G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10" s="154" cm="1">
        <f t="array" ref="H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4.2329571152283947E-4</v>
      </c>
      <c r="I110" s="154" cm="1">
        <f t="array" ref="I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4.2108355321215024E-4</v>
      </c>
      <c r="J110" s="154" cm="1">
        <f t="array" ref="J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4.3289302051611621E-4</v>
      </c>
      <c r="K110" s="154" cm="1">
        <f t="array" ref="K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4.2336209237385492E-4</v>
      </c>
      <c r="M110" s="53" t="s">
        <v>72</v>
      </c>
      <c r="N110" s="53" t="s">
        <v>68</v>
      </c>
      <c r="O110" s="53" t="s">
        <v>66</v>
      </c>
      <c r="P110" s="53" t="s">
        <v>82</v>
      </c>
      <c r="Q110" s="154" cm="1">
        <f t="array" ref="Q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4.3609479704997934E-4</v>
      </c>
      <c r="R110" s="154" cm="1">
        <f t="array" ref="R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4.2329571152283947E-4</v>
      </c>
      <c r="S110" s="154" cm="1">
        <f t="array" ref="S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4.2108355321215024E-4</v>
      </c>
      <c r="T110" s="154" cm="1">
        <f t="array" ref="T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4.3289302051611621E-4</v>
      </c>
      <c r="U110" s="154" cm="1">
        <f t="array" ref="U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4.2336209237385492E-4</v>
      </c>
    </row>
    <row r="111" spans="3:23" outlineLevel="2">
      <c r="C111" s="53" t="s">
        <v>73</v>
      </c>
      <c r="D111" s="53" t="s">
        <v>68</v>
      </c>
      <c r="E111" s="53" t="s">
        <v>65</v>
      </c>
      <c r="F111" s="53" t="s">
        <v>82</v>
      </c>
      <c r="G111" s="154" cm="1">
        <f t="array" ref="G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11" s="154" cm="1">
        <f t="array" ref="H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4.2329571152283947E-4</v>
      </c>
      <c r="I111" s="154" cm="1">
        <f t="array" ref="I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4.2108355321215024E-4</v>
      </c>
      <c r="J111" s="154" cm="1">
        <f t="array" ref="J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4.3289302051611621E-4</v>
      </c>
      <c r="K111" s="154" cm="1">
        <f t="array" ref="K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4.2336209237385492E-4</v>
      </c>
      <c r="M111" s="53" t="s">
        <v>73</v>
      </c>
      <c r="N111" s="53" t="s">
        <v>68</v>
      </c>
      <c r="O111" s="53" t="s">
        <v>66</v>
      </c>
      <c r="P111" s="53" t="s">
        <v>82</v>
      </c>
      <c r="Q111" s="154" cm="1">
        <f t="array" ref="Q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4.3609479704997934E-4</v>
      </c>
      <c r="R111" s="154" cm="1">
        <f t="array" ref="R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4.2329571152283947E-4</v>
      </c>
      <c r="S111" s="154" cm="1">
        <f t="array" ref="S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4.2108355321215024E-4</v>
      </c>
      <c r="T111" s="154" cm="1">
        <f t="array" ref="T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4.3289302051611621E-4</v>
      </c>
      <c r="U111" s="154" cm="1">
        <f t="array" ref="U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4.2336209237385492E-4</v>
      </c>
    </row>
    <row r="112" spans="3:23" outlineLevel="2">
      <c r="C112" s="53" t="s">
        <v>74</v>
      </c>
      <c r="D112" s="53" t="s">
        <v>68</v>
      </c>
      <c r="E112" s="53" t="s">
        <v>65</v>
      </c>
      <c r="F112" s="53" t="s">
        <v>82</v>
      </c>
      <c r="G112" s="154" cm="1">
        <f t="array" ref="G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4.3609479704997934E-4</v>
      </c>
      <c r="H112" s="154" cm="1">
        <f t="array" ref="H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4.2329571152283947E-4</v>
      </c>
      <c r="I112" s="154" cm="1">
        <f t="array" ref="I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4.2108355321215024E-4</v>
      </c>
      <c r="J112" s="154" cm="1">
        <f t="array" ref="J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4.3289302051611621E-4</v>
      </c>
      <c r="K112" s="154" cm="1">
        <f t="array" ref="K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4.2336209237385492E-4</v>
      </c>
      <c r="M112" s="53"/>
      <c r="N112" s="53"/>
      <c r="O112" s="53"/>
      <c r="P112" s="53"/>
      <c r="Q112" s="154" t="str" cm="1">
        <f t="array" ref="Q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12" s="154" t="str" cm="1">
        <f t="array" ref="R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12" s="154" t="str" cm="1">
        <f t="array" ref="S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12" s="154" t="str" cm="1">
        <f t="array" ref="T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12" s="154" t="str" cm="1">
        <f t="array" ref="U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13" spans="3:21" outlineLevel="1">
      <c r="P113" s="78"/>
      <c r="Q113" s="78"/>
      <c r="R113" s="78"/>
    </row>
    <row r="114" spans="3:21" ht="15.5" outlineLevel="1">
      <c r="C114" s="74" t="s">
        <v>14</v>
      </c>
      <c r="G114" s="71"/>
      <c r="H114" s="71"/>
      <c r="I114" s="71"/>
      <c r="J114" s="71"/>
      <c r="K114" s="71"/>
      <c r="P114" s="78"/>
      <c r="Q114" s="78"/>
      <c r="R114" s="78"/>
    </row>
    <row r="115" spans="3:21" ht="15.5" hidden="1" outlineLevel="2">
      <c r="C115" s="26" t="str">
        <f>C$80&amp;" - checks"</f>
        <v>VDO residential rates - checks</v>
      </c>
      <c r="M115" s="26" t="str">
        <f>M$80&amp;" - checks"</f>
        <v>VDO small business rates - checks</v>
      </c>
    </row>
    <row r="116" spans="3:21" ht="15.5" hidden="1" outlineLevel="2">
      <c r="C116" s="38" t="s">
        <v>55</v>
      </c>
      <c r="D116" s="38" t="s">
        <v>56</v>
      </c>
      <c r="E116" s="38" t="s">
        <v>57</v>
      </c>
      <c r="G116" s="45" t="s">
        <v>58</v>
      </c>
      <c r="H116" s="45" t="s">
        <v>59</v>
      </c>
      <c r="I116" s="45" t="s">
        <v>60</v>
      </c>
      <c r="J116" s="45" t="s">
        <v>61</v>
      </c>
      <c r="K116" s="45" t="s">
        <v>62</v>
      </c>
      <c r="M116" s="38" t="s">
        <v>55</v>
      </c>
      <c r="N116" s="38" t="s">
        <v>56</v>
      </c>
      <c r="O116" s="38" t="s">
        <v>57</v>
      </c>
      <c r="Q116" s="45" t="s">
        <v>58</v>
      </c>
      <c r="R116" s="45" t="s">
        <v>59</v>
      </c>
      <c r="S116" s="45" t="s">
        <v>60</v>
      </c>
      <c r="T116" s="45" t="s">
        <v>61</v>
      </c>
      <c r="U116" s="45" t="s">
        <v>62</v>
      </c>
    </row>
    <row r="117" spans="3:21" ht="15.5" hidden="1" outlineLevel="2">
      <c r="C117" s="53" t="s">
        <v>63</v>
      </c>
      <c r="D117" s="53" t="s">
        <v>64</v>
      </c>
      <c r="E117" s="53" t="s">
        <v>65</v>
      </c>
      <c r="G117" s="84">
        <f>IF(ROUND(G82,4)=ROUND(
SUMIFS(OP_Rates_RES_2[Ausnet],OP_Rates_RES_2[[Rate name]:[Rate name]],$C117)+
SUMIFS(OP_RatesTU_RES_2[Ausnet],OP_RatesTU_RES_2[[Rate name]:[Rate name]],
IF($D117&lt;&gt;"$",$C117,
IF($C117="Anytime - supply","Anytime","TOU"))),4),
0,1)</f>
        <v>0</v>
      </c>
      <c r="H117" s="84">
        <f>IF(ROUND(H82,4)=ROUND(
SUMIFS(OP_Rates_RES_2[Citipower],OP_Rates_RES_2[[Rate name]:[Rate name]],$C117)+
SUMIFS(OP_RatesTU_RES_2[Citipower],OP_RatesTU_RES_2[[Rate name]:[Rate name]],
IF($D117&lt;&gt;"$",$C117,
IF($C117="Anytime - supply","Anytime","TOU"))),4),
0,1)</f>
        <v>0</v>
      </c>
      <c r="I117" s="84">
        <f>IF(ROUND(I82,4)=ROUND(
SUMIFS(OP_Rates_RES_2[Jemena],OP_Rates_RES_2[[Rate name]:[Rate name]],$C117)+
SUMIFS(OP_RatesTU_RES_2[Jemena],OP_RatesTU_RES_2[[Rate name]:[Rate name]],
IF($D117&lt;&gt;"$",$C117,
IF($C117="Anytime - supply","Anytime","TOU"))),4),
0,1)</f>
        <v>0</v>
      </c>
      <c r="J117" s="84">
        <f>IF(ROUND(J82,4)=ROUND(
SUMIFS(OP_Rates_RES_2[Powercor],OP_Rates_RES_2[[Rate name]:[Rate name]],$C117)+
SUMIFS(OP_RatesTU_RES_2[Powercor],OP_RatesTU_RES_2[[Rate name]:[Rate name]],
IF($D117&lt;&gt;"$",$C117,
IF($C117="Anytime - supply","Anytime","TOU"))),4),
0,1)</f>
        <v>0</v>
      </c>
      <c r="K117" s="84">
        <f>IF(ROUND(K82,4)=ROUND(
SUMIFS(OP_Rates_RES_2[United Energy],OP_Rates_RES_2[[Rate name]:[Rate name]],$C117)+
SUMIFS(OP_RatesTU_RES_2[United Energy],OP_RatesTU_RES_2[[Rate name]:[Rate name]],
IF($D117&lt;&gt;"$",$C117,
IF($C117="Anytime - supply","Anytime","TOU"))),4),
0,1)</f>
        <v>0</v>
      </c>
      <c r="M117" s="53" t="s">
        <v>63</v>
      </c>
      <c r="N117" s="53" t="s">
        <v>64</v>
      </c>
      <c r="O117" s="53" t="s">
        <v>66</v>
      </c>
      <c r="Q117" s="84">
        <f>IF(ROUND(Q82,4)=ROUND(
SUMIFS(OP_Rates_SME_2[Ausnet],OP_Rates_SME_2[[Rate name]:[Rate name]],$M117)+
SUMIFS(OP_RatesTU_SME_2[Ausnet],OP_RatesTU_SME_2[[Rate name]:[Rate name]],
IF($N117&lt;&gt;"$",$M117,
IF($M117="Anytime - supply","Anytime","TOU"))),4),
0,1)</f>
        <v>0</v>
      </c>
      <c r="R117" s="84">
        <f>IF(ROUND(R82,4)=ROUND(
SUMIFS(OP_Rates_SME_2[Citipower],OP_Rates_SME_2[[Rate name]:[Rate name]],$M117)+
SUMIFS(OP_RatesTU_SME_2[Citipower],OP_RatesTU_SME_2[[Rate name]:[Rate name]],
IF($N117&lt;&gt;"$",$M117,
IF($M117="Anytime - supply","Anytime","TOU"))),4),
0,1)</f>
        <v>0</v>
      </c>
      <c r="S117" s="84">
        <f>IF(ROUND(S82,4)=ROUND(
SUMIFS(OP_Rates_SME_2[Jemena],OP_Rates_SME_2[[Rate name]:[Rate name]],$M117)+
SUMIFS(OP_RatesTU_SME_2[Jemena],OP_RatesTU_SME_2[[Rate name]:[Rate name]],
IF($N117&lt;&gt;"$",$M117,
IF($M117="Anytime - supply","Anytime","TOU"))),4),
0,1)</f>
        <v>0</v>
      </c>
      <c r="T117" s="84">
        <f>IF(ROUND(T82,4)=ROUND(
SUMIFS(OP_Rates_SME_2[Powercor],OP_Rates_SME_2[[Rate name]:[Rate name]],$M117)+
SUMIFS(OP_RatesTU_SME_2[Powercor],OP_RatesTU_SME_2[[Rate name]:[Rate name]],
IF($N117&lt;&gt;"$",$M117,
IF($M117="Anytime - supply","Anytime","TOU"))),4),
0,1)</f>
        <v>0</v>
      </c>
      <c r="U117" s="84">
        <f>IF(ROUND(U82,4)=ROUND(
SUMIFS(OP_Rates_SME_2[United Energy],OP_Rates_SME_2[[Rate name]:[Rate name]],$M117)+
SUMIFS(OP_RatesTU_SME_2[United Energy],OP_RatesTU_SME_2[[Rate name]:[Rate name]],
IF($N117&lt;&gt;"$",$M117,
IF($M117="Anytime - supply","Anytime","TOU"))),4),
0,1)</f>
        <v>0</v>
      </c>
    </row>
    <row r="118" spans="3:21" ht="15.5" hidden="1" outlineLevel="2">
      <c r="C118" s="53" t="s">
        <v>67</v>
      </c>
      <c r="D118" s="53" t="s">
        <v>68</v>
      </c>
      <c r="E118" s="53" t="s">
        <v>65</v>
      </c>
      <c r="G118" s="84">
        <f>IF(ROUND(G83,4)=ROUND(
SUMIFS(OP_Rates_RES_2[Ausnet],OP_Rates_RES_2[[Rate name]:[Rate name]],$C118)+
SUMIFS(OP_RatesTU_RES_2[Ausnet],OP_RatesTU_RES_2[[Rate name]:[Rate name]],
IF($D118&lt;&gt;"$",$C118,
IF($C118="Anytime - supply","Anytime","TOU"))),4),
0,1)</f>
        <v>0</v>
      </c>
      <c r="H118" s="84">
        <f>IF(ROUND(H83,4)=ROUND(
SUMIFS(OP_Rates_RES_2[Citipower],OP_Rates_RES_2[[Rate name]:[Rate name]],$C118)+
SUMIFS(OP_RatesTU_RES_2[Citipower],OP_RatesTU_RES_2[[Rate name]:[Rate name]],
IF($D118&lt;&gt;"$",$C118,
IF($C118="Anytime - supply","Anytime","TOU"))),4),
0,1)</f>
        <v>0</v>
      </c>
      <c r="I118" s="84">
        <f>IF(ROUND(I83,4)=ROUND(
SUMIFS(OP_Rates_RES_2[Jemena],OP_Rates_RES_2[[Rate name]:[Rate name]],$C118)+
SUMIFS(OP_RatesTU_RES_2[Jemena],OP_RatesTU_RES_2[[Rate name]:[Rate name]],
IF($D118&lt;&gt;"$",$C118,
IF($C118="Anytime - supply","Anytime","TOU"))),4),
0,1)</f>
        <v>0</v>
      </c>
      <c r="J118" s="84">
        <f>IF(ROUND(J83,4)=ROUND(
SUMIFS(OP_Rates_RES_2[Powercor],OP_Rates_RES_2[[Rate name]:[Rate name]],$C118)+
SUMIFS(OP_RatesTU_RES_2[Powercor],OP_RatesTU_RES_2[[Rate name]:[Rate name]],
IF($D118&lt;&gt;"$",$C118,
IF($C118="Anytime - supply","Anytime","TOU"))),4),
0,1)</f>
        <v>0</v>
      </c>
      <c r="K118" s="84">
        <f>IF(ROUND(K83,4)=ROUND(
SUMIFS(OP_Rates_RES_2[United Energy],OP_Rates_RES_2[[Rate name]:[Rate name]],$C118)+
SUMIFS(OP_RatesTU_RES_2[United Energy],OP_RatesTU_RES_2[[Rate name]:[Rate name]],
IF($D118&lt;&gt;"$",$C118,
IF($C118="Anytime - supply","Anytime","TOU"))),4),
0,1)</f>
        <v>0</v>
      </c>
      <c r="M118" s="53" t="s">
        <v>67</v>
      </c>
      <c r="N118" s="53" t="s">
        <v>68</v>
      </c>
      <c r="O118" s="53" t="s">
        <v>66</v>
      </c>
      <c r="Q118" s="84">
        <f>IF(ROUND(Q83,4)=ROUND(
SUMIFS(OP_Rates_SME_2[Ausnet],OP_Rates_SME_2[[Rate name]:[Rate name]],$M118)+
SUMIFS(OP_RatesTU_SME_2[Ausnet],OP_RatesTU_SME_2[[Rate name]:[Rate name]],
IF($N118&lt;&gt;"$",$M118,
IF($M118="Anytime - supply","Anytime","TOU"))),4),
0,1)</f>
        <v>0</v>
      </c>
      <c r="R118" s="84">
        <f>IF(ROUND(R83,4)=ROUND(
SUMIFS(OP_Rates_SME_2[Citipower],OP_Rates_SME_2[[Rate name]:[Rate name]],$M118)+
SUMIFS(OP_RatesTU_SME_2[Citipower],OP_RatesTU_SME_2[[Rate name]:[Rate name]],
IF($N118&lt;&gt;"$",$M118,
IF($M118="Anytime - supply","Anytime","TOU"))),4),
0,1)</f>
        <v>0</v>
      </c>
      <c r="S118" s="84">
        <f>IF(ROUND(S83,4)=ROUND(
SUMIFS(OP_Rates_SME_2[Jemena],OP_Rates_SME_2[[Rate name]:[Rate name]],$M118)+
SUMIFS(OP_RatesTU_SME_2[Jemena],OP_RatesTU_SME_2[[Rate name]:[Rate name]],
IF($N118&lt;&gt;"$",$M118,
IF($M118="Anytime - supply","Anytime","TOU"))),4),
0,1)</f>
        <v>0</v>
      </c>
      <c r="T118" s="84">
        <f>IF(ROUND(T83,4)=ROUND(
SUMIFS(OP_Rates_SME_2[Powercor],OP_Rates_SME_2[[Rate name]:[Rate name]],$M118)+
SUMIFS(OP_RatesTU_SME_2[Powercor],OP_RatesTU_SME_2[[Rate name]:[Rate name]],
IF($N118&lt;&gt;"$",$M118,
IF($M118="Anytime - supply","Anytime","TOU"))),4),
0,1)</f>
        <v>0</v>
      </c>
      <c r="U118" s="84">
        <f>IF(ROUND(U83,4)=ROUND(
SUMIFS(OP_Rates_SME_2[United Energy],OP_Rates_SME_2[[Rate name]:[Rate name]],$M118)+
SUMIFS(OP_RatesTU_SME_2[United Energy],OP_RatesTU_SME_2[[Rate name]:[Rate name]],
IF($N118&lt;&gt;"$",$M118,
IF($M118="Anytime - supply","Anytime","TOU"))),4),
0,1)</f>
        <v>0</v>
      </c>
    </row>
    <row r="119" spans="3:21" ht="15.5" hidden="1" outlineLevel="2">
      <c r="C119" s="53" t="s">
        <v>69</v>
      </c>
      <c r="D119" s="53" t="s">
        <v>68</v>
      </c>
      <c r="E119" s="53" t="s">
        <v>65</v>
      </c>
      <c r="G119" s="84">
        <f>IF(ROUND(G84,4)=ROUND(
SUMIFS(OP_Rates_RES_2[Ausnet],OP_Rates_RES_2[[Rate name]:[Rate name]],$C119)+
SUMIFS(OP_RatesTU_RES_2[Ausnet],OP_RatesTU_RES_2[[Rate name]:[Rate name]],
IF($D119&lt;&gt;"$",$C119,
IF($C119="Anytime - supply","Anytime","TOU"))),4),
0,1)</f>
        <v>0</v>
      </c>
      <c r="H119" s="84">
        <f>IF(ROUND(H84,4)=ROUND(
SUMIFS(OP_Rates_RES_2[Citipower],OP_Rates_RES_2[[Rate name]:[Rate name]],$C119)+
SUMIFS(OP_RatesTU_RES_2[Citipower],OP_RatesTU_RES_2[[Rate name]:[Rate name]],
IF($D119&lt;&gt;"$",$C119,
IF($C119="Anytime - supply","Anytime","TOU"))),4),
0,1)</f>
        <v>0</v>
      </c>
      <c r="I119" s="84">
        <f>IF(ROUND(I84,4)=ROUND(
SUMIFS(OP_Rates_RES_2[Jemena],OP_Rates_RES_2[[Rate name]:[Rate name]],$C119)+
SUMIFS(OP_RatesTU_RES_2[Jemena],OP_RatesTU_RES_2[[Rate name]:[Rate name]],
IF($D119&lt;&gt;"$",$C119,
IF($C119="Anytime - supply","Anytime","TOU"))),4),
0,1)</f>
        <v>0</v>
      </c>
      <c r="J119" s="84">
        <f>IF(ROUND(J84,4)=ROUND(
SUMIFS(OP_Rates_RES_2[Powercor],OP_Rates_RES_2[[Rate name]:[Rate name]],$C119)+
SUMIFS(OP_RatesTU_RES_2[Powercor],OP_RatesTU_RES_2[[Rate name]:[Rate name]],
IF($D119&lt;&gt;"$",$C119,
IF($C119="Anytime - supply","Anytime","TOU"))),4),
0,1)</f>
        <v>0</v>
      </c>
      <c r="K119" s="84">
        <f>IF(ROUND(K84,4)=ROUND(
SUMIFS(OP_Rates_RES_2[United Energy],OP_Rates_RES_2[[Rate name]:[Rate name]],$C119)+
SUMIFS(OP_RatesTU_RES_2[United Energy],OP_RatesTU_RES_2[[Rate name]:[Rate name]],
IF($D119&lt;&gt;"$",$C119,
IF($C119="Anytime - supply","Anytime","TOU"))),4),
0,1)</f>
        <v>0</v>
      </c>
      <c r="M119" s="53" t="s">
        <v>69</v>
      </c>
      <c r="N119" s="53" t="s">
        <v>68</v>
      </c>
      <c r="O119" s="53" t="s">
        <v>66</v>
      </c>
      <c r="Q119" s="84">
        <f>IF(ROUND(Q84,4)=ROUND(
SUMIFS(OP_Rates_SME_2[Ausnet],OP_Rates_SME_2[[Rate name]:[Rate name]],$M119)+
SUMIFS(OP_RatesTU_SME_2[Ausnet],OP_RatesTU_SME_2[[Rate name]:[Rate name]],
IF($N119&lt;&gt;"$",$M119,
IF($M119="Anytime - supply","Anytime","TOU"))),4),
0,1)</f>
        <v>0</v>
      </c>
      <c r="R119" s="84">
        <f>IF(ROUND(R84,4)=ROUND(
SUMIFS(OP_Rates_SME_2[Citipower],OP_Rates_SME_2[[Rate name]:[Rate name]],$M119)+
SUMIFS(OP_RatesTU_SME_2[Citipower],OP_RatesTU_SME_2[[Rate name]:[Rate name]],
IF($N119&lt;&gt;"$",$M119,
IF($M119="Anytime - supply","Anytime","TOU"))),4),
0,1)</f>
        <v>0</v>
      </c>
      <c r="S119" s="84">
        <f>IF(ROUND(S84,4)=ROUND(
SUMIFS(OP_Rates_SME_2[Jemena],OP_Rates_SME_2[[Rate name]:[Rate name]],$M119)+
SUMIFS(OP_RatesTU_SME_2[Jemena],OP_RatesTU_SME_2[[Rate name]:[Rate name]],
IF($N119&lt;&gt;"$",$M119,
IF($M119="Anytime - supply","Anytime","TOU"))),4),
0,1)</f>
        <v>0</v>
      </c>
      <c r="T119" s="84">
        <f>IF(ROUND(T84,4)=ROUND(
SUMIFS(OP_Rates_SME_2[Powercor],OP_Rates_SME_2[[Rate name]:[Rate name]],$M119)+
SUMIFS(OP_RatesTU_SME_2[Powercor],OP_RatesTU_SME_2[[Rate name]:[Rate name]],
IF($N119&lt;&gt;"$",$M119,
IF($M119="Anytime - supply","Anytime","TOU"))),4),
0,1)</f>
        <v>0</v>
      </c>
      <c r="U119" s="84">
        <f>IF(ROUND(U84,4)=ROUND(
SUMIFS(OP_Rates_SME_2[United Energy],OP_Rates_SME_2[[Rate name]:[Rate name]],$M119)+
SUMIFS(OP_RatesTU_SME_2[United Energy],OP_RatesTU_SME_2[[Rate name]:[Rate name]],
IF($N119&lt;&gt;"$",$M119,
IF($M119="Anytime - supply","Anytime","TOU"))),4),
0,1)</f>
        <v>0</v>
      </c>
    </row>
    <row r="120" spans="3:21" ht="15.5" hidden="1" outlineLevel="2">
      <c r="C120" s="53" t="s">
        <v>70</v>
      </c>
      <c r="D120" s="53" t="s">
        <v>68</v>
      </c>
      <c r="E120" s="53" t="s">
        <v>65</v>
      </c>
      <c r="G120" s="84">
        <f>IF(ROUND(G85,4)=ROUND(
SUMIFS(OP_Rates_RES_2[Ausnet],OP_Rates_RES_2[[Rate name]:[Rate name]],$C120)+
SUMIFS(OP_RatesTU_RES_2[Ausnet],OP_RatesTU_RES_2[[Rate name]:[Rate name]],
IF($D120&lt;&gt;"$",$C120,
IF($C120="Anytime - supply","Anytime","TOU"))),4),
0,1)</f>
        <v>0</v>
      </c>
      <c r="H120" s="84">
        <f>IF(ROUND(H85,4)=ROUND(
SUMIFS(OP_Rates_RES_2[Citipower],OP_Rates_RES_2[[Rate name]:[Rate name]],$C120)+
SUMIFS(OP_RatesTU_RES_2[Citipower],OP_RatesTU_RES_2[[Rate name]:[Rate name]],
IF($D120&lt;&gt;"$",$C120,
IF($C120="Anytime - supply","Anytime","TOU"))),4),
0,1)</f>
        <v>0</v>
      </c>
      <c r="I120" s="84">
        <f>IF(ROUND(I85,4)=ROUND(
SUMIFS(OP_Rates_RES_2[Jemena],OP_Rates_RES_2[[Rate name]:[Rate name]],$C120)+
SUMIFS(OP_RatesTU_RES_2[Jemena],OP_RatesTU_RES_2[[Rate name]:[Rate name]],
IF($D120&lt;&gt;"$",$C120,
IF($C120="Anytime - supply","Anytime","TOU"))),4),
0,1)</f>
        <v>0</v>
      </c>
      <c r="J120" s="84">
        <f>IF(ROUND(J85,4)=ROUND(
SUMIFS(OP_Rates_RES_2[Powercor],OP_Rates_RES_2[[Rate name]:[Rate name]],$C120)+
SUMIFS(OP_RatesTU_RES_2[Powercor],OP_RatesTU_RES_2[[Rate name]:[Rate name]],
IF($D120&lt;&gt;"$",$C120,
IF($C120="Anytime - supply","Anytime","TOU"))),4),
0,1)</f>
        <v>0</v>
      </c>
      <c r="K120" s="84">
        <f>IF(ROUND(K85,4)=ROUND(
SUMIFS(OP_Rates_RES_2[United Energy],OP_Rates_RES_2[[Rate name]:[Rate name]],$C120)+
SUMIFS(OP_RatesTU_RES_2[United Energy],OP_RatesTU_RES_2[[Rate name]:[Rate name]],
IF($D120&lt;&gt;"$",$C120,
IF($C120="Anytime - supply","Anytime","TOU"))),4),
0,1)</f>
        <v>0</v>
      </c>
      <c r="M120" s="53" t="s">
        <v>70</v>
      </c>
      <c r="N120" s="53" t="s">
        <v>68</v>
      </c>
      <c r="O120" s="53" t="s">
        <v>66</v>
      </c>
      <c r="Q120" s="84">
        <f>IF(ROUND(Q85,4)=ROUND(
SUMIFS(OP_Rates_SME_2[Ausnet],OP_Rates_SME_2[[Rate name]:[Rate name]],$M120)+
SUMIFS(OP_RatesTU_SME_2[Ausnet],OP_RatesTU_SME_2[[Rate name]:[Rate name]],
IF($N120&lt;&gt;"$",$M120,
IF($M120="Anytime - supply","Anytime","TOU"))),4),
0,1)</f>
        <v>0</v>
      </c>
      <c r="R120" s="84">
        <f>IF(ROUND(R85,4)=ROUND(
SUMIFS(OP_Rates_SME_2[Citipower],OP_Rates_SME_2[[Rate name]:[Rate name]],$M120)+
SUMIFS(OP_RatesTU_SME_2[Citipower],OP_RatesTU_SME_2[[Rate name]:[Rate name]],
IF($N120&lt;&gt;"$",$M120,
IF($M120="Anytime - supply","Anytime","TOU"))),4),
0,1)</f>
        <v>0</v>
      </c>
      <c r="S120" s="84">
        <f>IF(ROUND(S85,4)=ROUND(
SUMIFS(OP_Rates_SME_2[Jemena],OP_Rates_SME_2[[Rate name]:[Rate name]],$M120)+
SUMIFS(OP_RatesTU_SME_2[Jemena],OP_RatesTU_SME_2[[Rate name]:[Rate name]],
IF($N120&lt;&gt;"$",$M120,
IF($M120="Anytime - supply","Anytime","TOU"))),4),
0,1)</f>
        <v>0</v>
      </c>
      <c r="T120" s="84">
        <f>IF(ROUND(T85,4)=ROUND(
SUMIFS(OP_Rates_SME_2[Powercor],OP_Rates_SME_2[[Rate name]:[Rate name]],$M120)+
SUMIFS(OP_RatesTU_SME_2[Powercor],OP_RatesTU_SME_2[[Rate name]:[Rate name]],
IF($N120&lt;&gt;"$",$M120,
IF($M120="Anytime - supply","Anytime","TOU"))),4),
0,1)</f>
        <v>0</v>
      </c>
      <c r="U120" s="84">
        <f>IF(ROUND(U85,4)=ROUND(
SUMIFS(OP_Rates_SME_2[United Energy],OP_Rates_SME_2[[Rate name]:[Rate name]],$M120)+
SUMIFS(OP_RatesTU_SME_2[United Energy],OP_RatesTU_SME_2[[Rate name]:[Rate name]],
IF($N120&lt;&gt;"$",$M120,
IF($M120="Anytime - supply","Anytime","TOU"))),4),
0,1)</f>
        <v>0</v>
      </c>
    </row>
    <row r="121" spans="3:21" ht="15.5" hidden="1" outlineLevel="2">
      <c r="C121" s="53" t="s">
        <v>71</v>
      </c>
      <c r="D121" s="53" t="s">
        <v>64</v>
      </c>
      <c r="E121" s="53" t="s">
        <v>65</v>
      </c>
      <c r="G121" s="84">
        <f>IF(ROUND(G86,4)=ROUND(
SUMIFS(OP_Rates_RES_2[Ausnet],OP_Rates_RES_2[[Rate name]:[Rate name]],$C121)+
SUMIFS(OP_RatesTU_RES_2[Ausnet],OP_RatesTU_RES_2[[Rate name]:[Rate name]],
IF($D121&lt;&gt;"$",$C121,
IF($C121="Anytime - supply","Anytime","TOU"))),4),
0,1)</f>
        <v>0</v>
      </c>
      <c r="H121" s="84">
        <f>IF(ROUND(H86,4)=ROUND(
SUMIFS(OP_Rates_RES_2[Citipower],OP_Rates_RES_2[[Rate name]:[Rate name]],$C121)+
SUMIFS(OP_RatesTU_RES_2[Citipower],OP_RatesTU_RES_2[[Rate name]:[Rate name]],
IF($D121&lt;&gt;"$",$C121,
IF($C121="Anytime - supply","Anytime","TOU"))),4),
0,1)</f>
        <v>0</v>
      </c>
      <c r="I121" s="84">
        <f>IF(ROUND(I86,4)=ROUND(
SUMIFS(OP_Rates_RES_2[Jemena],OP_Rates_RES_2[[Rate name]:[Rate name]],$C121)+
SUMIFS(OP_RatesTU_RES_2[Jemena],OP_RatesTU_RES_2[[Rate name]:[Rate name]],
IF($D121&lt;&gt;"$",$C121,
IF($C121="Anytime - supply","Anytime","TOU"))),4),
0,1)</f>
        <v>0</v>
      </c>
      <c r="J121" s="84">
        <f>IF(ROUND(J86,4)=ROUND(
SUMIFS(OP_Rates_RES_2[Powercor],OP_Rates_RES_2[[Rate name]:[Rate name]],$C121)+
SUMIFS(OP_RatesTU_RES_2[Powercor],OP_RatesTU_RES_2[[Rate name]:[Rate name]],
IF($D121&lt;&gt;"$",$C121,
IF($C121="Anytime - supply","Anytime","TOU"))),4),
0,1)</f>
        <v>0</v>
      </c>
      <c r="K121" s="84">
        <f>IF(ROUND(K86,4)=ROUND(
SUMIFS(OP_Rates_RES_2[United Energy],OP_Rates_RES_2[[Rate name]:[Rate name]],$C121)+
SUMIFS(OP_RatesTU_RES_2[United Energy],OP_RatesTU_RES_2[[Rate name]:[Rate name]],
IF($D121&lt;&gt;"$",$C121,
IF($C121="Anytime - supply","Anytime","TOU"))),4),
0,1)</f>
        <v>0</v>
      </c>
      <c r="M121" s="53" t="s">
        <v>71</v>
      </c>
      <c r="N121" s="53" t="s">
        <v>64</v>
      </c>
      <c r="O121" s="53" t="s">
        <v>66</v>
      </c>
      <c r="Q121" s="84">
        <f>IF(ROUND(Q86,4)=ROUND(
SUMIFS(OP_Rates_SME_2[Ausnet],OP_Rates_SME_2[[Rate name]:[Rate name]],$M121)+
SUMIFS(OP_RatesTU_SME_2[Ausnet],OP_RatesTU_SME_2[[Rate name]:[Rate name]],
IF($N121&lt;&gt;"$",$M121,
IF($M121="Anytime - supply","Anytime","TOU"))),4),
0,1)</f>
        <v>0</v>
      </c>
      <c r="R121" s="84">
        <f>IF(ROUND(R86,4)=ROUND(
SUMIFS(OP_Rates_SME_2[Citipower],OP_Rates_SME_2[[Rate name]:[Rate name]],$M121)+
SUMIFS(OP_RatesTU_SME_2[Citipower],OP_RatesTU_SME_2[[Rate name]:[Rate name]],
IF($N121&lt;&gt;"$",$M121,
IF($M121="Anytime - supply","Anytime","TOU"))),4),
0,1)</f>
        <v>0</v>
      </c>
      <c r="S121" s="84">
        <f>IF(ROUND(S86,4)=ROUND(
SUMIFS(OP_Rates_SME_2[Jemena],OP_Rates_SME_2[[Rate name]:[Rate name]],$M121)+
SUMIFS(OP_RatesTU_SME_2[Jemena],OP_RatesTU_SME_2[[Rate name]:[Rate name]],
IF($N121&lt;&gt;"$",$M121,
IF($M121="Anytime - supply","Anytime","TOU"))),4),
0,1)</f>
        <v>0</v>
      </c>
      <c r="T121" s="84">
        <f>IF(ROUND(T86,4)=ROUND(
SUMIFS(OP_Rates_SME_2[Powercor],OP_Rates_SME_2[[Rate name]:[Rate name]],$M121)+
SUMIFS(OP_RatesTU_SME_2[Powercor],OP_RatesTU_SME_2[[Rate name]:[Rate name]],
IF($N121&lt;&gt;"$",$M121,
IF($M121="Anytime - supply","Anytime","TOU"))),4),
0,1)</f>
        <v>0</v>
      </c>
      <c r="U121" s="84">
        <f>IF(ROUND(U86,4)=ROUND(
SUMIFS(OP_Rates_SME_2[United Energy],OP_Rates_SME_2[[Rate name]:[Rate name]],$M121)+
SUMIFS(OP_RatesTU_SME_2[United Energy],OP_RatesTU_SME_2[[Rate name]:[Rate name]],
IF($N121&lt;&gt;"$",$M121,
IF($M121="Anytime - supply","Anytime","TOU"))),4),
0,1)</f>
        <v>0</v>
      </c>
    </row>
    <row r="122" spans="3:21" ht="15.5" hidden="1" outlineLevel="2">
      <c r="C122" s="53" t="s">
        <v>72</v>
      </c>
      <c r="D122" s="53" t="s">
        <v>68</v>
      </c>
      <c r="E122" s="53" t="s">
        <v>65</v>
      </c>
      <c r="G122" s="84">
        <f>IF(ROUND(G87,4)=ROUND(
SUMIFS(OP_Rates_RES_2[Ausnet],OP_Rates_RES_2[[Rate name]:[Rate name]],$C122)+
SUMIFS(OP_RatesTU_RES_2[Ausnet],OP_RatesTU_RES_2[[Rate name]:[Rate name]],
IF($D122&lt;&gt;"$",$C122,
IF($C122="Anytime - supply","Anytime","TOU"))),4),
0,1)</f>
        <v>0</v>
      </c>
      <c r="H122" s="84">
        <f>IF(ROUND(H87,4)=ROUND(
SUMIFS(OP_Rates_RES_2[Citipower],OP_Rates_RES_2[[Rate name]:[Rate name]],$C122)+
SUMIFS(OP_RatesTU_RES_2[Citipower],OP_RatesTU_RES_2[[Rate name]:[Rate name]],
IF($D122&lt;&gt;"$",$C122,
IF($C122="Anytime - supply","Anytime","TOU"))),4),
0,1)</f>
        <v>0</v>
      </c>
      <c r="I122" s="84">
        <f>IF(ROUND(I87,4)=ROUND(
SUMIFS(OP_Rates_RES_2[Jemena],OP_Rates_RES_2[[Rate name]:[Rate name]],$C122)+
SUMIFS(OP_RatesTU_RES_2[Jemena],OP_RatesTU_RES_2[[Rate name]:[Rate name]],
IF($D122&lt;&gt;"$",$C122,
IF($C122="Anytime - supply","Anytime","TOU"))),4),
0,1)</f>
        <v>0</v>
      </c>
      <c r="J122" s="84">
        <f>IF(ROUND(J87,4)=ROUND(
SUMIFS(OP_Rates_RES_2[Powercor],OP_Rates_RES_2[[Rate name]:[Rate name]],$C122)+
SUMIFS(OP_RatesTU_RES_2[Powercor],OP_RatesTU_RES_2[[Rate name]:[Rate name]],
IF($D122&lt;&gt;"$",$C122,
IF($C122="Anytime - supply","Anytime","TOU"))),4),
0,1)</f>
        <v>0</v>
      </c>
      <c r="K122" s="84">
        <f>IF(ROUND(K87,4)=ROUND(
SUMIFS(OP_Rates_RES_2[United Energy],OP_Rates_RES_2[[Rate name]:[Rate name]],$C122)+
SUMIFS(OP_RatesTU_RES_2[United Energy],OP_RatesTU_RES_2[[Rate name]:[Rate name]],
IF($D122&lt;&gt;"$",$C122,
IF($C122="Anytime - supply","Anytime","TOU"))),4),
0,1)</f>
        <v>0</v>
      </c>
      <c r="M122" s="53" t="s">
        <v>72</v>
      </c>
      <c r="N122" s="53" t="s">
        <v>68</v>
      </c>
      <c r="O122" s="53" t="s">
        <v>66</v>
      </c>
      <c r="Q122" s="84">
        <f>IF(ROUND(Q87,4)=ROUND(
SUMIFS(OP_Rates_SME_2[Ausnet],OP_Rates_SME_2[[Rate name]:[Rate name]],$M122)+
SUMIFS(OP_RatesTU_SME_2[Ausnet],OP_RatesTU_SME_2[[Rate name]:[Rate name]],
IF($N122&lt;&gt;"$",$M122,
IF($M122="Anytime - supply","Anytime","TOU"))),4),
0,1)</f>
        <v>0</v>
      </c>
      <c r="R122" s="84">
        <f>IF(ROUND(R87,4)=ROUND(
SUMIFS(OP_Rates_SME_2[Citipower],OP_Rates_SME_2[[Rate name]:[Rate name]],$M122)+
SUMIFS(OP_RatesTU_SME_2[Citipower],OP_RatesTU_SME_2[[Rate name]:[Rate name]],
IF($N122&lt;&gt;"$",$M122,
IF($M122="Anytime - supply","Anytime","TOU"))),4),
0,1)</f>
        <v>0</v>
      </c>
      <c r="S122" s="84">
        <f>IF(ROUND(S87,4)=ROUND(
SUMIFS(OP_Rates_SME_2[Jemena],OP_Rates_SME_2[[Rate name]:[Rate name]],$M122)+
SUMIFS(OP_RatesTU_SME_2[Jemena],OP_RatesTU_SME_2[[Rate name]:[Rate name]],
IF($N122&lt;&gt;"$",$M122,
IF($M122="Anytime - supply","Anytime","TOU"))),4),
0,1)</f>
        <v>0</v>
      </c>
      <c r="T122" s="84">
        <f>IF(ROUND(T87,4)=ROUND(
SUMIFS(OP_Rates_SME_2[Powercor],OP_Rates_SME_2[[Rate name]:[Rate name]],$M122)+
SUMIFS(OP_RatesTU_SME_2[Powercor],OP_RatesTU_SME_2[[Rate name]:[Rate name]],
IF($N122&lt;&gt;"$",$M122,
IF($M122="Anytime - supply","Anytime","TOU"))),4),
0,1)</f>
        <v>0</v>
      </c>
      <c r="U122" s="84">
        <f>IF(ROUND(U87,4)=ROUND(
SUMIFS(OP_Rates_SME_2[United Energy],OP_Rates_SME_2[[Rate name]:[Rate name]],$M122)+
SUMIFS(OP_RatesTU_SME_2[United Energy],OP_RatesTU_SME_2[[Rate name]:[Rate name]],
IF($N122&lt;&gt;"$",$M122,
IF($M122="Anytime - supply","Anytime","TOU"))),4),
0,1)</f>
        <v>0</v>
      </c>
    </row>
    <row r="123" spans="3:21" ht="15.5" hidden="1" outlineLevel="2">
      <c r="C123" s="53" t="s">
        <v>73</v>
      </c>
      <c r="D123" s="53" t="s">
        <v>68</v>
      </c>
      <c r="E123" s="53" t="s">
        <v>65</v>
      </c>
      <c r="G123" s="84">
        <f>IF(ROUND(G88,4)=ROUND(
SUMIFS(OP_Rates_RES_2[Ausnet],OP_Rates_RES_2[[Rate name]:[Rate name]],$C123)+
SUMIFS(OP_RatesTU_RES_2[Ausnet],OP_RatesTU_RES_2[[Rate name]:[Rate name]],
IF($D123&lt;&gt;"$",$C123,
IF($C123="Anytime - supply","Anytime","TOU"))),4),
0,1)</f>
        <v>0</v>
      </c>
      <c r="H123" s="84">
        <f>IF(ROUND(H88,4)=ROUND(
SUMIFS(OP_Rates_RES_2[Citipower],OP_Rates_RES_2[[Rate name]:[Rate name]],$C123)+
SUMIFS(OP_RatesTU_RES_2[Citipower],OP_RatesTU_RES_2[[Rate name]:[Rate name]],
IF($D123&lt;&gt;"$",$C123,
IF($C123="Anytime - supply","Anytime","TOU"))),4),
0,1)</f>
        <v>0</v>
      </c>
      <c r="I123" s="84">
        <f>IF(ROUND(I88,4)=ROUND(
SUMIFS(OP_Rates_RES_2[Jemena],OP_Rates_RES_2[[Rate name]:[Rate name]],$C123)+
SUMIFS(OP_RatesTU_RES_2[Jemena],OP_RatesTU_RES_2[[Rate name]:[Rate name]],
IF($D123&lt;&gt;"$",$C123,
IF($C123="Anytime - supply","Anytime","TOU"))),4),
0,1)</f>
        <v>0</v>
      </c>
      <c r="J123" s="84">
        <f>IF(ROUND(J88,4)=ROUND(
SUMIFS(OP_Rates_RES_2[Powercor],OP_Rates_RES_2[[Rate name]:[Rate name]],$C123)+
SUMIFS(OP_RatesTU_RES_2[Powercor],OP_RatesTU_RES_2[[Rate name]:[Rate name]],
IF($D123&lt;&gt;"$",$C123,
IF($C123="Anytime - supply","Anytime","TOU"))),4),
0,1)</f>
        <v>0</v>
      </c>
      <c r="K123" s="84">
        <f>IF(ROUND(K88,4)=ROUND(
SUMIFS(OP_Rates_RES_2[United Energy],OP_Rates_RES_2[[Rate name]:[Rate name]],$C123)+
SUMIFS(OP_RatesTU_RES_2[United Energy],OP_RatesTU_RES_2[[Rate name]:[Rate name]],
IF($D123&lt;&gt;"$",$C123,
IF($C123="Anytime - supply","Anytime","TOU"))),4),
0,1)</f>
        <v>0</v>
      </c>
      <c r="M123" s="53" t="s">
        <v>73</v>
      </c>
      <c r="N123" s="53" t="s">
        <v>68</v>
      </c>
      <c r="O123" s="53" t="s">
        <v>66</v>
      </c>
      <c r="Q123" s="84">
        <f>IF(ROUND(Q88,4)=ROUND(
SUMIFS(OP_Rates_SME_2[Ausnet],OP_Rates_SME_2[[Rate name]:[Rate name]],$M123)+
SUMIFS(OP_RatesTU_SME_2[Ausnet],OP_RatesTU_SME_2[[Rate name]:[Rate name]],
IF($N123&lt;&gt;"$",$M123,
IF($M123="Anytime - supply","Anytime","TOU"))),4),
0,1)</f>
        <v>0</v>
      </c>
      <c r="R123" s="84">
        <f>IF(ROUND(R88,4)=ROUND(
SUMIFS(OP_Rates_SME_2[Citipower],OP_Rates_SME_2[[Rate name]:[Rate name]],$M123)+
SUMIFS(OP_RatesTU_SME_2[Citipower],OP_RatesTU_SME_2[[Rate name]:[Rate name]],
IF($N123&lt;&gt;"$",$M123,
IF($M123="Anytime - supply","Anytime","TOU"))),4),
0,1)</f>
        <v>0</v>
      </c>
      <c r="S123" s="84">
        <f>IF(ROUND(S88,4)=ROUND(
SUMIFS(OP_Rates_SME_2[Jemena],OP_Rates_SME_2[[Rate name]:[Rate name]],$M123)+
SUMIFS(OP_RatesTU_SME_2[Jemena],OP_RatesTU_SME_2[[Rate name]:[Rate name]],
IF($N123&lt;&gt;"$",$M123,
IF($M123="Anytime - supply","Anytime","TOU"))),4),
0,1)</f>
        <v>0</v>
      </c>
      <c r="T123" s="84">
        <f>IF(ROUND(T88,4)=ROUND(
SUMIFS(OP_Rates_SME_2[Powercor],OP_Rates_SME_2[[Rate name]:[Rate name]],$M123)+
SUMIFS(OP_RatesTU_SME_2[Powercor],OP_RatesTU_SME_2[[Rate name]:[Rate name]],
IF($N123&lt;&gt;"$",$M123,
IF($M123="Anytime - supply","Anytime","TOU"))),4),
0,1)</f>
        <v>0</v>
      </c>
      <c r="U123" s="84">
        <f>IF(ROUND(U88,4)=ROUND(
SUMIFS(OP_Rates_SME_2[United Energy],OP_Rates_SME_2[[Rate name]:[Rate name]],$M123)+
SUMIFS(OP_RatesTU_SME_2[United Energy],OP_RatesTU_SME_2[[Rate name]:[Rate name]],
IF($N123&lt;&gt;"$",$M123,
IF($M123="Anytime - supply","Anytime","TOU"))),4),
0,1)</f>
        <v>0</v>
      </c>
    </row>
    <row r="124" spans="3:21" ht="15.5" hidden="1" outlineLevel="2">
      <c r="C124" s="53" t="s">
        <v>74</v>
      </c>
      <c r="D124" s="53" t="s">
        <v>68</v>
      </c>
      <c r="E124" s="53" t="s">
        <v>65</v>
      </c>
      <c r="G124" s="84">
        <f>IF(ROUND(G89,4)=ROUND(
SUMIFS(OP_Rates_RES_2[Ausnet],OP_Rates_RES_2[[Rate name]:[Rate name]],$C124)+
SUMIFS(OP_RatesTU_RES_2[Ausnet],OP_RatesTU_RES_2[[Rate name]:[Rate name]],
IF($D124&lt;&gt;"$",$C124,
IF($C124="Anytime - supply","Anytime","TOU"))),4),
0,1)</f>
        <v>0</v>
      </c>
      <c r="H124" s="84">
        <f>IF(ROUND(H89,4)=ROUND(
SUMIFS(OP_Rates_RES_2[Citipower],OP_Rates_RES_2[[Rate name]:[Rate name]],$C124)+
SUMIFS(OP_RatesTU_RES_2[Citipower],OP_RatesTU_RES_2[[Rate name]:[Rate name]],
IF($D124&lt;&gt;"$",$C124,
IF($C124="Anytime - supply","Anytime","TOU"))),4),
0,1)</f>
        <v>0</v>
      </c>
      <c r="I124" s="84">
        <f>IF(ROUND(I89,4)=ROUND(
SUMIFS(OP_Rates_RES_2[Jemena],OP_Rates_RES_2[[Rate name]:[Rate name]],$C124)+
SUMIFS(OP_RatesTU_RES_2[Jemena],OP_RatesTU_RES_2[[Rate name]:[Rate name]],
IF($D124&lt;&gt;"$",$C124,
IF($C124="Anytime - supply","Anytime","TOU"))),4),
0,1)</f>
        <v>0</v>
      </c>
      <c r="J124" s="84">
        <f>IF(ROUND(J89,4)=ROUND(
SUMIFS(OP_Rates_RES_2[Powercor],OP_Rates_RES_2[[Rate name]:[Rate name]],$C124)+
SUMIFS(OP_RatesTU_RES_2[Powercor],OP_RatesTU_RES_2[[Rate name]:[Rate name]],
IF($D124&lt;&gt;"$",$C124,
IF($C124="Anytime - supply","Anytime","TOU"))),4),
0,1)</f>
        <v>0</v>
      </c>
      <c r="K124" s="84">
        <f>IF(ROUND(K89,4)=ROUND(
SUMIFS(OP_Rates_RES_2[United Energy],OP_Rates_RES_2[[Rate name]:[Rate name]],$C124)+
SUMIFS(OP_RatesTU_RES_2[United Energy],OP_RatesTU_RES_2[[Rate name]:[Rate name]],
IF($D124&lt;&gt;"$",$C124,
IF($C124="Anytime - supply","Anytime","TOU"))),4),
0,1)</f>
        <v>0</v>
      </c>
      <c r="M124" s="53"/>
      <c r="N124" s="53"/>
      <c r="O124" s="53"/>
      <c r="Q124" s="84"/>
      <c r="R124" s="84"/>
      <c r="S124" s="84"/>
      <c r="T124" s="84"/>
      <c r="U124" s="84"/>
    </row>
    <row r="125" spans="3:21" hidden="1" outlineLevel="2">
      <c r="P125" s="78"/>
      <c r="Q125" s="78"/>
      <c r="R125" s="78"/>
    </row>
    <row r="126" spans="3:21" ht="15.5" hidden="1" outlineLevel="2">
      <c r="C126" s="26" t="str">
        <f>C$91&amp;" - checks"</f>
        <v>Residential calculated rate - checks</v>
      </c>
      <c r="M126" s="26" t="str">
        <f>M$91&amp;" - checks"</f>
        <v>Small business calculated rate - checks</v>
      </c>
    </row>
    <row r="127" spans="3:21" ht="15.5" hidden="1" outlineLevel="2">
      <c r="C127" s="38" t="s">
        <v>55</v>
      </c>
      <c r="D127" s="38" t="s">
        <v>56</v>
      </c>
      <c r="E127" s="38" t="s">
        <v>57</v>
      </c>
      <c r="G127" s="45" t="s">
        <v>58</v>
      </c>
      <c r="H127" s="45" t="s">
        <v>59</v>
      </c>
      <c r="I127" s="45" t="s">
        <v>60</v>
      </c>
      <c r="J127" s="45" t="s">
        <v>61</v>
      </c>
      <c r="K127" s="45" t="s">
        <v>62</v>
      </c>
      <c r="M127" s="38" t="s">
        <v>55</v>
      </c>
      <c r="N127" s="38" t="s">
        <v>56</v>
      </c>
      <c r="O127" s="38" t="s">
        <v>57</v>
      </c>
      <c r="Q127" s="45" t="s">
        <v>58</v>
      </c>
      <c r="R127" s="45" t="s">
        <v>59</v>
      </c>
      <c r="S127" s="45" t="s">
        <v>60</v>
      </c>
      <c r="T127" s="45" t="s">
        <v>61</v>
      </c>
      <c r="U127" s="45" t="s">
        <v>62</v>
      </c>
    </row>
    <row r="128" spans="3:21" ht="15.5" hidden="1" outlineLevel="2">
      <c r="C128" s="20" t="s">
        <v>63</v>
      </c>
      <c r="D128" s="20" t="s">
        <v>64</v>
      </c>
      <c r="E128" s="20" t="s">
        <v>65</v>
      </c>
      <c r="G128" s="84" cm="1">
        <f t="array" ref="G128">IF(G93="-","-",
IF(ROUND(G93,8)=
ROUND(((
(SUMIFS(Calc_NetworkF_2[Ausnet],Calc_NetworkF_2[[Cost item]:[Cost item]],$C128,Calc_NetworkF_2[[Customer type]:[Customer type]],$E128)+
SUMIFS(Calc_Fixed_2[Ausnet],Calc_Fixed_2[[Customer type]:[Customer type]],"All")+
SUMIFS(Calc_Fixed_2[Ausnet],Calc_Fixed_2[[Customer type]:[Customer type]],$E128))/DiY)*(1+Calc_ROM_2[Ausnet]))*(1+GST),8),0,1))</f>
        <v>0</v>
      </c>
      <c r="H128" s="84" cm="1">
        <f t="array" ref="H128">IF(H93="-","-",
IF(ROUND(H93,8)=
ROUND(((
(SUMIFS(Calc_NetworkF_2[Citipower],Calc_NetworkF_2[[Cost item]:[Cost item]],$C128,Calc_NetworkF_2[[Customer type]:[Customer type]],$E128)+
SUMIFS(Calc_Fixed_2[Citipower],Calc_Fixed_2[[Customer type]:[Customer type]],"All")+
SUMIFS(Calc_Fixed_2[Citipower],Calc_Fixed_2[[Customer type]:[Customer type]],$E128))/DiY)*(1+Calc_ROM_2[Citipower]))*(1+GST),8),0,1))</f>
        <v>0</v>
      </c>
      <c r="I128" s="84" cm="1">
        <f t="array" ref="I128">IF(I93="-","-",
IF(ROUND(I93,8)=
ROUND(((
(SUMIFS(Calc_NetworkF_2[Jemena],Calc_NetworkF_2[[Cost item]:[Cost item]],$C128,Calc_NetworkF_2[[Customer type]:[Customer type]],$E128)+
SUMIFS(Calc_Fixed_2[Jemena],Calc_Fixed_2[[Customer type]:[Customer type]],"All")+
SUMIFS(Calc_Fixed_2[Jemena],Calc_Fixed_2[[Customer type]:[Customer type]],$E128))/DiY)*(1+Calc_ROM_2[Jemena]))*(1+GST),8),0,1))</f>
        <v>0</v>
      </c>
      <c r="J128" s="84" cm="1">
        <f t="array" ref="J128">IF(J93="-","-",
IF(ROUND(J93,8)=
ROUND(((
(SUMIFS(Calc_NetworkF_2[Powercor],Calc_NetworkF_2[[Cost item]:[Cost item]],$C128,Calc_NetworkF_2[[Customer type]:[Customer type]],$E128)+
SUMIFS(Calc_Fixed_2[Powercor],Calc_Fixed_2[[Customer type]:[Customer type]],"All")+
SUMIFS(Calc_Fixed_2[Powercor],Calc_Fixed_2[[Customer type]:[Customer type]],$E128))/DiY)*(1+Calc_ROM_2[Powercor]))*(1+GST),8),0,1))</f>
        <v>0</v>
      </c>
      <c r="K128" s="84" cm="1">
        <f t="array" ref="K128">IF(K93="-","-",
IF(ROUND(K93,8)=
ROUND(((
(SUMIFS(Calc_NetworkF_2[United Energy],Calc_NetworkF_2[[Cost item]:[Cost item]],$C128,Calc_NetworkF_2[[Customer type]:[Customer type]],$E128)+
SUMIFS(Calc_Fixed_2[United Energy],Calc_Fixed_2[[Customer type]:[Customer type]],"All")+
SUMIFS(Calc_Fixed_2[United Energy],Calc_Fixed_2[[Customer type]:[Customer type]],$E128))/DiY)*(1+Calc_ROM_2[United Energy]))*(1+GST),8),0,1))</f>
        <v>0</v>
      </c>
      <c r="M128" s="20" t="s">
        <v>63</v>
      </c>
      <c r="N128" s="20" t="s">
        <v>64</v>
      </c>
      <c r="O128" s="20" t="s">
        <v>66</v>
      </c>
      <c r="Q128" s="84" cm="1">
        <f t="array" ref="Q128">IF(Q93="-","-",
IF(ROUND(Q93,8)=
ROUND((((SUMIFS(Calc_NetworkF_2[Ausnet],Calc_NetworkF_2[[Cost item]:[Cost item]],$M128,Calc_NetworkF_2[[Customer type]:[Customer type]],$O128)+SUMIFS(Calc_Fixed_2[Ausnet],Calc_Fixed_2[[Customer type]:[Customer type]],"All")+SUMIFS(Calc_Fixed_2[Ausnet],Calc_Fixed_2[[Customer type]:[Customer type]],$O128))/DiY)*(1+Calc_ROM_2[Ausnet]))*(1+GST),8),0,1))</f>
        <v>0</v>
      </c>
      <c r="R128" s="84" cm="1">
        <f t="array" ref="R128">IF(R93="-","-",
IF(ROUND(R93,8)=
ROUND((((SUMIFS(Calc_NetworkF_2[Citipower],Calc_NetworkF_2[[Cost item]:[Cost item]],$M128,Calc_NetworkF_2[[Customer type]:[Customer type]],$O128)+SUMIFS(Calc_Fixed_2[Citipower],Calc_Fixed_2[[Customer type]:[Customer type]],"All")+SUMIFS(Calc_Fixed_2[Citipower],Calc_Fixed_2[[Customer type]:[Customer type]],$O128))/DiY)*(1+Calc_ROM_2[Citipower]))*(1+GST),8),0,1))</f>
        <v>0</v>
      </c>
      <c r="S128" s="84" cm="1">
        <f t="array" ref="S128">IF(S93="-","-",
IF(ROUND(S93,8)=
ROUND((((SUMIFS(Calc_NetworkF_2[Jemena],Calc_NetworkF_2[[Cost item]:[Cost item]],$M128,Calc_NetworkF_2[[Customer type]:[Customer type]],$O128)+SUMIFS(Calc_Fixed_2[Jemena],Calc_Fixed_2[[Customer type]:[Customer type]],"All")+SUMIFS(Calc_Fixed_2[Jemena],Calc_Fixed_2[[Customer type]:[Customer type]],$O128))/DiY)*(1+Calc_ROM_2[Jemena]))*(1+GST),8),0,1))</f>
        <v>0</v>
      </c>
      <c r="T128" s="84" cm="1">
        <f t="array" ref="T128">IF(T93="-","-",
IF(ROUND(T93,8)=
ROUND((((SUMIFS(Calc_NetworkF_2[Powercor],Calc_NetworkF_2[[Cost item]:[Cost item]],$M128,Calc_NetworkF_2[[Customer type]:[Customer type]],$O128)+SUMIFS(Calc_Fixed_2[Powercor],Calc_Fixed_2[[Customer type]:[Customer type]],"All")+SUMIFS(Calc_Fixed_2[Powercor],Calc_Fixed_2[[Customer type]:[Customer type]],$O128))/DiY)*(1+Calc_ROM_2[Powercor]))*(1+GST),8),0,1))</f>
        <v>0</v>
      </c>
      <c r="U128" s="84" cm="1">
        <f t="array" ref="U128">IF(U93="-","-",
IF(ROUND(U93,8)=
ROUND((((SUMIFS(Calc_NetworkF_2[United Energy],Calc_NetworkF_2[[Cost item]:[Cost item]],$M128,Calc_NetworkF_2[[Customer type]:[Customer type]],$O128)+SUMIFS(Calc_Fixed_2[United Energy],Calc_Fixed_2[[Customer type]:[Customer type]],"All")+SUMIFS(Calc_Fixed_2[United Energy],Calc_Fixed_2[[Customer type]:[Customer type]],$O128))/DiY)*(1+Calc_ROM_2[United Energy]))*(1+GST),8),0,1))</f>
        <v>0</v>
      </c>
    </row>
    <row r="129" spans="3:21" ht="15.5" hidden="1" outlineLevel="2">
      <c r="C129" s="20" t="s">
        <v>67</v>
      </c>
      <c r="D129" s="20" t="s">
        <v>68</v>
      </c>
      <c r="E129" s="20" t="s">
        <v>65</v>
      </c>
      <c r="G129" s="84" cm="1">
        <f t="array" ref="G129">IF(G94="-","-",
IF(ROUND(G94,8)=ROUND(
((SUMIFS(Calc_Variable_2[Ausnet],Calc_Variable_2[[Customer type]:[Customer type]],"All")+
SUMIFS(Calc_Variable_2[Ausnet],Calc_Variable_2[[Customer type]:[Customer type]],OP_Rates!$E129)+
SUMIFS(Calc_NetworkV_2[Ausnet],Calc_NetworkV_2[[Customer type]:[Customer type]],OP_Rates!$E129,Calc_NetworkV_2[[Cost item]:[Cost item]],OP_Rates!$C129))*(1+Calc_ROM_2[Ausnet]))*(1+GST),8),0,1))</f>
        <v>0</v>
      </c>
      <c r="H129" s="84" t="str" cm="1">
        <f t="array" ref="H129">IF(H94="-","-",
IF(ROUND(H94,8)=ROUND(
((SUMIFS(Calc_Variable_2[Citipower],Calc_Variable_2[[Customer type]:[Customer type]],"All")+
SUMIFS(Calc_Variable_2[Citipower],Calc_Variable_2[[Customer type]:[Customer type]],OP_Rates!$E129)+
SUMIFS(Calc_NetworkV_2[Citipower],Calc_NetworkV_2[[Customer type]:[Customer type]],OP_Rates!$E129,Calc_NetworkV_2[[Cost item]:[Cost item]],OP_Rates!$C129))*(1+Calc_ROM_2[Citipower]))*(1+GST),8),0,1))</f>
        <v>-</v>
      </c>
      <c r="I129" s="84" t="str" cm="1">
        <f t="array" ref="I129">IF(I94="-","-",
IF(ROUND(I94,8)=ROUND(
((SUMIFS(Calc_Variable_2[Jemena],Calc_Variable_2[[Customer type]:[Customer type]],"All")+
SUMIFS(Calc_Variable_2[Jemena],Calc_Variable_2[[Customer type]:[Customer type]],OP_Rates!$E129)+
SUMIFS(Calc_NetworkV_2[Jemena],Calc_NetworkV_2[[Customer type]:[Customer type]],OP_Rates!$E129,Calc_NetworkV_2[[Cost item]:[Cost item]],OP_Rates!$C129))*(1+Calc_ROM_2[Jemena]))*(1+GST),8),0,1))</f>
        <v>-</v>
      </c>
      <c r="J129" s="84" t="str" cm="1">
        <f t="array" ref="J129">IF(J94="-","-",
IF(ROUND(J94,8)=ROUND(
((SUMIFS(Calc_Variable_2[Powercor],Calc_Variable_2[[Customer type]:[Customer type]],"All")+
SUMIFS(Calc_Variable_2[Powercor],Calc_Variable_2[[Customer type]:[Customer type]],OP_Rates!$E129)+
SUMIFS(Calc_NetworkV_2[Powercor],Calc_NetworkV_2[[Customer type]:[Customer type]],OP_Rates!$E129,Calc_NetworkV_2[[Cost item]:[Cost item]],OP_Rates!$C129))*(1+Calc_ROM_2[Powercor]))*(1+GST),8),0,1))</f>
        <v>-</v>
      </c>
      <c r="K129" s="84" t="str" cm="1">
        <f t="array" ref="K129">IF(K94="-","-",
IF(ROUND(K94,8)=ROUND(
((SUMIFS(Calc_Variable_2[United Energy],Calc_Variable_2[[Customer type]:[Customer type]],"All")+
SUMIFS(Calc_Variable_2[United Energy],Calc_Variable_2[[Customer type]:[Customer type]],OP_Rates!$E129)+
SUMIFS(Calc_NetworkV_2[United Energy],Calc_NetworkV_2[[Customer type]:[Customer type]],OP_Rates!$E129,Calc_NetworkV_2[[Cost item]:[Cost item]],OP_Rates!$C129))*(1+Calc_ROM_2[United Energy]))*(1+GST),8),0,1))</f>
        <v>-</v>
      </c>
      <c r="M129" s="20" t="s">
        <v>67</v>
      </c>
      <c r="N129" s="20" t="s">
        <v>68</v>
      </c>
      <c r="O129" s="20" t="s">
        <v>66</v>
      </c>
      <c r="Q129" s="84" cm="1">
        <f t="array" ref="Q129">IF(Q94="-","-",
IF(ROUND(Q94,8)=ROUND(
((SUMIFS(Calc_Variable_2[Ausnet],Calc_Variable_2[[Customer type]:[Customer type]],"All")+SUMIFS(Calc_Variable_2[Ausnet],Calc_Variable_2[[Customer type]:[Customer type]],OP_Rates!$O129)+
SUMIFS(Calc_NetworkV_2[Ausnet],Calc_NetworkV_2[[Customer type]:[Customer type]],OP_Rates!$O129,Calc_NetworkV_2[[Cost item]:[Cost item]],OP_Rates!$M129))*(1+Calc_ROM_2[Ausnet]))*(1+GST),8),0,1))</f>
        <v>0</v>
      </c>
      <c r="R129" s="84" t="str" cm="1">
        <f t="array" ref="R129">IF(R94="-","-",
IF(ROUND(R94,8)=ROUND(
((SUMIFS(Calc_Variable_2[Citipower],Calc_Variable_2[[Customer type]:[Customer type]],"All")+SUMIFS(Calc_Variable_2[Citipower],Calc_Variable_2[[Customer type]:[Customer type]],OP_Rates!$O129)+
SUMIFS(Calc_NetworkV_2[Citipower],Calc_NetworkV_2[[Customer type]:[Customer type]],OP_Rates!$O129,Calc_NetworkV_2[[Cost item]:[Cost item]],OP_Rates!$M129))*(1+Calc_ROM_2[Citipower]))*(1+GST),8),0,1))</f>
        <v>-</v>
      </c>
      <c r="S129" s="84" t="str" cm="1">
        <f t="array" ref="S129">IF(S94="-","-",
IF(ROUND(S94,8)=ROUND(
((SUMIFS(Calc_Variable_2[Jemena],Calc_Variable_2[[Customer type]:[Customer type]],"All")+SUMIFS(Calc_Variable_2[Jemena],Calc_Variable_2[[Customer type]:[Customer type]],OP_Rates!$O129)+
SUMIFS(Calc_NetworkV_2[Jemena],Calc_NetworkV_2[[Customer type]:[Customer type]],OP_Rates!$O129,Calc_NetworkV_2[[Cost item]:[Cost item]],OP_Rates!$M129))*(1+Calc_ROM_2[Jemena]))*(1+GST),8),0,1))</f>
        <v>-</v>
      </c>
      <c r="T129" s="84" t="str" cm="1">
        <f t="array" ref="T129">IF(T94="-","-",
IF(ROUND(T94,8)=ROUND(
((SUMIFS(Calc_Variable_2[Powercor],Calc_Variable_2[[Customer type]:[Customer type]],"All")+SUMIFS(Calc_Variable_2[Powercor],Calc_Variable_2[[Customer type]:[Customer type]],OP_Rates!$O129)+
SUMIFS(Calc_NetworkV_2[Powercor],Calc_NetworkV_2[[Customer type]:[Customer type]],OP_Rates!$O129,Calc_NetworkV_2[[Cost item]:[Cost item]],OP_Rates!$M129))*(1+Calc_ROM_2[Powercor]))*(1+GST),8),0,1))</f>
        <v>-</v>
      </c>
      <c r="U129" s="84" t="str" cm="1">
        <f t="array" ref="U129">IF(U94="-","-",
IF(ROUND(U94,8)=ROUND(
((SUMIFS(Calc_Variable_2[United Energy],Calc_Variable_2[[Customer type]:[Customer type]],"All")+SUMIFS(Calc_Variable_2[United Energy],Calc_Variable_2[[Customer type]:[Customer type]],OP_Rates!$O129)+
SUMIFS(Calc_NetworkV_2[United Energy],Calc_NetworkV_2[[Customer type]:[Customer type]],OP_Rates!$O129,Calc_NetworkV_2[[Cost item]:[Cost item]],OP_Rates!$M129))*(1+Calc_ROM_2[United Energy]))*(1+GST),8),0,1))</f>
        <v>-</v>
      </c>
    </row>
    <row r="130" spans="3:21" ht="15.5" hidden="1" outlineLevel="2">
      <c r="C130" s="20" t="s">
        <v>69</v>
      </c>
      <c r="D130" s="20" t="s">
        <v>68</v>
      </c>
      <c r="E130" s="20" t="s">
        <v>65</v>
      </c>
      <c r="G130" s="84" cm="1">
        <f t="array" ref="G130">IF(G95="-","-",
IF(ROUND(G95,8)=ROUND(
((SUMIFS(Calc_Variable_2[Ausnet],Calc_Variable_2[[Customer type]:[Customer type]],"All")+
SUMIFS(Calc_Variable_2[Ausnet],Calc_Variable_2[[Customer type]:[Customer type]],OP_Rates!$E130)+
SUMIFS(Calc_NetworkV_2[Ausnet],Calc_NetworkV_2[[Customer type]:[Customer type]],OP_Rates!$E130,Calc_NetworkV_2[[Cost item]:[Cost item]],OP_Rates!$C130))*(1+Calc_ROM_2[Ausnet]))*(1+GST),8),0,1))</f>
        <v>0</v>
      </c>
      <c r="H130" s="84" t="str" cm="1">
        <f t="array" ref="H130">IF(H95="-","-",
IF(ROUND(H95,8)=ROUND(
((SUMIFS(Calc_Variable_2[Citipower],Calc_Variable_2[[Customer type]:[Customer type]],"All")+
SUMIFS(Calc_Variable_2[Citipower],Calc_Variable_2[[Customer type]:[Customer type]],OP_Rates!$E130)+
SUMIFS(Calc_NetworkV_2[Citipower],Calc_NetworkV_2[[Customer type]:[Customer type]],OP_Rates!$E130,Calc_NetworkV_2[[Cost item]:[Cost item]],OP_Rates!$C130))*(1+Calc_ROM_2[Citipower]))*(1+GST),8),0,1))</f>
        <v>-</v>
      </c>
      <c r="I130" s="84" t="str" cm="1">
        <f t="array" ref="I130">IF(I95="-","-",
IF(ROUND(I95,8)=ROUND(
((SUMIFS(Calc_Variable_2[Jemena],Calc_Variable_2[[Customer type]:[Customer type]],"All")+
SUMIFS(Calc_Variable_2[Jemena],Calc_Variable_2[[Customer type]:[Customer type]],OP_Rates!$E130)+
SUMIFS(Calc_NetworkV_2[Jemena],Calc_NetworkV_2[[Customer type]:[Customer type]],OP_Rates!$E130,Calc_NetworkV_2[[Cost item]:[Cost item]],OP_Rates!$C130))*(1+Calc_ROM_2[Jemena]))*(1+GST),8),0,1))</f>
        <v>-</v>
      </c>
      <c r="J130" s="84" t="str" cm="1">
        <f t="array" ref="J130">IF(J95="-","-",
IF(ROUND(J95,8)=ROUND(
((SUMIFS(Calc_Variable_2[Powercor],Calc_Variable_2[[Customer type]:[Customer type]],"All")+
SUMIFS(Calc_Variable_2[Powercor],Calc_Variable_2[[Customer type]:[Customer type]],OP_Rates!$E130)+
SUMIFS(Calc_NetworkV_2[Powercor],Calc_NetworkV_2[[Customer type]:[Customer type]],OP_Rates!$E130,Calc_NetworkV_2[[Cost item]:[Cost item]],OP_Rates!$C130))*(1+Calc_ROM_2[Powercor]))*(1+GST),8),0,1))</f>
        <v>-</v>
      </c>
      <c r="K130" s="84" t="str" cm="1">
        <f t="array" ref="K130">IF(K95="-","-",
IF(ROUND(K95,8)=ROUND(
((SUMIFS(Calc_Variable_2[United Energy],Calc_Variable_2[[Customer type]:[Customer type]],"All")+
SUMIFS(Calc_Variable_2[United Energy],Calc_Variable_2[[Customer type]:[Customer type]],OP_Rates!$E130)+
SUMIFS(Calc_NetworkV_2[United Energy],Calc_NetworkV_2[[Customer type]:[Customer type]],OP_Rates!$E130,Calc_NetworkV_2[[Cost item]:[Cost item]],OP_Rates!$C130))*(1+Calc_ROM_2[United Energy]))*(1+GST),8),0,1))</f>
        <v>-</v>
      </c>
      <c r="M130" s="20" t="s">
        <v>69</v>
      </c>
      <c r="N130" s="20" t="s">
        <v>68</v>
      </c>
      <c r="O130" s="20" t="s">
        <v>66</v>
      </c>
      <c r="Q130" s="84" cm="1">
        <f t="array" ref="Q130">IF(Q95="-","-",
IF(ROUND(Q95,8)=ROUND(
((SUMIFS(Calc_Variable_2[Ausnet],Calc_Variable_2[[Customer type]:[Customer type]],"All")+SUMIFS(Calc_Variable_2[Ausnet],Calc_Variable_2[[Customer type]:[Customer type]],OP_Rates!$O130)+
SUMIFS(Calc_NetworkV_2[Ausnet],Calc_NetworkV_2[[Customer type]:[Customer type]],OP_Rates!$O130,Calc_NetworkV_2[[Cost item]:[Cost item]],OP_Rates!$M130))*(1+Calc_ROM_2[Ausnet]))*(1+GST),8),0,1))</f>
        <v>0</v>
      </c>
      <c r="R130" s="84" t="str" cm="1">
        <f t="array" ref="R130">IF(R95="-","-",
IF(ROUND(R95,8)=ROUND(
((SUMIFS(Calc_Variable_2[Citipower],Calc_Variable_2[[Customer type]:[Customer type]],"All")+SUMIFS(Calc_Variable_2[Citipower],Calc_Variable_2[[Customer type]:[Customer type]],OP_Rates!$O130)+
SUMIFS(Calc_NetworkV_2[Citipower],Calc_NetworkV_2[[Customer type]:[Customer type]],OP_Rates!$O130,Calc_NetworkV_2[[Cost item]:[Cost item]],OP_Rates!$M130))*(1+Calc_ROM_2[Citipower]))*(1+GST),8),0,1))</f>
        <v>-</v>
      </c>
      <c r="S130" s="84" t="str" cm="1">
        <f t="array" ref="S130">IF(S95="-","-",
IF(ROUND(S95,8)=ROUND(
((SUMIFS(Calc_Variable_2[Jemena],Calc_Variable_2[[Customer type]:[Customer type]],"All")+SUMIFS(Calc_Variable_2[Jemena],Calc_Variable_2[[Customer type]:[Customer type]],OP_Rates!$O130)+
SUMIFS(Calc_NetworkV_2[Jemena],Calc_NetworkV_2[[Customer type]:[Customer type]],OP_Rates!$O130,Calc_NetworkV_2[[Cost item]:[Cost item]],OP_Rates!$M130))*(1+Calc_ROM_2[Jemena]))*(1+GST),8),0,1))</f>
        <v>-</v>
      </c>
      <c r="T130" s="84" t="str" cm="1">
        <f t="array" ref="T130">IF(T95="-","-",
IF(ROUND(T95,8)=ROUND(
((SUMIFS(Calc_Variable_2[Powercor],Calc_Variable_2[[Customer type]:[Customer type]],"All")+SUMIFS(Calc_Variable_2[Powercor],Calc_Variable_2[[Customer type]:[Customer type]],OP_Rates!$O130)+
SUMIFS(Calc_NetworkV_2[Powercor],Calc_NetworkV_2[[Customer type]:[Customer type]],OP_Rates!$O130,Calc_NetworkV_2[[Cost item]:[Cost item]],OP_Rates!$M130))*(1+Calc_ROM_2[Powercor]))*(1+GST),8),0,1))</f>
        <v>-</v>
      </c>
      <c r="U130" s="84" t="str" cm="1">
        <f t="array" ref="U130">IF(U95="-","-",
IF(ROUND(U95,8)=ROUND(
((SUMIFS(Calc_Variable_2[United Energy],Calc_Variable_2[[Customer type]:[Customer type]],"All")+SUMIFS(Calc_Variable_2[United Energy],Calc_Variable_2[[Customer type]:[Customer type]],OP_Rates!$O130)+
SUMIFS(Calc_NetworkV_2[United Energy],Calc_NetworkV_2[[Customer type]:[Customer type]],OP_Rates!$O130,Calc_NetworkV_2[[Cost item]:[Cost item]],OP_Rates!$M130))*(1+Calc_ROM_2[United Energy]))*(1+GST),8),0,1))</f>
        <v>-</v>
      </c>
    </row>
    <row r="131" spans="3:21" ht="15.5" hidden="1" outlineLevel="2">
      <c r="C131" s="20" t="s">
        <v>70</v>
      </c>
      <c r="D131" s="20" t="s">
        <v>68</v>
      </c>
      <c r="E131" s="20" t="s">
        <v>65</v>
      </c>
      <c r="G131" s="84" t="str" cm="1">
        <f t="array" ref="G131">IF(G96="-","-",
IF(ROUND(G96,8)=ROUND(
((SUMIFS(Calc_Variable_2[Ausnet],Calc_Variable_2[[Customer type]:[Customer type]],"All")+
SUMIFS(Calc_Variable_2[Ausnet],Calc_Variable_2[[Customer type]:[Customer type]],OP_Rates!$E131)+
SUMIFS(Calc_NetworkV_2[Ausnet],Calc_NetworkV_2[[Customer type]:[Customer type]],OP_Rates!$E131,Calc_NetworkV_2[[Cost item]:[Cost item]],OP_Rates!$C131))*(1+Calc_ROM_2[Ausnet]))*(1+GST),8),0,1))</f>
        <v>-</v>
      </c>
      <c r="H131" s="84" cm="1">
        <f t="array" ref="H131">IF(H96="-","-",
IF(ROUND(H96,8)=ROUND(
((SUMIFS(Calc_Variable_2[Citipower],Calc_Variable_2[[Customer type]:[Customer type]],"All")+
SUMIFS(Calc_Variable_2[Citipower],Calc_Variable_2[[Customer type]:[Customer type]],OP_Rates!$E131)+
SUMIFS(Calc_NetworkV_2[Citipower],Calc_NetworkV_2[[Customer type]:[Customer type]],OP_Rates!$E131,Calc_NetworkV_2[[Cost item]:[Cost item]],OP_Rates!$C131))*(1+Calc_ROM_2[Citipower]))*(1+GST),8),0,1))</f>
        <v>0</v>
      </c>
      <c r="I131" s="84" cm="1">
        <f t="array" ref="I131">IF(I96="-","-",
IF(ROUND(I96,8)=ROUND(
((SUMIFS(Calc_Variable_2[Jemena],Calc_Variable_2[[Customer type]:[Customer type]],"All")+
SUMIFS(Calc_Variable_2[Jemena],Calc_Variable_2[[Customer type]:[Customer type]],OP_Rates!$E131)+
SUMIFS(Calc_NetworkV_2[Jemena],Calc_NetworkV_2[[Customer type]:[Customer type]],OP_Rates!$E131,Calc_NetworkV_2[[Cost item]:[Cost item]],OP_Rates!$C131))*(1+Calc_ROM_2[Jemena]))*(1+GST),8),0,1))</f>
        <v>0</v>
      </c>
      <c r="J131" s="84" cm="1">
        <f t="array" ref="J131">IF(J96="-","-",
IF(ROUND(J96,8)=ROUND(
((SUMIFS(Calc_Variable_2[Powercor],Calc_Variable_2[[Customer type]:[Customer type]],"All")+
SUMIFS(Calc_Variable_2[Powercor],Calc_Variable_2[[Customer type]:[Customer type]],OP_Rates!$E131)+
SUMIFS(Calc_NetworkV_2[Powercor],Calc_NetworkV_2[[Customer type]:[Customer type]],OP_Rates!$E131,Calc_NetworkV_2[[Cost item]:[Cost item]],OP_Rates!$C131))*(1+Calc_ROM_2[Powercor]))*(1+GST),8),0,1))</f>
        <v>0</v>
      </c>
      <c r="K131" s="84" cm="1">
        <f t="array" ref="K131">IF(K96="-","-",
IF(ROUND(K96,8)=ROUND(
((SUMIFS(Calc_Variable_2[United Energy],Calc_Variable_2[[Customer type]:[Customer type]],"All")+
SUMIFS(Calc_Variable_2[United Energy],Calc_Variable_2[[Customer type]:[Customer type]],OP_Rates!$E131)+
SUMIFS(Calc_NetworkV_2[United Energy],Calc_NetworkV_2[[Customer type]:[Customer type]],OP_Rates!$E131,Calc_NetworkV_2[[Cost item]:[Cost item]],OP_Rates!$C131))*(1+Calc_ROM_2[United Energy]))*(1+GST),8),0,1))</f>
        <v>0</v>
      </c>
      <c r="M131" s="20" t="s">
        <v>70</v>
      </c>
      <c r="N131" s="20" t="s">
        <v>68</v>
      </c>
      <c r="O131" s="20" t="s">
        <v>66</v>
      </c>
      <c r="Q131" s="84" t="str" cm="1">
        <f t="array" ref="Q131">IF(Q96="-","-",
IF(ROUND(Q96,8)=ROUND(
((SUMIFS(Calc_Variable_2[Ausnet],Calc_Variable_2[[Customer type]:[Customer type]],"All")+SUMIFS(Calc_Variable_2[Ausnet],Calc_Variable_2[[Customer type]:[Customer type]],OP_Rates!$O131)+
SUMIFS(Calc_NetworkV_2[Ausnet],Calc_NetworkV_2[[Customer type]:[Customer type]],OP_Rates!$O131,Calc_NetworkV_2[[Cost item]:[Cost item]],OP_Rates!$M131))*(1+Calc_ROM_2[Ausnet]))*(1+GST),8),0,1))</f>
        <v>-</v>
      </c>
      <c r="R131" s="84" cm="1">
        <f t="array" ref="R131">IF(R96="-","-",
IF(ROUND(R96,8)=ROUND(
((SUMIFS(Calc_Variable_2[Citipower],Calc_Variable_2[[Customer type]:[Customer type]],"All")+SUMIFS(Calc_Variable_2[Citipower],Calc_Variable_2[[Customer type]:[Customer type]],OP_Rates!$O131)+
SUMIFS(Calc_NetworkV_2[Citipower],Calc_NetworkV_2[[Customer type]:[Customer type]],OP_Rates!$O131,Calc_NetworkV_2[[Cost item]:[Cost item]],OP_Rates!$M131))*(1+Calc_ROM_2[Citipower]))*(1+GST),8),0,1))</f>
        <v>0</v>
      </c>
      <c r="S131" s="84" cm="1">
        <f t="array" ref="S131">IF(S96="-","-",
IF(ROUND(S96,8)=ROUND(
((SUMIFS(Calc_Variable_2[Jemena],Calc_Variable_2[[Customer type]:[Customer type]],"All")+SUMIFS(Calc_Variable_2[Jemena],Calc_Variable_2[[Customer type]:[Customer type]],OP_Rates!$O131)+
SUMIFS(Calc_NetworkV_2[Jemena],Calc_NetworkV_2[[Customer type]:[Customer type]],OP_Rates!$O131,Calc_NetworkV_2[[Cost item]:[Cost item]],OP_Rates!$M131))*(1+Calc_ROM_2[Jemena]))*(1+GST),8),0,1))</f>
        <v>0</v>
      </c>
      <c r="T131" s="84" cm="1">
        <f t="array" ref="T131">IF(T96="-","-",
IF(ROUND(T96,8)=ROUND(
((SUMIFS(Calc_Variable_2[Powercor],Calc_Variable_2[[Customer type]:[Customer type]],"All")+SUMIFS(Calc_Variable_2[Powercor],Calc_Variable_2[[Customer type]:[Customer type]],OP_Rates!$O131)+
SUMIFS(Calc_NetworkV_2[Powercor],Calc_NetworkV_2[[Customer type]:[Customer type]],OP_Rates!$O131,Calc_NetworkV_2[[Cost item]:[Cost item]],OP_Rates!$M131))*(1+Calc_ROM_2[Powercor]))*(1+GST),8),0,1))</f>
        <v>0</v>
      </c>
      <c r="U131" s="84" cm="1">
        <f t="array" ref="U131">IF(U96="-","-",
IF(ROUND(U96,8)=ROUND(
((SUMIFS(Calc_Variable_2[United Energy],Calc_Variable_2[[Customer type]:[Customer type]],"All")+SUMIFS(Calc_Variable_2[United Energy],Calc_Variable_2[[Customer type]:[Customer type]],OP_Rates!$O131)+
SUMIFS(Calc_NetworkV_2[United Energy],Calc_NetworkV_2[[Customer type]:[Customer type]],OP_Rates!$O131,Calc_NetworkV_2[[Cost item]:[Cost item]],OP_Rates!$M131))*(1+Calc_ROM_2[United Energy]))*(1+GST),8),0,1))</f>
        <v>0</v>
      </c>
    </row>
    <row r="132" spans="3:21" ht="15.5" hidden="1" outlineLevel="2">
      <c r="C132" s="20" t="s">
        <v>71</v>
      </c>
      <c r="D132" s="20" t="s">
        <v>64</v>
      </c>
      <c r="E132" s="20" t="s">
        <v>65</v>
      </c>
      <c r="G132" s="84" cm="1">
        <f t="array" ref="G132">IF(G97="-","-",
IF(ROUND(G97,8)=
ROUND((((SUMIFS(Calc_NetworkF_2[Ausnet],Calc_NetworkF_2[[Cost item]:[Cost item]],$C132,Calc_NetworkF_2[[Customer type]:[Customer type]],$E132)+SUMIFS(Calc_Fixed_2[Ausnet],Calc_Fixed_2[[Customer type]:[Customer type]],"All")+SUMIFS(Calc_Fixed_2[Ausnet],Calc_Fixed_2[[Customer type]:[Customer type]],$E132))/DiY)*(1+Calc_ROM_2[Ausnet]))*(1+GST),8),0,1))</f>
        <v>0</v>
      </c>
      <c r="H132" s="84" cm="1">
        <f t="array" ref="H132">IF(H97="-","-",
IF(ROUND(H97,8)=
ROUND((((SUMIFS(Calc_NetworkF_2[Citipower],Calc_NetworkF_2[[Cost item]:[Cost item]],$C132,Calc_NetworkF_2[[Customer type]:[Customer type]],$E132)+SUMIFS(Calc_Fixed_2[Citipower],Calc_Fixed_2[[Customer type]:[Customer type]],"All")+SUMIFS(Calc_Fixed_2[Citipower],Calc_Fixed_2[[Customer type]:[Customer type]],$E132))/DiY)*(1+Calc_ROM_2[Citipower]))*(1+GST),8),0,1))</f>
        <v>0</v>
      </c>
      <c r="I132" s="84" cm="1">
        <f t="array" ref="I132">IF(I97="-","-",
IF(ROUND(I97,8)=
ROUND((((SUMIFS(Calc_NetworkF_2[Jemena],Calc_NetworkF_2[[Cost item]:[Cost item]],$C132,Calc_NetworkF_2[[Customer type]:[Customer type]],$E132)+SUMIFS(Calc_Fixed_2[Jemena],Calc_Fixed_2[[Customer type]:[Customer type]],"All")+SUMIFS(Calc_Fixed_2[Jemena],Calc_Fixed_2[[Customer type]:[Customer type]],$E132))/DiY)*(1+Calc_ROM_2[Jemena]))*(1+GST),8),0,1))</f>
        <v>0</v>
      </c>
      <c r="J132" s="84" cm="1">
        <f t="array" ref="J132">IF(J97="-","-",
IF(ROUND(J97,8)=
ROUND((((SUMIFS(Calc_NetworkF_2[Powercor],Calc_NetworkF_2[[Cost item]:[Cost item]],$C132,Calc_NetworkF_2[[Customer type]:[Customer type]],$E132)+SUMIFS(Calc_Fixed_2[Powercor],Calc_Fixed_2[[Customer type]:[Customer type]],"All")+SUMIFS(Calc_Fixed_2[Powercor],Calc_Fixed_2[[Customer type]:[Customer type]],$E132))/DiY)*(1+Calc_ROM_2[Powercor]))*(1+GST),8),0,1))</f>
        <v>0</v>
      </c>
      <c r="K132" s="84" cm="1">
        <f t="array" ref="K132">IF(K97="-","-",
IF(ROUND(K97,8)=
ROUND((((SUMIFS(Calc_NetworkF_2[United Energy],Calc_NetworkF_2[[Cost item]:[Cost item]],$C132,Calc_NetworkF_2[[Customer type]:[Customer type]],$E132)+SUMIFS(Calc_Fixed_2[United Energy],Calc_Fixed_2[[Customer type]:[Customer type]],"All")+SUMIFS(Calc_Fixed_2[United Energy],Calc_Fixed_2[[Customer type]:[Customer type]],$E132))/DiY)*(1+Calc_ROM_2[United Energy]))*(1+GST),8),0,1))</f>
        <v>0</v>
      </c>
      <c r="M132" s="20" t="s">
        <v>71</v>
      </c>
      <c r="N132" s="20" t="s">
        <v>64</v>
      </c>
      <c r="O132" s="20" t="s">
        <v>66</v>
      </c>
      <c r="Q132" s="84" cm="1">
        <f t="array" ref="Q132">IF(Q97="-","-",
IF(ROUND(Q97,8)=
ROUND((((SUMIFS(Calc_NetworkF_2[Ausnet],Calc_NetworkF_2[[Cost item]:[Cost item]],$M132,Calc_NetworkF_2[[Customer type]:[Customer type]],$O132)+SUMIFS(Calc_Fixed_2[Ausnet],Calc_Fixed_2[[Customer type]:[Customer type]],"All")+SUMIFS(Calc_Fixed_2[Ausnet],Calc_Fixed_2[[Customer type]:[Customer type]],$O132))/DiY)*(1+Calc_ROM_2[Ausnet]))*(1+GST),8),0,1))</f>
        <v>0</v>
      </c>
      <c r="R132" s="84" cm="1">
        <f t="array" ref="R132">IF(R97="-","-",
IF(ROUND(R97,8)=
ROUND((((SUMIFS(Calc_NetworkF_2[Citipower],Calc_NetworkF_2[[Cost item]:[Cost item]],$M132,Calc_NetworkF_2[[Customer type]:[Customer type]],$O132)+SUMIFS(Calc_Fixed_2[Citipower],Calc_Fixed_2[[Customer type]:[Customer type]],"All")+SUMIFS(Calc_Fixed_2[Citipower],Calc_Fixed_2[[Customer type]:[Customer type]],$O132))/DiY)*(1+Calc_ROM_2[Citipower]))*(1+GST),8),0,1))</f>
        <v>0</v>
      </c>
      <c r="S132" s="84" cm="1">
        <f t="array" ref="S132">IF(S97="-","-",
IF(ROUND(S97,8)=
ROUND((((SUMIFS(Calc_NetworkF_2[Jemena],Calc_NetworkF_2[[Cost item]:[Cost item]],$M132,Calc_NetworkF_2[[Customer type]:[Customer type]],$O132)+SUMIFS(Calc_Fixed_2[Jemena],Calc_Fixed_2[[Customer type]:[Customer type]],"All")+SUMIFS(Calc_Fixed_2[Jemena],Calc_Fixed_2[[Customer type]:[Customer type]],$O132))/DiY)*(1+Calc_ROM_2[Jemena]))*(1+GST),8),0,1))</f>
        <v>0</v>
      </c>
      <c r="T132" s="84" cm="1">
        <f t="array" ref="T132">IF(T97="-","-",
IF(ROUND(T97,8)=
ROUND((((SUMIFS(Calc_NetworkF_2[Powercor],Calc_NetworkF_2[[Cost item]:[Cost item]],$M132,Calc_NetworkF_2[[Customer type]:[Customer type]],$O132)+SUMIFS(Calc_Fixed_2[Powercor],Calc_Fixed_2[[Customer type]:[Customer type]],"All")+SUMIFS(Calc_Fixed_2[Powercor],Calc_Fixed_2[[Customer type]:[Customer type]],$O132))/DiY)*(1+Calc_ROM_2[Powercor]))*(1+GST),8),0,1))</f>
        <v>0</v>
      </c>
      <c r="U132" s="84" cm="1">
        <f t="array" ref="U132">IF(U97="-","-",
IF(ROUND(U97,8)=
ROUND((((SUMIFS(Calc_NetworkF_2[United Energy],Calc_NetworkF_2[[Cost item]:[Cost item]],$M132,Calc_NetworkF_2[[Customer type]:[Customer type]],$O132)+SUMIFS(Calc_Fixed_2[United Energy],Calc_Fixed_2[[Customer type]:[Customer type]],"All")+SUMIFS(Calc_Fixed_2[United Energy],Calc_Fixed_2[[Customer type]:[Customer type]],$O132))/DiY)*(1+Calc_ROM_2[United Energy]))*(1+GST),8),0,1))</f>
        <v>0</v>
      </c>
    </row>
    <row r="133" spans="3:21" ht="15.5" hidden="1" outlineLevel="2">
      <c r="C133" s="20" t="s">
        <v>72</v>
      </c>
      <c r="D133" s="20" t="s">
        <v>68</v>
      </c>
      <c r="E133" s="20" t="s">
        <v>65</v>
      </c>
      <c r="G133" s="84" cm="1">
        <f t="array" ref="G133">IF(G98="-","-",
IF(ROUND(G98,8)=ROUND(
((SUMIFS(Calc_Variable_2[Ausnet],Calc_Variable_2[[Customer type]:[Customer type]],"All")+
SUMIFS(Calc_Variable_2[Ausnet],Calc_Variable_2[[Customer type]:[Customer type]],OP_Rates!$E133)+
SUMIFS(Calc_NetworkV_2[Ausnet],Calc_NetworkV_2[[Customer type]:[Customer type]],OP_Rates!$E133,Calc_NetworkV_2[[Cost item]:[Cost item]],OP_Rates!$C133))*(1+Calc_ROM_2[Ausnet]))*(1+GST),8),0,1))</f>
        <v>0</v>
      </c>
      <c r="H133" s="84" cm="1">
        <f t="array" ref="H133">IF(H98="-","-",
IF(ROUND(H98,8)=ROUND(
((SUMIFS(Calc_Variable_2[Citipower],Calc_Variable_2[[Customer type]:[Customer type]],"All")+
SUMIFS(Calc_Variable_2[Citipower],Calc_Variable_2[[Customer type]:[Customer type]],OP_Rates!$E133)+
SUMIFS(Calc_NetworkV_2[Citipower],Calc_NetworkV_2[[Customer type]:[Customer type]],OP_Rates!$E133,Calc_NetworkV_2[[Cost item]:[Cost item]],OP_Rates!$C133))*(1+Calc_ROM_2[Citipower]))*(1+GST),8),0,1))</f>
        <v>0</v>
      </c>
      <c r="I133" s="84" cm="1">
        <f t="array" ref="I133">IF(I98="-","-",
IF(ROUND(I98,8)=ROUND(
((SUMIFS(Calc_Variable_2[Jemena],Calc_Variable_2[[Customer type]:[Customer type]],"All")+
SUMIFS(Calc_Variable_2[Jemena],Calc_Variable_2[[Customer type]:[Customer type]],OP_Rates!$E133)+
SUMIFS(Calc_NetworkV_2[Jemena],Calc_NetworkV_2[[Customer type]:[Customer type]],OP_Rates!$E133,Calc_NetworkV_2[[Cost item]:[Cost item]],OP_Rates!$C133))*(1+Calc_ROM_2[Jemena]))*(1+GST),8),0,1))</f>
        <v>0</v>
      </c>
      <c r="J133" s="84" cm="1">
        <f t="array" ref="J133">IF(J98="-","-",
IF(ROUND(J98,8)=ROUND(
((SUMIFS(Calc_Variable_2[Powercor],Calc_Variable_2[[Customer type]:[Customer type]],"All")+
SUMIFS(Calc_Variable_2[Powercor],Calc_Variable_2[[Customer type]:[Customer type]],OP_Rates!$E133)+
SUMIFS(Calc_NetworkV_2[Powercor],Calc_NetworkV_2[[Customer type]:[Customer type]],OP_Rates!$E133,Calc_NetworkV_2[[Cost item]:[Cost item]],OP_Rates!$C133))*(1+Calc_ROM_2[Powercor]))*(1+GST),8),0,1))</f>
        <v>0</v>
      </c>
      <c r="K133" s="84" cm="1">
        <f t="array" ref="K133">IF(K98="-","-",
IF(ROUND(K98,8)=ROUND(
((SUMIFS(Calc_Variable_2[United Energy],Calc_Variable_2[[Customer type]:[Customer type]],"All")+
SUMIFS(Calc_Variable_2[United Energy],Calc_Variable_2[[Customer type]:[Customer type]],OP_Rates!$E133)+
SUMIFS(Calc_NetworkV_2[United Energy],Calc_NetworkV_2[[Customer type]:[Customer type]],OP_Rates!$E133,Calc_NetworkV_2[[Cost item]:[Cost item]],OP_Rates!$C133))*(1+Calc_ROM_2[United Energy]))*(1+GST),8),0,1))</f>
        <v>0</v>
      </c>
      <c r="M133" s="20" t="s">
        <v>72</v>
      </c>
      <c r="N133" s="20" t="s">
        <v>68</v>
      </c>
      <c r="O133" s="20" t="s">
        <v>66</v>
      </c>
      <c r="Q133" s="84" cm="1">
        <f t="array" ref="Q133">IF(Q98="-","-",
IF(ROUND(Q98,8)=ROUND(
((SUMIFS(Calc_Variable_2[Ausnet],Calc_Variable_2[[Customer type]:[Customer type]],"All")+SUMIFS(Calc_Variable_2[Ausnet],Calc_Variable_2[[Customer type]:[Customer type]],OP_Rates!$O133)+
SUMIFS(Calc_NetworkV_2[Ausnet],Calc_NetworkV_2[[Customer type]:[Customer type]],OP_Rates!$O133,Calc_NetworkV_2[[Cost item]:[Cost item]],OP_Rates!$M133))*(1+Calc_ROM_2[Ausnet]))*(1+GST),8),0,1))</f>
        <v>0</v>
      </c>
      <c r="R133" s="84" cm="1">
        <f t="array" ref="R133">IF(R98="-","-",
IF(ROUND(R98,8)=ROUND(
((SUMIFS(Calc_Variable_2[Citipower],Calc_Variable_2[[Customer type]:[Customer type]],"All")+SUMIFS(Calc_Variable_2[Citipower],Calc_Variable_2[[Customer type]:[Customer type]],OP_Rates!$O133)+
SUMIFS(Calc_NetworkV_2[Citipower],Calc_NetworkV_2[[Customer type]:[Customer type]],OP_Rates!$O133,Calc_NetworkV_2[[Cost item]:[Cost item]],OP_Rates!$M133))*(1+Calc_ROM_2[Citipower]))*(1+GST),8),0,1))</f>
        <v>0</v>
      </c>
      <c r="S133" s="84" cm="1">
        <f t="array" ref="S133">IF(S98="-","-",
IF(ROUND(S98,8)=ROUND(
((SUMIFS(Calc_Variable_2[Jemena],Calc_Variable_2[[Customer type]:[Customer type]],"All")+SUMIFS(Calc_Variable_2[Jemena],Calc_Variable_2[[Customer type]:[Customer type]],OP_Rates!$O133)+
SUMIFS(Calc_NetworkV_2[Jemena],Calc_NetworkV_2[[Customer type]:[Customer type]],OP_Rates!$O133,Calc_NetworkV_2[[Cost item]:[Cost item]],OP_Rates!$M133))*(1+Calc_ROM_2[Jemena]))*(1+GST),8),0,1))</f>
        <v>0</v>
      </c>
      <c r="T133" s="84" cm="1">
        <f t="array" ref="T133">IF(T98="-","-",
IF(ROUND(T98,8)=ROUND(
((SUMIFS(Calc_Variable_2[Powercor],Calc_Variable_2[[Customer type]:[Customer type]],"All")+SUMIFS(Calc_Variable_2[Powercor],Calc_Variable_2[[Customer type]:[Customer type]],OP_Rates!$O133)+
SUMIFS(Calc_NetworkV_2[Powercor],Calc_NetworkV_2[[Customer type]:[Customer type]],OP_Rates!$O133,Calc_NetworkV_2[[Cost item]:[Cost item]],OP_Rates!$M133))*(1+Calc_ROM_2[Powercor]))*(1+GST),8),0,1))</f>
        <v>0</v>
      </c>
      <c r="U133" s="84" cm="1">
        <f t="array" ref="U133">IF(U98="-","-",
IF(ROUND(U98,8)=ROUND(
((SUMIFS(Calc_Variable_2[United Energy],Calc_Variable_2[[Customer type]:[Customer type]],"All")+SUMIFS(Calc_Variable_2[United Energy],Calc_Variable_2[[Customer type]:[Customer type]],OP_Rates!$O133)+
SUMIFS(Calc_NetworkV_2[United Energy],Calc_NetworkV_2[[Customer type]:[Customer type]],OP_Rates!$O133,Calc_NetworkV_2[[Cost item]:[Cost item]],OP_Rates!$M133))*(1+Calc_ROM_2[United Energy]))*(1+GST),8),0,1))</f>
        <v>0</v>
      </c>
    </row>
    <row r="134" spans="3:21" ht="15.5" hidden="1" outlineLevel="2">
      <c r="C134" s="20" t="s">
        <v>73</v>
      </c>
      <c r="D134" s="20" t="s">
        <v>68</v>
      </c>
      <c r="E134" s="20" t="s">
        <v>65</v>
      </c>
      <c r="G134" s="84" cm="1">
        <f t="array" ref="G134">IF(G99="-","-",
IF(ROUND(G99,8)=ROUND(
((SUMIFS(Calc_Variable_2[Ausnet],Calc_Variable_2[[Customer type]:[Customer type]],"All")+
SUMIFS(Calc_Variable_2[Ausnet],Calc_Variable_2[[Customer type]:[Customer type]],OP_Rates!$E134)+
SUMIFS(Calc_NetworkV_2[Ausnet],Calc_NetworkV_2[[Customer type]:[Customer type]],OP_Rates!$E134,Calc_NetworkV_2[[Cost item]:[Cost item]],OP_Rates!$C134))*(1+Calc_ROM_2[Ausnet]))*(1+GST),8),0,1))</f>
        <v>0</v>
      </c>
      <c r="H134" s="84" cm="1">
        <f t="array" ref="H134">IF(H99="-","-",
IF(ROUND(H99,8)=ROUND(
((SUMIFS(Calc_Variable_2[Citipower],Calc_Variable_2[[Customer type]:[Customer type]],"All")+
SUMIFS(Calc_Variable_2[Citipower],Calc_Variable_2[[Customer type]:[Customer type]],OP_Rates!$E134)+
SUMIFS(Calc_NetworkV_2[Citipower],Calc_NetworkV_2[[Customer type]:[Customer type]],OP_Rates!$E134,Calc_NetworkV_2[[Cost item]:[Cost item]],OP_Rates!$C134))*(1+Calc_ROM_2[Citipower]))*(1+GST),8),0,1))</f>
        <v>0</v>
      </c>
      <c r="I134" s="84" cm="1">
        <f t="array" ref="I134">IF(I99="-","-",
IF(ROUND(I99,8)=ROUND(
((SUMIFS(Calc_Variable_2[Jemena],Calc_Variable_2[[Customer type]:[Customer type]],"All")+
SUMIFS(Calc_Variable_2[Jemena],Calc_Variable_2[[Customer type]:[Customer type]],OP_Rates!$E134)+
SUMIFS(Calc_NetworkV_2[Jemena],Calc_NetworkV_2[[Customer type]:[Customer type]],OP_Rates!$E134,Calc_NetworkV_2[[Cost item]:[Cost item]],OP_Rates!$C134))*(1+Calc_ROM_2[Jemena]))*(1+GST),8),0,1))</f>
        <v>0</v>
      </c>
      <c r="J134" s="84" cm="1">
        <f t="array" ref="J134">IF(J99="-","-",
IF(ROUND(J99,8)=ROUND(
((SUMIFS(Calc_Variable_2[Powercor],Calc_Variable_2[[Customer type]:[Customer type]],"All")+
SUMIFS(Calc_Variable_2[Powercor],Calc_Variable_2[[Customer type]:[Customer type]],OP_Rates!$E134)+
SUMIFS(Calc_NetworkV_2[Powercor],Calc_NetworkV_2[[Customer type]:[Customer type]],OP_Rates!$E134,Calc_NetworkV_2[[Cost item]:[Cost item]],OP_Rates!$C134))*(1+Calc_ROM_2[Powercor]))*(1+GST),8),0,1))</f>
        <v>0</v>
      </c>
      <c r="K134" s="84" cm="1">
        <f t="array" ref="K134">IF(K99="-","-",
IF(ROUND(K99,8)=ROUND(
((SUMIFS(Calc_Variable_2[United Energy],Calc_Variable_2[[Customer type]:[Customer type]],"All")+
SUMIFS(Calc_Variable_2[United Energy],Calc_Variable_2[[Customer type]:[Customer type]],OP_Rates!$E134)+
SUMIFS(Calc_NetworkV_2[United Energy],Calc_NetworkV_2[[Customer type]:[Customer type]],OP_Rates!$E134,Calc_NetworkV_2[[Cost item]:[Cost item]],OP_Rates!$C134))*(1+Calc_ROM_2[United Energy]))*(1+GST),8),0,1))</f>
        <v>0</v>
      </c>
      <c r="M134" s="20" t="s">
        <v>73</v>
      </c>
      <c r="N134" s="20" t="s">
        <v>68</v>
      </c>
      <c r="O134" s="20" t="s">
        <v>66</v>
      </c>
      <c r="Q134" s="84" cm="1">
        <f t="array" ref="Q134">IF(Q99="-","-",
IF(ROUND(Q99,8)=ROUND(
((SUMIFS(Calc_Variable_2[Ausnet],Calc_Variable_2[[Customer type]:[Customer type]],"All")+SUMIFS(Calc_Variable_2[Ausnet],Calc_Variable_2[[Customer type]:[Customer type]],OP_Rates!$O134)+
SUMIFS(Calc_NetworkV_2[Ausnet],Calc_NetworkV_2[[Customer type]:[Customer type]],OP_Rates!$O134,Calc_NetworkV_2[[Cost item]:[Cost item]],OP_Rates!$M134))*(1+Calc_ROM_2[Ausnet]))*(1+GST),8),0,1))</f>
        <v>0</v>
      </c>
      <c r="R134" s="84" cm="1">
        <f t="array" ref="R134">IF(R99="-","-",
IF(ROUND(R99,8)=ROUND(
((SUMIFS(Calc_Variable_2[Citipower],Calc_Variable_2[[Customer type]:[Customer type]],"All")+SUMIFS(Calc_Variable_2[Citipower],Calc_Variable_2[[Customer type]:[Customer type]],OP_Rates!$O134)+
SUMIFS(Calc_NetworkV_2[Citipower],Calc_NetworkV_2[[Customer type]:[Customer type]],OP_Rates!$O134,Calc_NetworkV_2[[Cost item]:[Cost item]],OP_Rates!$M134))*(1+Calc_ROM_2[Citipower]))*(1+GST),8),0,1))</f>
        <v>0</v>
      </c>
      <c r="S134" s="84" cm="1">
        <f t="array" ref="S134">IF(S99="-","-",
IF(ROUND(S99,8)=ROUND(
((SUMIFS(Calc_Variable_2[Jemena],Calc_Variable_2[[Customer type]:[Customer type]],"All")+SUMIFS(Calc_Variable_2[Jemena],Calc_Variable_2[[Customer type]:[Customer type]],OP_Rates!$O134)+
SUMIFS(Calc_NetworkV_2[Jemena],Calc_NetworkV_2[[Customer type]:[Customer type]],OP_Rates!$O134,Calc_NetworkV_2[[Cost item]:[Cost item]],OP_Rates!$M134))*(1+Calc_ROM_2[Jemena]))*(1+GST),8),0,1))</f>
        <v>0</v>
      </c>
      <c r="T134" s="84" cm="1">
        <f t="array" ref="T134">IF(T99="-","-",
IF(ROUND(T99,8)=ROUND(
((SUMIFS(Calc_Variable_2[Powercor],Calc_Variable_2[[Customer type]:[Customer type]],"All")+SUMIFS(Calc_Variable_2[Powercor],Calc_Variable_2[[Customer type]:[Customer type]],OP_Rates!$O134)+
SUMIFS(Calc_NetworkV_2[Powercor],Calc_NetworkV_2[[Customer type]:[Customer type]],OP_Rates!$O134,Calc_NetworkV_2[[Cost item]:[Cost item]],OP_Rates!$M134))*(1+Calc_ROM_2[Powercor]))*(1+GST),8),0,1))</f>
        <v>0</v>
      </c>
      <c r="U134" s="84" cm="1">
        <f t="array" ref="U134">IF(U99="-","-",
IF(ROUND(U99,8)=ROUND(
((SUMIFS(Calc_Variable_2[United Energy],Calc_Variable_2[[Customer type]:[Customer type]],"All")+SUMIFS(Calc_Variable_2[United Energy],Calc_Variable_2[[Customer type]:[Customer type]],OP_Rates!$O134)+
SUMIFS(Calc_NetworkV_2[United Energy],Calc_NetworkV_2[[Customer type]:[Customer type]],OP_Rates!$O134,Calc_NetworkV_2[[Cost item]:[Cost item]],OP_Rates!$M134))*(1+Calc_ROM_2[United Energy]))*(1+GST),8),0,1))</f>
        <v>0</v>
      </c>
    </row>
    <row r="135" spans="3:21" ht="15.5" hidden="1" outlineLevel="2">
      <c r="C135" s="20" t="s">
        <v>74</v>
      </c>
      <c r="D135" s="20" t="s">
        <v>68</v>
      </c>
      <c r="E135" s="20" t="s">
        <v>65</v>
      </c>
      <c r="G135" s="84" cm="1">
        <f t="array" ref="G135">IF(G100="-","-",
IF(ROUND(G100,8)=ROUND(
((SUMIFS(Calc_Variable_2[Ausnet],Calc_Variable_2[[Customer type]:[Customer type]],"All")+
SUMIFS(Calc_Variable_2[Ausnet],Calc_Variable_2[[Customer type]:[Customer type]],OP_Rates!$E135)+
SUMIFS(Calc_NetworkV_2[Ausnet],Calc_NetworkV_2[[Customer type]:[Customer type]],OP_Rates!$E135,Calc_NetworkV_2[[Cost item]:[Cost item]],OP_Rates!$C135))*(1+Calc_ROM_2[Ausnet]))*(1+GST),8),0,1))</f>
        <v>0</v>
      </c>
      <c r="H135" s="84" cm="1">
        <f t="array" ref="H135">IF(H100="-","-",
IF(ROUND(H100,8)=ROUND(
((SUMIFS(Calc_Variable_2[Citipower],Calc_Variable_2[[Customer type]:[Customer type]],"All")+
SUMIFS(Calc_Variable_2[Citipower],Calc_Variable_2[[Customer type]:[Customer type]],OP_Rates!$E135)+
SUMIFS(Calc_NetworkV_2[Citipower],Calc_NetworkV_2[[Customer type]:[Customer type]],OP_Rates!$E135,Calc_NetworkV_2[[Cost item]:[Cost item]],OP_Rates!$C135))*(1+Calc_ROM_2[Citipower]))*(1+GST),8),0,1))</f>
        <v>0</v>
      </c>
      <c r="I135" s="84" cm="1">
        <f t="array" ref="I135">IF(I100="-","-",
IF(ROUND(I100,8)=ROUND(
((SUMIFS(Calc_Variable_2[Jemena],Calc_Variable_2[[Customer type]:[Customer type]],"All")+
SUMIFS(Calc_Variable_2[Jemena],Calc_Variable_2[[Customer type]:[Customer type]],OP_Rates!$E135)+
SUMIFS(Calc_NetworkV_2[Jemena],Calc_NetworkV_2[[Customer type]:[Customer type]],OP_Rates!$E135,Calc_NetworkV_2[[Cost item]:[Cost item]],OP_Rates!$C135))*(1+Calc_ROM_2[Jemena]))*(1+GST),8),0,1))</f>
        <v>0</v>
      </c>
      <c r="J135" s="84" cm="1">
        <f t="array" ref="J135">IF(J100="-","-",
IF(ROUND(J100,8)=ROUND(
((SUMIFS(Calc_Variable_2[Powercor],Calc_Variable_2[[Customer type]:[Customer type]],"All")+
SUMIFS(Calc_Variable_2[Powercor],Calc_Variable_2[[Customer type]:[Customer type]],OP_Rates!$E135)+
SUMIFS(Calc_NetworkV_2[Powercor],Calc_NetworkV_2[[Customer type]:[Customer type]],OP_Rates!$E135,Calc_NetworkV_2[[Cost item]:[Cost item]],OP_Rates!$C135))*(1+Calc_ROM_2[Powercor]))*(1+GST),8),0,1))</f>
        <v>0</v>
      </c>
      <c r="K135" s="84" cm="1">
        <f t="array" ref="K135">IF(K100="-","-",
IF(ROUND(K100,8)=ROUND(
((SUMIFS(Calc_Variable_2[United Energy],Calc_Variable_2[[Customer type]:[Customer type]],"All")+
SUMIFS(Calc_Variable_2[United Energy],Calc_Variable_2[[Customer type]:[Customer type]],OP_Rates!$E135)+
SUMIFS(Calc_NetworkV_2[United Energy],Calc_NetworkV_2[[Customer type]:[Customer type]],OP_Rates!$E135,Calc_NetworkV_2[[Cost item]:[Cost item]],OP_Rates!$C135))*(1+Calc_ROM_2[United Energy]))*(1+GST),8),0,1))</f>
        <v>0</v>
      </c>
      <c r="M135" s="20"/>
      <c r="N135" s="20"/>
      <c r="O135" s="20"/>
      <c r="Q135" s="84"/>
      <c r="R135" s="84"/>
      <c r="S135" s="84"/>
      <c r="T135" s="84"/>
      <c r="U135" s="84"/>
    </row>
    <row r="136" spans="3:21" hidden="1" outlineLevel="2"/>
    <row r="137" spans="3:21" ht="15.5" hidden="1" outlineLevel="2">
      <c r="C137" s="26" t="str">
        <f>C$102&amp;" - checks"</f>
        <v>Residential True Up - checks</v>
      </c>
      <c r="M137" s="26" t="str">
        <f>M$102&amp;" - checks"</f>
        <v>Small business True Up - checks</v>
      </c>
    </row>
    <row r="138" spans="3:21" ht="15.5" hidden="1" outlineLevel="2">
      <c r="C138" s="38" t="s">
        <v>55</v>
      </c>
      <c r="D138" s="38" t="s">
        <v>56</v>
      </c>
      <c r="E138" s="38" t="s">
        <v>57</v>
      </c>
      <c r="F138" s="38" t="s">
        <v>32</v>
      </c>
      <c r="G138" s="45" t="s">
        <v>58</v>
      </c>
      <c r="H138" s="45" t="s">
        <v>59</v>
      </c>
      <c r="I138" s="45" t="s">
        <v>60</v>
      </c>
      <c r="J138" s="45" t="s">
        <v>61</v>
      </c>
      <c r="K138" s="45" t="s">
        <v>62</v>
      </c>
      <c r="M138" s="38" t="s">
        <v>55</v>
      </c>
      <c r="N138" s="38" t="s">
        <v>56</v>
      </c>
      <c r="O138" s="38" t="s">
        <v>57</v>
      </c>
      <c r="P138" s="38" t="s">
        <v>32</v>
      </c>
      <c r="Q138" s="45" t="s">
        <v>58</v>
      </c>
      <c r="R138" s="45" t="s">
        <v>59</v>
      </c>
      <c r="S138" s="45" t="s">
        <v>60</v>
      </c>
      <c r="T138" s="45" t="s">
        <v>61</v>
      </c>
      <c r="U138" s="45" t="s">
        <v>62</v>
      </c>
    </row>
    <row r="139" spans="3:21" ht="15.5" hidden="1" outlineLevel="2">
      <c r="C139" s="53" t="s">
        <v>79</v>
      </c>
      <c r="D139" s="53" t="s">
        <v>64</v>
      </c>
      <c r="E139" s="53" t="s">
        <v>65</v>
      </c>
      <c r="F139" s="53" t="s">
        <v>80</v>
      </c>
      <c r="G139" s="155" t="str" cm="1">
        <f t="array" ref="G139">IF(G104="-","-",
IF(ROUND(G104,8)=
IF($F139="Network",
IF($C139&lt;&gt;"Controlled load",
ROUND(INDEX(Calc_TUR_Net_2[[Ausnet]:[United Energy]],MATCH(1,(Calc_TUR_Net_2[[Customer type]:[Customer type]]=OP_Rates!$E139)*(Calc_TUR_Net_2[[Rate type]:[Rate type]]=OP_Rates!$C139),0),MATCH(OP_Rates!G$65,Calc_TUR_Net_2[[#Headers],[Ausnet]:[United Energy]],0)),8),
ROUND(INDEX(Calc_TUR_NetCL_2[[Ausnet]:[United Energy]],MATCH(OP_Rates!$E139,Calc_TUR_Net_2[[Customer type]:[Customer type]],0),MATCH(OP_Rates!G$65,Calc_TUR_Net_2[[#Headers],[Ausnet]:[United Energy]],0)),8)),
IF($F139="Environmental",
ROUND(SUMIFS(Calc_TUR_ENV_2[Ausnet],Calc_TUR_ENV_2[[Customer type]:[Customer type]],OP_Rates!$E139,Calc_TUR_ENV_2[[Rate type]:[Rate type]],OP_Rates!$C139),8))),0,1))</f>
        <v>-</v>
      </c>
      <c r="H139" s="155" t="str" cm="1">
        <f t="array" ref="H139">IF(H104="-","-",
IF(ROUND(H104,8)=
IF($F139="Network",
IF($C139&lt;&gt;"Controlled load",
ROUND(INDEX(Calc_TUR_Net_2[[Ausnet]:[United Energy]],MATCH(1,(Calc_TUR_Net_2[[Customer type]:[Customer type]]=OP_Rates!$E139)*(Calc_TUR_Net_2[[Rate type]:[Rate type]]=OP_Rates!$C139),0),MATCH(OP_Rates!H$65,Calc_TUR_Net_2[[#Headers],[Ausnet]:[United Energy]],0)),8),
ROUND(INDEX(Calc_TUR_NetCL_2[[Ausnet]:[United Energy]],MATCH(OP_Rates!$E139,Calc_TUR_Net_2[[Customer type]:[Customer type]],0),MATCH(OP_Rates!H$65,Calc_TUR_Net_2[[#Headers],[Ausnet]:[United Energy]],0)),8)),
IF($F139="Environmental",
ROUND(SUMIFS(Calc_TUR_ENV_2[Citipower],Calc_TUR_ENV_2[[Customer type]:[Customer type]],OP_Rates!$E139,Calc_TUR_ENV_2[[Rate type]:[Rate type]],OP_Rates!$C139),8))),0,1))</f>
        <v>-</v>
      </c>
      <c r="I139" s="155" t="str" cm="1">
        <f t="array" ref="I139">IF(I104="-","-",
IF(ROUND(I104,8)=
IF($F139="Network",
IF($C139&lt;&gt;"Controlled load",
ROUND(INDEX(Calc_TUR_Net_2[[Ausnet]:[United Energy]],MATCH(1,(Calc_TUR_Net_2[[Customer type]:[Customer type]]=OP_Rates!$E139)*(Calc_TUR_Net_2[[Rate type]:[Rate type]]=OP_Rates!$C139),0),MATCH(OP_Rates!I$65,Calc_TUR_Net_2[[#Headers],[Ausnet]:[United Energy]],0)),8),
ROUND(INDEX(Calc_TUR_NetCL_2[[Ausnet]:[United Energy]],MATCH(OP_Rates!$E139,Calc_TUR_Net_2[[Customer type]:[Customer type]],0),MATCH(OP_Rates!I$65,Calc_TUR_Net_2[[#Headers],[Ausnet]:[United Energy]],0)),8)),
IF($F139="Environmental",
ROUND(SUMIFS(Calc_TUR_ENV_2[Jemena],Calc_TUR_ENV_2[[Customer type]:[Customer type]],OP_Rates!$E139,Calc_TUR_ENV_2[[Rate type]:[Rate type]],OP_Rates!$C139),8))),0,1))</f>
        <v>-</v>
      </c>
      <c r="J139" s="155" t="str" cm="1">
        <f t="array" ref="J139">IF(J104="-","-",
IF(ROUND(J104,8)=
IF($F139="Network",
IF($C139&lt;&gt;"Controlled load",
ROUND(INDEX(Calc_TUR_Net_2[[Ausnet]:[United Energy]],MATCH(1,(Calc_TUR_Net_2[[Customer type]:[Customer type]]=OP_Rates!$E139)*(Calc_TUR_Net_2[[Rate type]:[Rate type]]=OP_Rates!$C139),0),MATCH(OP_Rates!J$65,Calc_TUR_Net_2[[#Headers],[Ausnet]:[United Energy]],0)),8),
ROUND(INDEX(Calc_TUR_NetCL_2[[Ausnet]:[United Energy]],MATCH(OP_Rates!$E139,Calc_TUR_Net_2[[Customer type]:[Customer type]],0),MATCH(OP_Rates!J$65,Calc_TUR_Net_2[[#Headers],[Ausnet]:[United Energy]],0)),8)),
IF($F139="Environmental",
ROUND(SUMIFS(Calc_TUR_ENV_2[Powercor],Calc_TUR_ENV_2[[Customer type]:[Customer type]],OP_Rates!$E139,Calc_TUR_ENV_2[[Rate type]:[Rate type]],OP_Rates!$C139),8))),0,1))</f>
        <v>-</v>
      </c>
      <c r="K139" s="155" t="str" cm="1">
        <f t="array" ref="K139">IF(K104="-","-",
IF(ROUND(K104,8)=
IF($F139="Network",
IF($C139&lt;&gt;"Controlled load",
ROUND(INDEX(Calc_TUR_Net_2[[Ausnet]:[United Energy]],MATCH(1,(Calc_TUR_Net_2[[Customer type]:[Customer type]]=OP_Rates!$E139)*(Calc_TUR_Net_2[[Rate type]:[Rate type]]=OP_Rates!$C139),0),MATCH(OP_Rates!K$65,Calc_TUR_Net_2[[#Headers],[Ausnet]:[United Energy]],0)),8),
ROUND(INDEX(Calc_TUR_NetCL_2[[Ausnet]:[United Energy]],MATCH(OP_Rates!$E139,Calc_TUR_Net_2[[Customer type]:[Customer type]],0),MATCH(OP_Rates!K$65,Calc_TUR_Net_2[[#Headers],[Ausnet]:[United Energy]],0)),8)),
IF($F139="Environmental",
ROUND(SUMIFS(Calc_TUR_ENV_2[United Energy],Calc_TUR_ENV_2[[Customer type]:[Customer type]],OP_Rates!$E139,Calc_TUR_ENV_2[[Rate type]:[Rate type]],OP_Rates!$C139),8))),0,1))</f>
        <v>-</v>
      </c>
      <c r="M139" s="53" t="s">
        <v>79</v>
      </c>
      <c r="N139" s="53" t="s">
        <v>64</v>
      </c>
      <c r="O139" s="53" t="s">
        <v>66</v>
      </c>
      <c r="P139" s="53" t="s">
        <v>80</v>
      </c>
      <c r="Q139" s="155" t="str" cm="1">
        <f t="array" ref="Q139">IF(Q104="-","-",
IF(ROUND(Q104,8)=
IF($P139="Network",
ROUND(INDEX(Calc_TUR_Net_2[[Ausnet]:[United Energy]],MATCH(1,(Calc_TUR_Net_2[[Customer type]:[Customer type]]=OP_Rates!$O139)*(Calc_TUR_Net_2[[Rate type]:[Rate type]]=OP_Rates!$M139),0),MATCH(OP_Rates!Q$65,Calc_TUR_Net_2[[#Headers],[Ausnet]:[United Energy]],0)),8),
IF($P139="Environmental",
ROUND(SUMIFS(Calc_TUR_ENV_2[Ausnet],Calc_TUR_ENV_2[[Customer type]:[Customer type]],OP_Rates!$O139,Calc_TUR_ENV_2[[Rate type]:[Rate type]],OP_Rates!$M139),8))),0,1))</f>
        <v>-</v>
      </c>
      <c r="R139" s="155" t="str" cm="1">
        <f t="array" ref="R139">IF(R104="-","-",
IF(ROUND(R104,8)=
IF($P139="Network",
ROUND(INDEX(Calc_TUR_Net_2[[Ausnet]:[United Energy]],MATCH(1,(Calc_TUR_Net_2[[Customer type]:[Customer type]]=OP_Rates!$O139)*(Calc_TUR_Net_2[[Rate type]:[Rate type]]=OP_Rates!$M139),0),MATCH(OP_Rates!R$65,Calc_TUR_Net_2[[#Headers],[Ausnet]:[United Energy]],0)),8),
IF($P139="Environmental",
ROUND(SUMIFS(Calc_TUR_ENV_2[Citipower],Calc_TUR_ENV_2[[Customer type]:[Customer type]],OP_Rates!$O139,Calc_TUR_ENV_2[[Rate type]:[Rate type]],OP_Rates!$M139),8))),0,1))</f>
        <v>-</v>
      </c>
      <c r="S139" s="155" t="str" cm="1">
        <f t="array" ref="S139">IF(S104="-","-",
IF(ROUND(S104,8)=
IF($P139="Network",
ROUND(INDEX(Calc_TUR_Net_2[[Ausnet]:[United Energy]],MATCH(1,(Calc_TUR_Net_2[[Customer type]:[Customer type]]=OP_Rates!$O139)*(Calc_TUR_Net_2[[Rate type]:[Rate type]]=OP_Rates!$M139),0),MATCH(OP_Rates!S$65,Calc_TUR_Net_2[[#Headers],[Ausnet]:[United Energy]],0)),8),
IF($P139="Environmental",
ROUND(SUMIFS(Calc_TUR_ENV_2[Jemena],Calc_TUR_ENV_2[[Customer type]:[Customer type]],OP_Rates!$O139,Calc_TUR_ENV_2[[Rate type]:[Rate type]],OP_Rates!$M139),8))),0,1))</f>
        <v>-</v>
      </c>
      <c r="T139" s="155" t="str" cm="1">
        <f t="array" ref="T139">IF(T104="-","-",
IF(ROUND(T104,8)=
IF($P139="Network",
ROUND(INDEX(Calc_TUR_Net_2[[Ausnet]:[United Energy]],MATCH(1,(Calc_TUR_Net_2[[Customer type]:[Customer type]]=OP_Rates!$O139)*(Calc_TUR_Net_2[[Rate type]:[Rate type]]=OP_Rates!$M139),0),MATCH(OP_Rates!T$65,Calc_TUR_Net_2[[#Headers],[Ausnet]:[United Energy]],0)),8),
IF($P139="Environmental",
ROUND(SUMIFS(Calc_TUR_ENV_2[Powercor],Calc_TUR_ENV_2[[Customer type]:[Customer type]],OP_Rates!$O139,Calc_TUR_ENV_2[[Rate type]:[Rate type]],OP_Rates!$M139),8))),0,1))</f>
        <v>-</v>
      </c>
      <c r="U139" s="155" t="str" cm="1">
        <f t="array" ref="U139">IF(U104="-","-",
IF(ROUND(U104,8)=
IF($P139="Network",
ROUND(INDEX(Calc_TUR_Net_2[[Ausnet]:[United Energy]],MATCH(1,(Calc_TUR_Net_2[[Customer type]:[Customer type]]=OP_Rates!$O139)*(Calc_TUR_Net_2[[Rate type]:[Rate type]]=OP_Rates!$M139),0),MATCH(OP_Rates!U$65,Calc_TUR_Net_2[[#Headers],[Ausnet]:[United Energy]],0)),8),
IF($P139="Environmental",
ROUND(SUMIFS(Calc_TUR_ENV_2[United Energy],Calc_TUR_ENV_2[[Customer type]:[Customer type]],OP_Rates!$O139,Calc_TUR_ENV_2[[Rate type]:[Rate type]],OP_Rates!$M139),8))),0,1))</f>
        <v>-</v>
      </c>
    </row>
    <row r="140" spans="3:21" ht="15.5" hidden="1" outlineLevel="2">
      <c r="C140" s="53" t="s">
        <v>81</v>
      </c>
      <c r="D140" s="53" t="s">
        <v>64</v>
      </c>
      <c r="E140" s="53" t="s">
        <v>65</v>
      </c>
      <c r="F140" s="53" t="s">
        <v>80</v>
      </c>
      <c r="G140" s="155" t="str" cm="1">
        <f t="array" ref="G140">IF(G105="-","-",
IF(ROUND(G105,8)=
IF($F140="Network",
IF($C140&lt;&gt;"Controlled load",
ROUND(INDEX(Calc_TUR_Net_2[[Ausnet]:[United Energy]],MATCH(1,(Calc_TUR_Net_2[[Customer type]:[Customer type]]=OP_Rates!$E140)*(Calc_TUR_Net_2[[Rate type]:[Rate type]]=OP_Rates!$C140),0),MATCH(OP_Rates!G$65,Calc_TUR_Net_2[[#Headers],[Ausnet]:[United Energy]],0)),8),
ROUND(INDEX(Calc_TUR_NetCL_2[[Ausnet]:[United Energy]],MATCH(OP_Rates!$E140,Calc_TUR_Net_2[[Customer type]:[Customer type]],0),MATCH(OP_Rates!G$65,Calc_TUR_Net_2[[#Headers],[Ausnet]:[United Energy]],0)),8)),
IF($F140="Environmental",
ROUND(SUMIFS(Calc_TUR_ENV_2[Ausnet],Calc_TUR_ENV_2[[Customer type]:[Customer type]],OP_Rates!$E140,Calc_TUR_ENV_2[[Rate type]:[Rate type]],OP_Rates!$C140),8))),0,1))</f>
        <v>-</v>
      </c>
      <c r="H140" s="155" t="str" cm="1">
        <f t="array" ref="H140">IF(H105="-","-",
IF(ROUND(H105,8)=
IF($F140="Network",
IF($C140&lt;&gt;"Controlled load",
ROUND(INDEX(Calc_TUR_Net_2[[Ausnet]:[United Energy]],MATCH(1,(Calc_TUR_Net_2[[Customer type]:[Customer type]]=OP_Rates!$E140)*(Calc_TUR_Net_2[[Rate type]:[Rate type]]=OP_Rates!$C140),0),MATCH(OP_Rates!H$65,Calc_TUR_Net_2[[#Headers],[Ausnet]:[United Energy]],0)),8),
ROUND(INDEX(Calc_TUR_NetCL_2[[Ausnet]:[United Energy]],MATCH(OP_Rates!$E140,Calc_TUR_Net_2[[Customer type]:[Customer type]],0),MATCH(OP_Rates!H$65,Calc_TUR_Net_2[[#Headers],[Ausnet]:[United Energy]],0)),8)),
IF($F140="Environmental",
ROUND(SUMIFS(Calc_TUR_ENV_2[Citipower],Calc_TUR_ENV_2[[Customer type]:[Customer type]],OP_Rates!$E140,Calc_TUR_ENV_2[[Rate type]:[Rate type]],OP_Rates!$C140),8))),0,1))</f>
        <v>-</v>
      </c>
      <c r="I140" s="155" t="str" cm="1">
        <f t="array" ref="I140">IF(I105="-","-",
IF(ROUND(I105,8)=
IF($F140="Network",
IF($C140&lt;&gt;"Controlled load",
ROUND(INDEX(Calc_TUR_Net_2[[Ausnet]:[United Energy]],MATCH(1,(Calc_TUR_Net_2[[Customer type]:[Customer type]]=OP_Rates!$E140)*(Calc_TUR_Net_2[[Rate type]:[Rate type]]=OP_Rates!$C140),0),MATCH(OP_Rates!I$65,Calc_TUR_Net_2[[#Headers],[Ausnet]:[United Energy]],0)),8),
ROUND(INDEX(Calc_TUR_NetCL_2[[Ausnet]:[United Energy]],MATCH(OP_Rates!$E140,Calc_TUR_Net_2[[Customer type]:[Customer type]],0),MATCH(OP_Rates!I$65,Calc_TUR_Net_2[[#Headers],[Ausnet]:[United Energy]],0)),8)),
IF($F140="Environmental",
ROUND(SUMIFS(Calc_TUR_ENV_2[Jemena],Calc_TUR_ENV_2[[Customer type]:[Customer type]],OP_Rates!$E140,Calc_TUR_ENV_2[[Rate type]:[Rate type]],OP_Rates!$C140),8))),0,1))</f>
        <v>-</v>
      </c>
      <c r="J140" s="155" t="str" cm="1">
        <f t="array" ref="J140">IF(J105="-","-",
IF(ROUND(J105,8)=
IF($F140="Network",
IF($C140&lt;&gt;"Controlled load",
ROUND(INDEX(Calc_TUR_Net_2[[Ausnet]:[United Energy]],MATCH(1,(Calc_TUR_Net_2[[Customer type]:[Customer type]]=OP_Rates!$E140)*(Calc_TUR_Net_2[[Rate type]:[Rate type]]=OP_Rates!$C140),0),MATCH(OP_Rates!J$65,Calc_TUR_Net_2[[#Headers],[Ausnet]:[United Energy]],0)),8),
ROUND(INDEX(Calc_TUR_NetCL_2[[Ausnet]:[United Energy]],MATCH(OP_Rates!$E140,Calc_TUR_Net_2[[Customer type]:[Customer type]],0),MATCH(OP_Rates!J$65,Calc_TUR_Net_2[[#Headers],[Ausnet]:[United Energy]],0)),8)),
IF($F140="Environmental",
ROUND(SUMIFS(Calc_TUR_ENV_2[Powercor],Calc_TUR_ENV_2[[Customer type]:[Customer type]],OP_Rates!$E140,Calc_TUR_ENV_2[[Rate type]:[Rate type]],OP_Rates!$C140),8))),0,1))</f>
        <v>-</v>
      </c>
      <c r="K140" s="155" t="str" cm="1">
        <f t="array" ref="K140">IF(K105="-","-",
IF(ROUND(K105,8)=
IF($F140="Network",
IF($C140&lt;&gt;"Controlled load",
ROUND(INDEX(Calc_TUR_Net_2[[Ausnet]:[United Energy]],MATCH(1,(Calc_TUR_Net_2[[Customer type]:[Customer type]]=OP_Rates!$E140)*(Calc_TUR_Net_2[[Rate type]:[Rate type]]=OP_Rates!$C140),0),MATCH(OP_Rates!K$65,Calc_TUR_Net_2[[#Headers],[Ausnet]:[United Energy]],0)),8),
ROUND(INDEX(Calc_TUR_NetCL_2[[Ausnet]:[United Energy]],MATCH(OP_Rates!$E140,Calc_TUR_Net_2[[Customer type]:[Customer type]],0),MATCH(OP_Rates!K$65,Calc_TUR_Net_2[[#Headers],[Ausnet]:[United Energy]],0)),8)),
IF($F140="Environmental",
ROUND(SUMIFS(Calc_TUR_ENV_2[United Energy],Calc_TUR_ENV_2[[Customer type]:[Customer type]],OP_Rates!$E140,Calc_TUR_ENV_2[[Rate type]:[Rate type]],OP_Rates!$C140),8))),0,1))</f>
        <v>-</v>
      </c>
      <c r="M140" s="53" t="s">
        <v>81</v>
      </c>
      <c r="N140" s="53" t="s">
        <v>64</v>
      </c>
      <c r="O140" s="53" t="s">
        <v>66</v>
      </c>
      <c r="P140" s="53" t="s">
        <v>80</v>
      </c>
      <c r="Q140" s="155" t="str" cm="1">
        <f t="array" ref="Q140">IF(Q105="-","-",
IF(ROUND(Q105,8)=
IF($P140="Network",
ROUND(INDEX(Calc_TUR_Net_2[[Ausnet]:[United Energy]],MATCH(1,(Calc_TUR_Net_2[[Customer type]:[Customer type]]=OP_Rates!$O140)*(Calc_TUR_Net_2[[Rate type]:[Rate type]]=OP_Rates!$M140),0),MATCH(OP_Rates!Q$65,Calc_TUR_Net_2[[#Headers],[Ausnet]:[United Energy]],0)),8),
IF($P140="Environmental",
ROUND(SUMIFS(Calc_TUR_ENV_2[Ausnet],Calc_TUR_ENV_2[[Customer type]:[Customer type]],OP_Rates!$O140,Calc_TUR_ENV_2[[Rate type]:[Rate type]],OP_Rates!$M140),8))),0,1))</f>
        <v>-</v>
      </c>
      <c r="R140" s="155" t="str" cm="1">
        <f t="array" ref="R140">IF(R105="-","-",
IF(ROUND(R105,8)=
IF($P140="Network",
ROUND(INDEX(Calc_TUR_Net_2[[Ausnet]:[United Energy]],MATCH(1,(Calc_TUR_Net_2[[Customer type]:[Customer type]]=OP_Rates!$O140)*(Calc_TUR_Net_2[[Rate type]:[Rate type]]=OP_Rates!$M140),0),MATCH(OP_Rates!R$65,Calc_TUR_Net_2[[#Headers],[Ausnet]:[United Energy]],0)),8),
IF($P140="Environmental",
ROUND(SUMIFS(Calc_TUR_ENV_2[Citipower],Calc_TUR_ENV_2[[Customer type]:[Customer type]],OP_Rates!$O140,Calc_TUR_ENV_2[[Rate type]:[Rate type]],OP_Rates!$M140),8))),0,1))</f>
        <v>-</v>
      </c>
      <c r="S140" s="155" t="str" cm="1">
        <f t="array" ref="S140">IF(S105="-","-",
IF(ROUND(S105,8)=
IF($P140="Network",
ROUND(INDEX(Calc_TUR_Net_2[[Ausnet]:[United Energy]],MATCH(1,(Calc_TUR_Net_2[[Customer type]:[Customer type]]=OP_Rates!$O140)*(Calc_TUR_Net_2[[Rate type]:[Rate type]]=OP_Rates!$M140),0),MATCH(OP_Rates!S$65,Calc_TUR_Net_2[[#Headers],[Ausnet]:[United Energy]],0)),8),
IF($P140="Environmental",
ROUND(SUMIFS(Calc_TUR_ENV_2[Jemena],Calc_TUR_ENV_2[[Customer type]:[Customer type]],OP_Rates!$O140,Calc_TUR_ENV_2[[Rate type]:[Rate type]],OP_Rates!$M140),8))),0,1))</f>
        <v>-</v>
      </c>
      <c r="T140" s="155" t="str" cm="1">
        <f t="array" ref="T140">IF(T105="-","-",
IF(ROUND(T105,8)=
IF($P140="Network",
ROUND(INDEX(Calc_TUR_Net_2[[Ausnet]:[United Energy]],MATCH(1,(Calc_TUR_Net_2[[Customer type]:[Customer type]]=OP_Rates!$O140)*(Calc_TUR_Net_2[[Rate type]:[Rate type]]=OP_Rates!$M140),0),MATCH(OP_Rates!T$65,Calc_TUR_Net_2[[#Headers],[Ausnet]:[United Energy]],0)),8),
IF($P140="Environmental",
ROUND(SUMIFS(Calc_TUR_ENV_2[Powercor],Calc_TUR_ENV_2[[Customer type]:[Customer type]],OP_Rates!$O140,Calc_TUR_ENV_2[[Rate type]:[Rate type]],OP_Rates!$M140),8))),0,1))</f>
        <v>-</v>
      </c>
      <c r="U140" s="155" t="str" cm="1">
        <f t="array" ref="U140">IF(U105="-","-",
IF(ROUND(U105,8)=
IF($P140="Network",
ROUND(INDEX(Calc_TUR_Net_2[[Ausnet]:[United Energy]],MATCH(1,(Calc_TUR_Net_2[[Customer type]:[Customer type]]=OP_Rates!$O140)*(Calc_TUR_Net_2[[Rate type]:[Rate type]]=OP_Rates!$M140),0),MATCH(OP_Rates!U$65,Calc_TUR_Net_2[[#Headers],[Ausnet]:[United Energy]],0)),8),
IF($P140="Environmental",
ROUND(SUMIFS(Calc_TUR_ENV_2[United Energy],Calc_TUR_ENV_2[[Customer type]:[Customer type]],OP_Rates!$O140,Calc_TUR_ENV_2[[Rate type]:[Rate type]],OP_Rates!$M140),8))),0,1))</f>
        <v>-</v>
      </c>
    </row>
    <row r="141" spans="3:21" ht="15.5" hidden="1" outlineLevel="2">
      <c r="C141" s="53" t="s">
        <v>74</v>
      </c>
      <c r="D141" s="53" t="s">
        <v>68</v>
      </c>
      <c r="E141" s="53" t="s">
        <v>65</v>
      </c>
      <c r="F141" s="53" t="s">
        <v>80</v>
      </c>
      <c r="G141" s="155" t="str" cm="1">
        <f t="array" ref="G141">IF(G106="-","-",
IF(ROUND(G106,8)=
IF($F141="Network",
IF($C141&lt;&gt;"Controlled load",
ROUND(INDEX(Calc_TUR_Net_2[[Ausnet]:[United Energy]],MATCH(1,(Calc_TUR_Net_2[[Customer type]:[Customer type]]=OP_Rates!$E141)*(Calc_TUR_Net_2[[Rate type]:[Rate type]]=OP_Rates!$C141),0),MATCH(OP_Rates!G$65,Calc_TUR_Net_2[[#Headers],[Ausnet]:[United Energy]],0)),8),
ROUND(INDEX(Calc_TUR_NetCL_2[[Ausnet]:[United Energy]],MATCH(OP_Rates!$E141,Calc_TUR_Net_2[[Customer type]:[Customer type]],0),MATCH(OP_Rates!G$65,Calc_TUR_Net_2[[#Headers],[Ausnet]:[United Energy]],0)),8)),
IF($F141="Environmental",
ROUND(SUMIFS(Calc_TUR_ENV_2[Ausnet],Calc_TUR_ENV_2[[Customer type]:[Customer type]],OP_Rates!$E141,Calc_TUR_ENV_2[[Rate type]:[Rate type]],OP_Rates!$C141),8))),0,1))</f>
        <v>-</v>
      </c>
      <c r="H141" s="155" t="str" cm="1">
        <f t="array" ref="H141">IF(H106="-","-",
IF(ROUND(H106,8)=
IF($F141="Network",
IF($C141&lt;&gt;"Controlled load",
ROUND(INDEX(Calc_TUR_Net_2[[Ausnet]:[United Energy]],MATCH(1,(Calc_TUR_Net_2[[Customer type]:[Customer type]]=OP_Rates!$E141)*(Calc_TUR_Net_2[[Rate type]:[Rate type]]=OP_Rates!$C141),0),MATCH(OP_Rates!H$65,Calc_TUR_Net_2[[#Headers],[Ausnet]:[United Energy]],0)),8),
ROUND(INDEX(Calc_TUR_NetCL_2[[Ausnet]:[United Energy]],MATCH(OP_Rates!$E141,Calc_TUR_Net_2[[Customer type]:[Customer type]],0),MATCH(OP_Rates!H$65,Calc_TUR_Net_2[[#Headers],[Ausnet]:[United Energy]],0)),8)),
IF($F141="Environmental",
ROUND(SUMIFS(Calc_TUR_ENV_2[Citipower],Calc_TUR_ENV_2[[Customer type]:[Customer type]],OP_Rates!$E141,Calc_TUR_ENV_2[[Rate type]:[Rate type]],OP_Rates!$C141),8))),0,1))</f>
        <v>-</v>
      </c>
      <c r="I141" s="155" t="str" cm="1">
        <f t="array" ref="I141">IF(I106="-","-",
IF(ROUND(I106,8)=
IF($F141="Network",
IF($C141&lt;&gt;"Controlled load",
ROUND(INDEX(Calc_TUR_Net_2[[Ausnet]:[United Energy]],MATCH(1,(Calc_TUR_Net_2[[Customer type]:[Customer type]]=OP_Rates!$E141)*(Calc_TUR_Net_2[[Rate type]:[Rate type]]=OP_Rates!$C141),0),MATCH(OP_Rates!I$65,Calc_TUR_Net_2[[#Headers],[Ausnet]:[United Energy]],0)),8),
ROUND(INDEX(Calc_TUR_NetCL_2[[Ausnet]:[United Energy]],MATCH(OP_Rates!$E141,Calc_TUR_Net_2[[Customer type]:[Customer type]],0),MATCH(OP_Rates!I$65,Calc_TUR_Net_2[[#Headers],[Ausnet]:[United Energy]],0)),8)),
IF($F141="Environmental",
ROUND(SUMIFS(Calc_TUR_ENV_2[Jemena],Calc_TUR_ENV_2[[Customer type]:[Customer type]],OP_Rates!$E141,Calc_TUR_ENV_2[[Rate type]:[Rate type]],OP_Rates!$C141),8))),0,1))</f>
        <v>-</v>
      </c>
      <c r="J141" s="155" t="str" cm="1">
        <f t="array" ref="J141">IF(J106="-","-",
IF(ROUND(J106,8)=
IF($F141="Network",
IF($C141&lt;&gt;"Controlled load",
ROUND(INDEX(Calc_TUR_Net_2[[Ausnet]:[United Energy]],MATCH(1,(Calc_TUR_Net_2[[Customer type]:[Customer type]]=OP_Rates!$E141)*(Calc_TUR_Net_2[[Rate type]:[Rate type]]=OP_Rates!$C141),0),MATCH(OP_Rates!J$65,Calc_TUR_Net_2[[#Headers],[Ausnet]:[United Energy]],0)),8),
ROUND(INDEX(Calc_TUR_NetCL_2[[Ausnet]:[United Energy]],MATCH(OP_Rates!$E141,Calc_TUR_Net_2[[Customer type]:[Customer type]],0),MATCH(OP_Rates!J$65,Calc_TUR_Net_2[[#Headers],[Ausnet]:[United Energy]],0)),8)),
IF($F141="Environmental",
ROUND(SUMIFS(Calc_TUR_ENV_2[Powercor],Calc_TUR_ENV_2[[Customer type]:[Customer type]],OP_Rates!$E141,Calc_TUR_ENV_2[[Rate type]:[Rate type]],OP_Rates!$C141),8))),0,1))</f>
        <v>-</v>
      </c>
      <c r="K141" s="155" t="str" cm="1">
        <f t="array" ref="K141">IF(K106="-","-",
IF(ROUND(K106,8)=
IF($F141="Network",
IF($C141&lt;&gt;"Controlled load",
ROUND(INDEX(Calc_TUR_Net_2[[Ausnet]:[United Energy]],MATCH(1,(Calc_TUR_Net_2[[Customer type]:[Customer type]]=OP_Rates!$E141)*(Calc_TUR_Net_2[[Rate type]:[Rate type]]=OP_Rates!$C141),0),MATCH(OP_Rates!K$65,Calc_TUR_Net_2[[#Headers],[Ausnet]:[United Energy]],0)),8),
ROUND(INDEX(Calc_TUR_NetCL_2[[Ausnet]:[United Energy]],MATCH(OP_Rates!$E141,Calc_TUR_Net_2[[Customer type]:[Customer type]],0),MATCH(OP_Rates!K$65,Calc_TUR_Net_2[[#Headers],[Ausnet]:[United Energy]],0)),8)),
IF($F141="Environmental",
ROUND(SUMIFS(Calc_TUR_ENV_2[United Energy],Calc_TUR_ENV_2[[Customer type]:[Customer type]],OP_Rates!$E141,Calc_TUR_ENV_2[[Rate type]:[Rate type]],OP_Rates!$C141),8))),0,1))</f>
        <v>-</v>
      </c>
      <c r="M141" s="53" t="s">
        <v>74</v>
      </c>
      <c r="N141" s="53"/>
      <c r="O141" s="53"/>
      <c r="P141" s="53"/>
      <c r="Q141" s="155" t="str" cm="1">
        <f t="array" ref="Q141">IF(Q106="-","-",
IF(ROUND(Q106,8)=
IF($P141="Network",
ROUND(INDEX(Calc_TUR_Net_2[[Ausnet]:[United Energy]],MATCH(1,(Calc_TUR_Net_2[[Customer type]:[Customer type]]=OP_Rates!$O141)*(Calc_TUR_Net_2[[Rate type]:[Rate type]]=OP_Rates!$M141),0),MATCH(OP_Rates!Q$65,Calc_TUR_Net_2[[#Headers],[Ausnet]:[United Energy]],0)),8),
IF($P141="Environmental",
ROUND(SUMIFS(Calc_TUR_ENV_2[Ausnet],Calc_TUR_ENV_2[[Customer type]:[Customer type]],OP_Rates!$O141,Calc_TUR_ENV_2[[Rate type]:[Rate type]],OP_Rates!$M141),8))),0,1))</f>
        <v>-</v>
      </c>
      <c r="R141" s="155" t="str" cm="1">
        <f t="array" ref="R141">IF(R106="-","-",
IF(ROUND(R106,8)=
IF($P141="Network",
ROUND(INDEX(Calc_TUR_Net_2[[Ausnet]:[United Energy]],MATCH(1,(Calc_TUR_Net_2[[Customer type]:[Customer type]]=OP_Rates!$O141)*(Calc_TUR_Net_2[[Rate type]:[Rate type]]=OP_Rates!$M141),0),MATCH(OP_Rates!R$65,Calc_TUR_Net_2[[#Headers],[Ausnet]:[United Energy]],0)),8),
IF($P141="Environmental",
ROUND(SUMIFS(Calc_TUR_ENV_2[Citipower],Calc_TUR_ENV_2[[Customer type]:[Customer type]],OP_Rates!$O141,Calc_TUR_ENV_2[[Rate type]:[Rate type]],OP_Rates!$M141),8))),0,1))</f>
        <v>-</v>
      </c>
      <c r="S141" s="155" t="str" cm="1">
        <f t="array" ref="S141">IF(S106="-","-",
IF(ROUND(S106,8)=
IF($P141="Network",
ROUND(INDEX(Calc_TUR_Net_2[[Ausnet]:[United Energy]],MATCH(1,(Calc_TUR_Net_2[[Customer type]:[Customer type]]=OP_Rates!$O141)*(Calc_TUR_Net_2[[Rate type]:[Rate type]]=OP_Rates!$M141),0),MATCH(OP_Rates!S$65,Calc_TUR_Net_2[[#Headers],[Ausnet]:[United Energy]],0)),8),
IF($P141="Environmental",
ROUND(SUMIFS(Calc_TUR_ENV_2[Jemena],Calc_TUR_ENV_2[[Customer type]:[Customer type]],OP_Rates!$O141,Calc_TUR_ENV_2[[Rate type]:[Rate type]],OP_Rates!$M141),8))),0,1))</f>
        <v>-</v>
      </c>
      <c r="T141" s="155" t="str" cm="1">
        <f t="array" ref="T141">IF(T106="-","-",
IF(ROUND(T106,8)=
IF($P141="Network",
ROUND(INDEX(Calc_TUR_Net_2[[Ausnet]:[United Energy]],MATCH(1,(Calc_TUR_Net_2[[Customer type]:[Customer type]]=OP_Rates!$O141)*(Calc_TUR_Net_2[[Rate type]:[Rate type]]=OP_Rates!$M141),0),MATCH(OP_Rates!T$65,Calc_TUR_Net_2[[#Headers],[Ausnet]:[United Energy]],0)),8),
IF($P141="Environmental",
ROUND(SUMIFS(Calc_TUR_ENV_2[Powercor],Calc_TUR_ENV_2[[Customer type]:[Customer type]],OP_Rates!$O141,Calc_TUR_ENV_2[[Rate type]:[Rate type]],OP_Rates!$M141),8))),0,1))</f>
        <v>-</v>
      </c>
      <c r="U141" s="155" t="str" cm="1">
        <f t="array" ref="U141">IF(U106="-","-",
IF(ROUND(U106,8)=
IF($P141="Network",
ROUND(INDEX(Calc_TUR_Net_2[[Ausnet]:[United Energy]],MATCH(1,(Calc_TUR_Net_2[[Customer type]:[Customer type]]=OP_Rates!$O141)*(Calc_TUR_Net_2[[Rate type]:[Rate type]]=OP_Rates!$M141),0),MATCH(OP_Rates!U$65,Calc_TUR_Net_2[[#Headers],[Ausnet]:[United Energy]],0)),8),
IF($P141="Environmental",
ROUND(SUMIFS(Calc_TUR_ENV_2[United Energy],Calc_TUR_ENV_2[[Customer type]:[Customer type]],OP_Rates!$O141,Calc_TUR_ENV_2[[Rate type]:[Rate type]],OP_Rates!$M141),8))),0,1))</f>
        <v>-</v>
      </c>
    </row>
    <row r="142" spans="3:21" ht="15.5" hidden="1" outlineLevel="2">
      <c r="C142" s="53" t="s">
        <v>67</v>
      </c>
      <c r="D142" s="53" t="s">
        <v>68</v>
      </c>
      <c r="E142" s="53" t="s">
        <v>65</v>
      </c>
      <c r="F142" s="53" t="s">
        <v>82</v>
      </c>
      <c r="G142" s="155" cm="1">
        <f t="array" ref="G142">IF(G107="-","-",
IF(ROUND(G107,8)=
IF($F142="Network",
IF($C142&lt;&gt;"Controlled load",
ROUND(INDEX(Calc_TUR_Net_2[[Ausnet]:[United Energy]],MATCH(1,(Calc_TUR_Net_2[[Customer type]:[Customer type]]=OP_Rates!$E142)*(Calc_TUR_Net_2[[Rate type]:[Rate type]]=OP_Rates!$C142),0),MATCH(OP_Rates!G$65,Calc_TUR_Net_2[[#Headers],[Ausnet]:[United Energy]],0)),8),
ROUND(INDEX(Calc_TUR_NetCL_2[[Ausnet]:[United Energy]],MATCH(OP_Rates!$E142,Calc_TUR_Net_2[[Customer type]:[Customer type]],0),MATCH(OP_Rates!G$65,Calc_TUR_Net_2[[#Headers],[Ausnet]:[United Energy]],0)),8)),
IF($F142="Environmental",
ROUND(SUMIFS(Calc_TUR_ENV_2[Ausnet],Calc_TUR_ENV_2[[Customer type]:[Customer type]],OP_Rates!$E142,Calc_TUR_ENV_2[[Rate type]:[Rate type]],OP_Rates!$C142),8))),0,1))</f>
        <v>0</v>
      </c>
      <c r="H142" s="155" cm="1">
        <f t="array" ref="H142">IF(H107="-","-",
IF(ROUND(H107,8)=
IF($F142="Network",
IF($C142&lt;&gt;"Controlled load",
ROUND(INDEX(Calc_TUR_Net_2[[Ausnet]:[United Energy]],MATCH(1,(Calc_TUR_Net_2[[Customer type]:[Customer type]]=OP_Rates!$E142)*(Calc_TUR_Net_2[[Rate type]:[Rate type]]=OP_Rates!$C142),0),MATCH(OP_Rates!H$65,Calc_TUR_Net_2[[#Headers],[Ausnet]:[United Energy]],0)),8),
ROUND(INDEX(Calc_TUR_NetCL_2[[Ausnet]:[United Energy]],MATCH(OP_Rates!$E142,Calc_TUR_Net_2[[Customer type]:[Customer type]],0),MATCH(OP_Rates!H$65,Calc_TUR_Net_2[[#Headers],[Ausnet]:[United Energy]],0)),8)),
IF($F142="Environmental",
ROUND(SUMIFS(Calc_TUR_ENV_2[Citipower],Calc_TUR_ENV_2[[Customer type]:[Customer type]],OP_Rates!$E142,Calc_TUR_ENV_2[[Rate type]:[Rate type]],OP_Rates!$C142),8))),0,1))</f>
        <v>0</v>
      </c>
      <c r="I142" s="155" cm="1">
        <f t="array" ref="I142">IF(I107="-","-",
IF(ROUND(I107,8)=
IF($F142="Network",
IF($C142&lt;&gt;"Controlled load",
ROUND(INDEX(Calc_TUR_Net_2[[Ausnet]:[United Energy]],MATCH(1,(Calc_TUR_Net_2[[Customer type]:[Customer type]]=OP_Rates!$E142)*(Calc_TUR_Net_2[[Rate type]:[Rate type]]=OP_Rates!$C142),0),MATCH(OP_Rates!I$65,Calc_TUR_Net_2[[#Headers],[Ausnet]:[United Energy]],0)),8),
ROUND(INDEX(Calc_TUR_NetCL_2[[Ausnet]:[United Energy]],MATCH(OP_Rates!$E142,Calc_TUR_Net_2[[Customer type]:[Customer type]],0),MATCH(OP_Rates!I$65,Calc_TUR_Net_2[[#Headers],[Ausnet]:[United Energy]],0)),8)),
IF($F142="Environmental",
ROUND(SUMIFS(Calc_TUR_ENV_2[Jemena],Calc_TUR_ENV_2[[Customer type]:[Customer type]],OP_Rates!$E142,Calc_TUR_ENV_2[[Rate type]:[Rate type]],OP_Rates!$C142),8))),0,1))</f>
        <v>0</v>
      </c>
      <c r="J142" s="155" cm="1">
        <f t="array" ref="J142">IF(J107="-","-",
IF(ROUND(J107,8)=
IF($F142="Network",
IF($C142&lt;&gt;"Controlled load",
ROUND(INDEX(Calc_TUR_Net_2[[Ausnet]:[United Energy]],MATCH(1,(Calc_TUR_Net_2[[Customer type]:[Customer type]]=OP_Rates!$E142)*(Calc_TUR_Net_2[[Rate type]:[Rate type]]=OP_Rates!$C142),0),MATCH(OP_Rates!J$65,Calc_TUR_Net_2[[#Headers],[Ausnet]:[United Energy]],0)),8),
ROUND(INDEX(Calc_TUR_NetCL_2[[Ausnet]:[United Energy]],MATCH(OP_Rates!$E142,Calc_TUR_Net_2[[Customer type]:[Customer type]],0),MATCH(OP_Rates!J$65,Calc_TUR_Net_2[[#Headers],[Ausnet]:[United Energy]],0)),8)),
IF($F142="Environmental",
ROUND(SUMIFS(Calc_TUR_ENV_2[Powercor],Calc_TUR_ENV_2[[Customer type]:[Customer type]],OP_Rates!$E142,Calc_TUR_ENV_2[[Rate type]:[Rate type]],OP_Rates!$C142),8))),0,1))</f>
        <v>0</v>
      </c>
      <c r="K142" s="155" cm="1">
        <f t="array" ref="K142">IF(K107="-","-",
IF(ROUND(K107,8)=
IF($F142="Network",
IF($C142&lt;&gt;"Controlled load",
ROUND(INDEX(Calc_TUR_Net_2[[Ausnet]:[United Energy]],MATCH(1,(Calc_TUR_Net_2[[Customer type]:[Customer type]]=OP_Rates!$E142)*(Calc_TUR_Net_2[[Rate type]:[Rate type]]=OP_Rates!$C142),0),MATCH(OP_Rates!K$65,Calc_TUR_Net_2[[#Headers],[Ausnet]:[United Energy]],0)),8),
ROUND(INDEX(Calc_TUR_NetCL_2[[Ausnet]:[United Energy]],MATCH(OP_Rates!$E142,Calc_TUR_Net_2[[Customer type]:[Customer type]],0),MATCH(OP_Rates!K$65,Calc_TUR_Net_2[[#Headers],[Ausnet]:[United Energy]],0)),8)),
IF($F142="Environmental",
ROUND(SUMIFS(Calc_TUR_ENV_2[United Energy],Calc_TUR_ENV_2[[Customer type]:[Customer type]],OP_Rates!$E142,Calc_TUR_ENV_2[[Rate type]:[Rate type]],OP_Rates!$C142),8))),0,1))</f>
        <v>0</v>
      </c>
      <c r="M142" s="53" t="s">
        <v>67</v>
      </c>
      <c r="N142" s="53" t="s">
        <v>68</v>
      </c>
      <c r="O142" s="53" t="s">
        <v>66</v>
      </c>
      <c r="P142" s="53" t="s">
        <v>82</v>
      </c>
      <c r="Q142" s="155" cm="1">
        <f t="array" ref="Q142">IF(Q107="-","-",
IF(ROUND(Q107,8)=
IF($P142="Network",
ROUND(INDEX(Calc_TUR_Net_2[[Ausnet]:[United Energy]],MATCH(1,(Calc_TUR_Net_2[[Customer type]:[Customer type]]=OP_Rates!$O142)*(Calc_TUR_Net_2[[Rate type]:[Rate type]]=OP_Rates!$M142),0),MATCH(OP_Rates!Q$65,Calc_TUR_Net_2[[#Headers],[Ausnet]:[United Energy]],0)),8),
IF($P142="Environmental",
ROUND(SUMIFS(Calc_TUR_ENV_2[Ausnet],Calc_TUR_ENV_2[[Customer type]:[Customer type]],OP_Rates!$O142,Calc_TUR_ENV_2[[Rate type]:[Rate type]],OP_Rates!$M142),8))),0,1))</f>
        <v>0</v>
      </c>
      <c r="R142" s="155" cm="1">
        <f t="array" ref="R142">IF(R107="-","-",
IF(ROUND(R107,8)=
IF($P142="Network",
ROUND(INDEX(Calc_TUR_Net_2[[Ausnet]:[United Energy]],MATCH(1,(Calc_TUR_Net_2[[Customer type]:[Customer type]]=OP_Rates!$O142)*(Calc_TUR_Net_2[[Rate type]:[Rate type]]=OP_Rates!$M142),0),MATCH(OP_Rates!R$65,Calc_TUR_Net_2[[#Headers],[Ausnet]:[United Energy]],0)),8),
IF($P142="Environmental",
ROUND(SUMIFS(Calc_TUR_ENV_2[Citipower],Calc_TUR_ENV_2[[Customer type]:[Customer type]],OP_Rates!$O142,Calc_TUR_ENV_2[[Rate type]:[Rate type]],OP_Rates!$M142),8))),0,1))</f>
        <v>0</v>
      </c>
      <c r="S142" s="155" cm="1">
        <f t="array" ref="S142">IF(S107="-","-",
IF(ROUND(S107,8)=
IF($P142="Network",
ROUND(INDEX(Calc_TUR_Net_2[[Ausnet]:[United Energy]],MATCH(1,(Calc_TUR_Net_2[[Customer type]:[Customer type]]=OP_Rates!$O142)*(Calc_TUR_Net_2[[Rate type]:[Rate type]]=OP_Rates!$M142),0),MATCH(OP_Rates!S$65,Calc_TUR_Net_2[[#Headers],[Ausnet]:[United Energy]],0)),8),
IF($P142="Environmental",
ROUND(SUMIFS(Calc_TUR_ENV_2[Jemena],Calc_TUR_ENV_2[[Customer type]:[Customer type]],OP_Rates!$O142,Calc_TUR_ENV_2[[Rate type]:[Rate type]],OP_Rates!$M142),8))),0,1))</f>
        <v>0</v>
      </c>
      <c r="T142" s="155" cm="1">
        <f t="array" ref="T142">IF(T107="-","-",
IF(ROUND(T107,8)=
IF($P142="Network",
ROUND(INDEX(Calc_TUR_Net_2[[Ausnet]:[United Energy]],MATCH(1,(Calc_TUR_Net_2[[Customer type]:[Customer type]]=OP_Rates!$O142)*(Calc_TUR_Net_2[[Rate type]:[Rate type]]=OP_Rates!$M142),0),MATCH(OP_Rates!T$65,Calc_TUR_Net_2[[#Headers],[Ausnet]:[United Energy]],0)),8),
IF($P142="Environmental",
ROUND(SUMIFS(Calc_TUR_ENV_2[Powercor],Calc_TUR_ENV_2[[Customer type]:[Customer type]],OP_Rates!$O142,Calc_TUR_ENV_2[[Rate type]:[Rate type]],OP_Rates!$M142),8))),0,1))</f>
        <v>0</v>
      </c>
      <c r="U142" s="155" cm="1">
        <f t="array" ref="U142">IF(U107="-","-",
IF(ROUND(U107,8)=
IF($P142="Network",
ROUND(INDEX(Calc_TUR_Net_2[[Ausnet]:[United Energy]],MATCH(1,(Calc_TUR_Net_2[[Customer type]:[Customer type]]=OP_Rates!$O142)*(Calc_TUR_Net_2[[Rate type]:[Rate type]]=OP_Rates!$M142),0),MATCH(OP_Rates!U$65,Calc_TUR_Net_2[[#Headers],[Ausnet]:[United Energy]],0)),8),
IF($P142="Environmental",
ROUND(SUMIFS(Calc_TUR_ENV_2[United Energy],Calc_TUR_ENV_2[[Customer type]:[Customer type]],OP_Rates!$O142,Calc_TUR_ENV_2[[Rate type]:[Rate type]],OP_Rates!$M142),8))),0,1))</f>
        <v>0</v>
      </c>
    </row>
    <row r="143" spans="3:21" ht="15.5" hidden="1" outlineLevel="2">
      <c r="C143" s="53" t="s">
        <v>69</v>
      </c>
      <c r="D143" s="53" t="s">
        <v>68</v>
      </c>
      <c r="E143" s="53" t="s">
        <v>65</v>
      </c>
      <c r="F143" s="53" t="s">
        <v>82</v>
      </c>
      <c r="G143" s="155" cm="1">
        <f t="array" ref="G143">IF(G108="-","-",
IF(ROUND(G108,8)=
IF($F143="Network",
IF($C143&lt;&gt;"Controlled load",
ROUND(INDEX(Calc_TUR_Net_2[[Ausnet]:[United Energy]],MATCH(1,(Calc_TUR_Net_2[[Customer type]:[Customer type]]=OP_Rates!$E143)*(Calc_TUR_Net_2[[Rate type]:[Rate type]]=OP_Rates!$C143),0),MATCH(OP_Rates!G$65,Calc_TUR_Net_2[[#Headers],[Ausnet]:[United Energy]],0)),8),
ROUND(INDEX(Calc_TUR_NetCL_2[[Ausnet]:[United Energy]],MATCH(OP_Rates!$E143,Calc_TUR_Net_2[[Customer type]:[Customer type]],0),MATCH(OP_Rates!G$65,Calc_TUR_Net_2[[#Headers],[Ausnet]:[United Energy]],0)),8)),
IF($F143="Environmental",
ROUND(SUMIFS(Calc_TUR_ENV_2[Ausnet],Calc_TUR_ENV_2[[Customer type]:[Customer type]],OP_Rates!$E143,Calc_TUR_ENV_2[[Rate type]:[Rate type]],OP_Rates!$C143),8))),0,1))</f>
        <v>0</v>
      </c>
      <c r="H143" s="155" cm="1">
        <f t="array" ref="H143">IF(H108="-","-",
IF(ROUND(H108,8)=
IF($F143="Network",
IF($C143&lt;&gt;"Controlled load",
ROUND(INDEX(Calc_TUR_Net_2[[Ausnet]:[United Energy]],MATCH(1,(Calc_TUR_Net_2[[Customer type]:[Customer type]]=OP_Rates!$E143)*(Calc_TUR_Net_2[[Rate type]:[Rate type]]=OP_Rates!$C143),0),MATCH(OP_Rates!H$65,Calc_TUR_Net_2[[#Headers],[Ausnet]:[United Energy]],0)),8),
ROUND(INDEX(Calc_TUR_NetCL_2[[Ausnet]:[United Energy]],MATCH(OP_Rates!$E143,Calc_TUR_Net_2[[Customer type]:[Customer type]],0),MATCH(OP_Rates!H$65,Calc_TUR_Net_2[[#Headers],[Ausnet]:[United Energy]],0)),8)),
IF($F143="Environmental",
ROUND(SUMIFS(Calc_TUR_ENV_2[Citipower],Calc_TUR_ENV_2[[Customer type]:[Customer type]],OP_Rates!$E143,Calc_TUR_ENV_2[[Rate type]:[Rate type]],OP_Rates!$C143),8))),0,1))</f>
        <v>0</v>
      </c>
      <c r="I143" s="155" cm="1">
        <f t="array" ref="I143">IF(I108="-","-",
IF(ROUND(I108,8)=
IF($F143="Network",
IF($C143&lt;&gt;"Controlled load",
ROUND(INDEX(Calc_TUR_Net_2[[Ausnet]:[United Energy]],MATCH(1,(Calc_TUR_Net_2[[Customer type]:[Customer type]]=OP_Rates!$E143)*(Calc_TUR_Net_2[[Rate type]:[Rate type]]=OP_Rates!$C143),0),MATCH(OP_Rates!I$65,Calc_TUR_Net_2[[#Headers],[Ausnet]:[United Energy]],0)),8),
ROUND(INDEX(Calc_TUR_NetCL_2[[Ausnet]:[United Energy]],MATCH(OP_Rates!$E143,Calc_TUR_Net_2[[Customer type]:[Customer type]],0),MATCH(OP_Rates!I$65,Calc_TUR_Net_2[[#Headers],[Ausnet]:[United Energy]],0)),8)),
IF($F143="Environmental",
ROUND(SUMIFS(Calc_TUR_ENV_2[Jemena],Calc_TUR_ENV_2[[Customer type]:[Customer type]],OP_Rates!$E143,Calc_TUR_ENV_2[[Rate type]:[Rate type]],OP_Rates!$C143),8))),0,1))</f>
        <v>0</v>
      </c>
      <c r="J143" s="155" cm="1">
        <f t="array" ref="J143">IF(J108="-","-",
IF(ROUND(J108,8)=
IF($F143="Network",
IF($C143&lt;&gt;"Controlled load",
ROUND(INDEX(Calc_TUR_Net_2[[Ausnet]:[United Energy]],MATCH(1,(Calc_TUR_Net_2[[Customer type]:[Customer type]]=OP_Rates!$E143)*(Calc_TUR_Net_2[[Rate type]:[Rate type]]=OP_Rates!$C143),0),MATCH(OP_Rates!J$65,Calc_TUR_Net_2[[#Headers],[Ausnet]:[United Energy]],0)),8),
ROUND(INDEX(Calc_TUR_NetCL_2[[Ausnet]:[United Energy]],MATCH(OP_Rates!$E143,Calc_TUR_Net_2[[Customer type]:[Customer type]],0),MATCH(OP_Rates!J$65,Calc_TUR_Net_2[[#Headers],[Ausnet]:[United Energy]],0)),8)),
IF($F143="Environmental",
ROUND(SUMIFS(Calc_TUR_ENV_2[Powercor],Calc_TUR_ENV_2[[Customer type]:[Customer type]],OP_Rates!$E143,Calc_TUR_ENV_2[[Rate type]:[Rate type]],OP_Rates!$C143),8))),0,1))</f>
        <v>0</v>
      </c>
      <c r="K143" s="155" cm="1">
        <f t="array" ref="K143">IF(K108="-","-",
IF(ROUND(K108,8)=
IF($F143="Network",
IF($C143&lt;&gt;"Controlled load",
ROUND(INDEX(Calc_TUR_Net_2[[Ausnet]:[United Energy]],MATCH(1,(Calc_TUR_Net_2[[Customer type]:[Customer type]]=OP_Rates!$E143)*(Calc_TUR_Net_2[[Rate type]:[Rate type]]=OP_Rates!$C143),0),MATCH(OP_Rates!K$65,Calc_TUR_Net_2[[#Headers],[Ausnet]:[United Energy]],0)),8),
ROUND(INDEX(Calc_TUR_NetCL_2[[Ausnet]:[United Energy]],MATCH(OP_Rates!$E143,Calc_TUR_Net_2[[Customer type]:[Customer type]],0),MATCH(OP_Rates!K$65,Calc_TUR_Net_2[[#Headers],[Ausnet]:[United Energy]],0)),8)),
IF($F143="Environmental",
ROUND(SUMIFS(Calc_TUR_ENV_2[United Energy],Calc_TUR_ENV_2[[Customer type]:[Customer type]],OP_Rates!$E143,Calc_TUR_ENV_2[[Rate type]:[Rate type]],OP_Rates!$C143),8))),0,1))</f>
        <v>0</v>
      </c>
      <c r="M143" s="53" t="s">
        <v>69</v>
      </c>
      <c r="N143" s="53" t="s">
        <v>68</v>
      </c>
      <c r="O143" s="53" t="s">
        <v>66</v>
      </c>
      <c r="P143" s="53" t="s">
        <v>82</v>
      </c>
      <c r="Q143" s="155" cm="1">
        <f t="array" ref="Q143">IF(Q108="-","-",
IF(ROUND(Q108,8)=
IF($P143="Network",
ROUND(INDEX(Calc_TUR_Net_2[[Ausnet]:[United Energy]],MATCH(1,(Calc_TUR_Net_2[[Customer type]:[Customer type]]=OP_Rates!$O143)*(Calc_TUR_Net_2[[Rate type]:[Rate type]]=OP_Rates!$M143),0),MATCH(OP_Rates!Q$65,Calc_TUR_Net_2[[#Headers],[Ausnet]:[United Energy]],0)),8),
IF($P143="Environmental",
ROUND(SUMIFS(Calc_TUR_ENV_2[Ausnet],Calc_TUR_ENV_2[[Customer type]:[Customer type]],OP_Rates!$O143,Calc_TUR_ENV_2[[Rate type]:[Rate type]],OP_Rates!$M143),8))),0,1))</f>
        <v>0</v>
      </c>
      <c r="R143" s="155" cm="1">
        <f t="array" ref="R143">IF(R108="-","-",
IF(ROUND(R108,8)=
IF($P143="Network",
ROUND(INDEX(Calc_TUR_Net_2[[Ausnet]:[United Energy]],MATCH(1,(Calc_TUR_Net_2[[Customer type]:[Customer type]]=OP_Rates!$O143)*(Calc_TUR_Net_2[[Rate type]:[Rate type]]=OP_Rates!$M143),0),MATCH(OP_Rates!R$65,Calc_TUR_Net_2[[#Headers],[Ausnet]:[United Energy]],0)),8),
IF($P143="Environmental",
ROUND(SUMIFS(Calc_TUR_ENV_2[Citipower],Calc_TUR_ENV_2[[Customer type]:[Customer type]],OP_Rates!$O143,Calc_TUR_ENV_2[[Rate type]:[Rate type]],OP_Rates!$M143),8))),0,1))</f>
        <v>0</v>
      </c>
      <c r="S143" s="155" cm="1">
        <f t="array" ref="S143">IF(S108="-","-",
IF(ROUND(S108,8)=
IF($P143="Network",
ROUND(INDEX(Calc_TUR_Net_2[[Ausnet]:[United Energy]],MATCH(1,(Calc_TUR_Net_2[[Customer type]:[Customer type]]=OP_Rates!$O143)*(Calc_TUR_Net_2[[Rate type]:[Rate type]]=OP_Rates!$M143),0),MATCH(OP_Rates!S$65,Calc_TUR_Net_2[[#Headers],[Ausnet]:[United Energy]],0)),8),
IF($P143="Environmental",
ROUND(SUMIFS(Calc_TUR_ENV_2[Jemena],Calc_TUR_ENV_2[[Customer type]:[Customer type]],OP_Rates!$O143,Calc_TUR_ENV_2[[Rate type]:[Rate type]],OP_Rates!$M143),8))),0,1))</f>
        <v>0</v>
      </c>
      <c r="T143" s="155" cm="1">
        <f t="array" ref="T143">IF(T108="-","-",
IF(ROUND(T108,8)=
IF($P143="Network",
ROUND(INDEX(Calc_TUR_Net_2[[Ausnet]:[United Energy]],MATCH(1,(Calc_TUR_Net_2[[Customer type]:[Customer type]]=OP_Rates!$O143)*(Calc_TUR_Net_2[[Rate type]:[Rate type]]=OP_Rates!$M143),0),MATCH(OP_Rates!T$65,Calc_TUR_Net_2[[#Headers],[Ausnet]:[United Energy]],0)),8),
IF($P143="Environmental",
ROUND(SUMIFS(Calc_TUR_ENV_2[Powercor],Calc_TUR_ENV_2[[Customer type]:[Customer type]],OP_Rates!$O143,Calc_TUR_ENV_2[[Rate type]:[Rate type]],OP_Rates!$M143),8))),0,1))</f>
        <v>0</v>
      </c>
      <c r="U143" s="155" cm="1">
        <f t="array" ref="U143">IF(U108="-","-",
IF(ROUND(U108,8)=
IF($P143="Network",
ROUND(INDEX(Calc_TUR_Net_2[[Ausnet]:[United Energy]],MATCH(1,(Calc_TUR_Net_2[[Customer type]:[Customer type]]=OP_Rates!$O143)*(Calc_TUR_Net_2[[Rate type]:[Rate type]]=OP_Rates!$M143),0),MATCH(OP_Rates!U$65,Calc_TUR_Net_2[[#Headers],[Ausnet]:[United Energy]],0)),8),
IF($P143="Environmental",
ROUND(SUMIFS(Calc_TUR_ENV_2[United Energy],Calc_TUR_ENV_2[[Customer type]:[Customer type]],OP_Rates!$O143,Calc_TUR_ENV_2[[Rate type]:[Rate type]],OP_Rates!$M143),8))),0,1))</f>
        <v>0</v>
      </c>
    </row>
    <row r="144" spans="3:21" ht="15.5" hidden="1" outlineLevel="2">
      <c r="C144" s="53" t="s">
        <v>70</v>
      </c>
      <c r="D144" s="53" t="s">
        <v>68</v>
      </c>
      <c r="E144" s="53" t="s">
        <v>65</v>
      </c>
      <c r="F144" s="53" t="s">
        <v>82</v>
      </c>
      <c r="G144" s="155" cm="1">
        <f t="array" ref="G144">IF(G109="-","-",
IF(ROUND(G109,8)=
IF($F144="Network",
IF($C144&lt;&gt;"Controlled load",
ROUND(INDEX(Calc_TUR_Net_2[[Ausnet]:[United Energy]],MATCH(1,(Calc_TUR_Net_2[[Customer type]:[Customer type]]=OP_Rates!$E144)*(Calc_TUR_Net_2[[Rate type]:[Rate type]]=OP_Rates!$C144),0),MATCH(OP_Rates!G$65,Calc_TUR_Net_2[[#Headers],[Ausnet]:[United Energy]],0)),8),
ROUND(INDEX(Calc_TUR_NetCL_2[[Ausnet]:[United Energy]],MATCH(OP_Rates!$E144,Calc_TUR_Net_2[[Customer type]:[Customer type]],0),MATCH(OP_Rates!G$65,Calc_TUR_Net_2[[#Headers],[Ausnet]:[United Energy]],0)),8)),
IF($F144="Environmental",
ROUND(SUMIFS(Calc_TUR_ENV_2[Ausnet],Calc_TUR_ENV_2[[Customer type]:[Customer type]],OP_Rates!$E144,Calc_TUR_ENV_2[[Rate type]:[Rate type]],OP_Rates!$C144),8))),0,1))</f>
        <v>0</v>
      </c>
      <c r="H144" s="155" cm="1">
        <f t="array" ref="H144">IF(H109="-","-",
IF(ROUND(H109,8)=
IF($F144="Network",
IF($C144&lt;&gt;"Controlled load",
ROUND(INDEX(Calc_TUR_Net_2[[Ausnet]:[United Energy]],MATCH(1,(Calc_TUR_Net_2[[Customer type]:[Customer type]]=OP_Rates!$E144)*(Calc_TUR_Net_2[[Rate type]:[Rate type]]=OP_Rates!$C144),0),MATCH(OP_Rates!H$65,Calc_TUR_Net_2[[#Headers],[Ausnet]:[United Energy]],0)),8),
ROUND(INDEX(Calc_TUR_NetCL_2[[Ausnet]:[United Energy]],MATCH(OP_Rates!$E144,Calc_TUR_Net_2[[Customer type]:[Customer type]],0),MATCH(OP_Rates!H$65,Calc_TUR_Net_2[[#Headers],[Ausnet]:[United Energy]],0)),8)),
IF($F144="Environmental",
ROUND(SUMIFS(Calc_TUR_ENV_2[Citipower],Calc_TUR_ENV_2[[Customer type]:[Customer type]],OP_Rates!$E144,Calc_TUR_ENV_2[[Rate type]:[Rate type]],OP_Rates!$C144),8))),0,1))</f>
        <v>0</v>
      </c>
      <c r="I144" s="155" cm="1">
        <f t="array" ref="I144">IF(I109="-","-",
IF(ROUND(I109,8)=
IF($F144="Network",
IF($C144&lt;&gt;"Controlled load",
ROUND(INDEX(Calc_TUR_Net_2[[Ausnet]:[United Energy]],MATCH(1,(Calc_TUR_Net_2[[Customer type]:[Customer type]]=OP_Rates!$E144)*(Calc_TUR_Net_2[[Rate type]:[Rate type]]=OP_Rates!$C144),0),MATCH(OP_Rates!I$65,Calc_TUR_Net_2[[#Headers],[Ausnet]:[United Energy]],0)),8),
ROUND(INDEX(Calc_TUR_NetCL_2[[Ausnet]:[United Energy]],MATCH(OP_Rates!$E144,Calc_TUR_Net_2[[Customer type]:[Customer type]],0),MATCH(OP_Rates!I$65,Calc_TUR_Net_2[[#Headers],[Ausnet]:[United Energy]],0)),8)),
IF($F144="Environmental",
ROUND(SUMIFS(Calc_TUR_ENV_2[Jemena],Calc_TUR_ENV_2[[Customer type]:[Customer type]],OP_Rates!$E144,Calc_TUR_ENV_2[[Rate type]:[Rate type]],OP_Rates!$C144),8))),0,1))</f>
        <v>0</v>
      </c>
      <c r="J144" s="155" cm="1">
        <f t="array" ref="J144">IF(J109="-","-",
IF(ROUND(J109,8)=
IF($F144="Network",
IF($C144&lt;&gt;"Controlled load",
ROUND(INDEX(Calc_TUR_Net_2[[Ausnet]:[United Energy]],MATCH(1,(Calc_TUR_Net_2[[Customer type]:[Customer type]]=OP_Rates!$E144)*(Calc_TUR_Net_2[[Rate type]:[Rate type]]=OP_Rates!$C144),0),MATCH(OP_Rates!J$65,Calc_TUR_Net_2[[#Headers],[Ausnet]:[United Energy]],0)),8),
ROUND(INDEX(Calc_TUR_NetCL_2[[Ausnet]:[United Energy]],MATCH(OP_Rates!$E144,Calc_TUR_Net_2[[Customer type]:[Customer type]],0),MATCH(OP_Rates!J$65,Calc_TUR_Net_2[[#Headers],[Ausnet]:[United Energy]],0)),8)),
IF($F144="Environmental",
ROUND(SUMIFS(Calc_TUR_ENV_2[Powercor],Calc_TUR_ENV_2[[Customer type]:[Customer type]],OP_Rates!$E144,Calc_TUR_ENV_2[[Rate type]:[Rate type]],OP_Rates!$C144),8))),0,1))</f>
        <v>0</v>
      </c>
      <c r="K144" s="155" cm="1">
        <f t="array" ref="K144">IF(K109="-","-",
IF(ROUND(K109,8)=
IF($F144="Network",
IF($C144&lt;&gt;"Controlled load",
ROUND(INDEX(Calc_TUR_Net_2[[Ausnet]:[United Energy]],MATCH(1,(Calc_TUR_Net_2[[Customer type]:[Customer type]]=OP_Rates!$E144)*(Calc_TUR_Net_2[[Rate type]:[Rate type]]=OP_Rates!$C144),0),MATCH(OP_Rates!K$65,Calc_TUR_Net_2[[#Headers],[Ausnet]:[United Energy]],0)),8),
ROUND(INDEX(Calc_TUR_NetCL_2[[Ausnet]:[United Energy]],MATCH(OP_Rates!$E144,Calc_TUR_Net_2[[Customer type]:[Customer type]],0),MATCH(OP_Rates!K$65,Calc_TUR_Net_2[[#Headers],[Ausnet]:[United Energy]],0)),8)),
IF($F144="Environmental",
ROUND(SUMIFS(Calc_TUR_ENV_2[United Energy],Calc_TUR_ENV_2[[Customer type]:[Customer type]],OP_Rates!$E144,Calc_TUR_ENV_2[[Rate type]:[Rate type]],OP_Rates!$C144),8))),0,1))</f>
        <v>0</v>
      </c>
      <c r="M144" s="53" t="s">
        <v>70</v>
      </c>
      <c r="N144" s="53" t="s">
        <v>68</v>
      </c>
      <c r="O144" s="53" t="s">
        <v>66</v>
      </c>
      <c r="P144" s="53" t="s">
        <v>82</v>
      </c>
      <c r="Q144" s="155" cm="1">
        <f t="array" ref="Q144">IF(Q109="-","-",
IF(ROUND(Q109,8)=
IF($P144="Network",
ROUND(INDEX(Calc_TUR_Net_2[[Ausnet]:[United Energy]],MATCH(1,(Calc_TUR_Net_2[[Customer type]:[Customer type]]=OP_Rates!$O144)*(Calc_TUR_Net_2[[Rate type]:[Rate type]]=OP_Rates!$M144),0),MATCH(OP_Rates!Q$65,Calc_TUR_Net_2[[#Headers],[Ausnet]:[United Energy]],0)),8),
IF($P144="Environmental",
ROUND(SUMIFS(Calc_TUR_ENV_2[Ausnet],Calc_TUR_ENV_2[[Customer type]:[Customer type]],OP_Rates!$O144,Calc_TUR_ENV_2[[Rate type]:[Rate type]],OP_Rates!$M144),8))),0,1))</f>
        <v>0</v>
      </c>
      <c r="R144" s="155" cm="1">
        <f t="array" ref="R144">IF(R109="-","-",
IF(ROUND(R109,8)=
IF($P144="Network",
ROUND(INDEX(Calc_TUR_Net_2[[Ausnet]:[United Energy]],MATCH(1,(Calc_TUR_Net_2[[Customer type]:[Customer type]]=OP_Rates!$O144)*(Calc_TUR_Net_2[[Rate type]:[Rate type]]=OP_Rates!$M144),0),MATCH(OP_Rates!R$65,Calc_TUR_Net_2[[#Headers],[Ausnet]:[United Energy]],0)),8),
IF($P144="Environmental",
ROUND(SUMIFS(Calc_TUR_ENV_2[Citipower],Calc_TUR_ENV_2[[Customer type]:[Customer type]],OP_Rates!$O144,Calc_TUR_ENV_2[[Rate type]:[Rate type]],OP_Rates!$M144),8))),0,1))</f>
        <v>0</v>
      </c>
      <c r="S144" s="155" cm="1">
        <f t="array" ref="S144">IF(S109="-","-",
IF(ROUND(S109,8)=
IF($P144="Network",
ROUND(INDEX(Calc_TUR_Net_2[[Ausnet]:[United Energy]],MATCH(1,(Calc_TUR_Net_2[[Customer type]:[Customer type]]=OP_Rates!$O144)*(Calc_TUR_Net_2[[Rate type]:[Rate type]]=OP_Rates!$M144),0),MATCH(OP_Rates!S$65,Calc_TUR_Net_2[[#Headers],[Ausnet]:[United Energy]],0)),8),
IF($P144="Environmental",
ROUND(SUMIFS(Calc_TUR_ENV_2[Jemena],Calc_TUR_ENV_2[[Customer type]:[Customer type]],OP_Rates!$O144,Calc_TUR_ENV_2[[Rate type]:[Rate type]],OP_Rates!$M144),8))),0,1))</f>
        <v>0</v>
      </c>
      <c r="T144" s="155" cm="1">
        <f t="array" ref="T144">IF(T109="-","-",
IF(ROUND(T109,8)=
IF($P144="Network",
ROUND(INDEX(Calc_TUR_Net_2[[Ausnet]:[United Energy]],MATCH(1,(Calc_TUR_Net_2[[Customer type]:[Customer type]]=OP_Rates!$O144)*(Calc_TUR_Net_2[[Rate type]:[Rate type]]=OP_Rates!$M144),0),MATCH(OP_Rates!T$65,Calc_TUR_Net_2[[#Headers],[Ausnet]:[United Energy]],0)),8),
IF($P144="Environmental",
ROUND(SUMIFS(Calc_TUR_ENV_2[Powercor],Calc_TUR_ENV_2[[Customer type]:[Customer type]],OP_Rates!$O144,Calc_TUR_ENV_2[[Rate type]:[Rate type]],OP_Rates!$M144),8))),0,1))</f>
        <v>0</v>
      </c>
      <c r="U144" s="155" cm="1">
        <f t="array" ref="U144">IF(U109="-","-",
IF(ROUND(U109,8)=
IF($P144="Network",
ROUND(INDEX(Calc_TUR_Net_2[[Ausnet]:[United Energy]],MATCH(1,(Calc_TUR_Net_2[[Customer type]:[Customer type]]=OP_Rates!$O144)*(Calc_TUR_Net_2[[Rate type]:[Rate type]]=OP_Rates!$M144),0),MATCH(OP_Rates!U$65,Calc_TUR_Net_2[[#Headers],[Ausnet]:[United Energy]],0)),8),
IF($P144="Environmental",
ROUND(SUMIFS(Calc_TUR_ENV_2[United Energy],Calc_TUR_ENV_2[[Customer type]:[Customer type]],OP_Rates!$O144,Calc_TUR_ENV_2[[Rate type]:[Rate type]],OP_Rates!$M144),8))),0,1))</f>
        <v>0</v>
      </c>
    </row>
    <row r="145" spans="3:21" ht="15.5" hidden="1" outlineLevel="2">
      <c r="C145" s="53" t="s">
        <v>72</v>
      </c>
      <c r="D145" s="53" t="s">
        <v>68</v>
      </c>
      <c r="E145" s="53" t="s">
        <v>65</v>
      </c>
      <c r="F145" s="53" t="s">
        <v>82</v>
      </c>
      <c r="G145" s="155" cm="1">
        <f t="array" ref="G145">IF(G110="-","-",
IF(ROUND(G110,8)=
IF($F145="Network",
IF($C145&lt;&gt;"Controlled load",
ROUND(INDEX(Calc_TUR_Net_2[[Ausnet]:[United Energy]],MATCH(1,(Calc_TUR_Net_2[[Customer type]:[Customer type]]=OP_Rates!$E145)*(Calc_TUR_Net_2[[Rate type]:[Rate type]]=OP_Rates!$C145),0),MATCH(OP_Rates!G$65,Calc_TUR_Net_2[[#Headers],[Ausnet]:[United Energy]],0)),8),
ROUND(INDEX(Calc_TUR_NetCL_2[[Ausnet]:[United Energy]],MATCH(OP_Rates!$E145,Calc_TUR_Net_2[[Customer type]:[Customer type]],0),MATCH(OP_Rates!G$65,Calc_TUR_Net_2[[#Headers],[Ausnet]:[United Energy]],0)),8)),
IF($F145="Environmental",
ROUND(SUMIFS(Calc_TUR_ENV_2[Ausnet],Calc_TUR_ENV_2[[Customer type]:[Customer type]],OP_Rates!$E145,Calc_TUR_ENV_2[[Rate type]:[Rate type]],OP_Rates!$C145),8))),0,1))</f>
        <v>0</v>
      </c>
      <c r="H145" s="155" cm="1">
        <f t="array" ref="H145">IF(H110="-","-",
IF(ROUND(H110,8)=
IF($F145="Network",
IF($C145&lt;&gt;"Controlled load",
ROUND(INDEX(Calc_TUR_Net_2[[Ausnet]:[United Energy]],MATCH(1,(Calc_TUR_Net_2[[Customer type]:[Customer type]]=OP_Rates!$E145)*(Calc_TUR_Net_2[[Rate type]:[Rate type]]=OP_Rates!$C145),0),MATCH(OP_Rates!H$65,Calc_TUR_Net_2[[#Headers],[Ausnet]:[United Energy]],0)),8),
ROUND(INDEX(Calc_TUR_NetCL_2[[Ausnet]:[United Energy]],MATCH(OP_Rates!$E145,Calc_TUR_Net_2[[Customer type]:[Customer type]],0),MATCH(OP_Rates!H$65,Calc_TUR_Net_2[[#Headers],[Ausnet]:[United Energy]],0)),8)),
IF($F145="Environmental",
ROUND(SUMIFS(Calc_TUR_ENV_2[Citipower],Calc_TUR_ENV_2[[Customer type]:[Customer type]],OP_Rates!$E145,Calc_TUR_ENV_2[[Rate type]:[Rate type]],OP_Rates!$C145),8))),0,1))</f>
        <v>0</v>
      </c>
      <c r="I145" s="155" cm="1">
        <f t="array" ref="I145">IF(I110="-","-",
IF(ROUND(I110,8)=
IF($F145="Network",
IF($C145&lt;&gt;"Controlled load",
ROUND(INDEX(Calc_TUR_Net_2[[Ausnet]:[United Energy]],MATCH(1,(Calc_TUR_Net_2[[Customer type]:[Customer type]]=OP_Rates!$E145)*(Calc_TUR_Net_2[[Rate type]:[Rate type]]=OP_Rates!$C145),0),MATCH(OP_Rates!I$65,Calc_TUR_Net_2[[#Headers],[Ausnet]:[United Energy]],0)),8),
ROUND(INDEX(Calc_TUR_NetCL_2[[Ausnet]:[United Energy]],MATCH(OP_Rates!$E145,Calc_TUR_Net_2[[Customer type]:[Customer type]],0),MATCH(OP_Rates!I$65,Calc_TUR_Net_2[[#Headers],[Ausnet]:[United Energy]],0)),8)),
IF($F145="Environmental",
ROUND(SUMIFS(Calc_TUR_ENV_2[Jemena],Calc_TUR_ENV_2[[Customer type]:[Customer type]],OP_Rates!$E145,Calc_TUR_ENV_2[[Rate type]:[Rate type]],OP_Rates!$C145),8))),0,1))</f>
        <v>0</v>
      </c>
      <c r="J145" s="155" cm="1">
        <f t="array" ref="J145">IF(J110="-","-",
IF(ROUND(J110,8)=
IF($F145="Network",
IF($C145&lt;&gt;"Controlled load",
ROUND(INDEX(Calc_TUR_Net_2[[Ausnet]:[United Energy]],MATCH(1,(Calc_TUR_Net_2[[Customer type]:[Customer type]]=OP_Rates!$E145)*(Calc_TUR_Net_2[[Rate type]:[Rate type]]=OP_Rates!$C145),0),MATCH(OP_Rates!J$65,Calc_TUR_Net_2[[#Headers],[Ausnet]:[United Energy]],0)),8),
ROUND(INDEX(Calc_TUR_NetCL_2[[Ausnet]:[United Energy]],MATCH(OP_Rates!$E145,Calc_TUR_Net_2[[Customer type]:[Customer type]],0),MATCH(OP_Rates!J$65,Calc_TUR_Net_2[[#Headers],[Ausnet]:[United Energy]],0)),8)),
IF($F145="Environmental",
ROUND(SUMIFS(Calc_TUR_ENV_2[Powercor],Calc_TUR_ENV_2[[Customer type]:[Customer type]],OP_Rates!$E145,Calc_TUR_ENV_2[[Rate type]:[Rate type]],OP_Rates!$C145),8))),0,1))</f>
        <v>0</v>
      </c>
      <c r="K145" s="155" cm="1">
        <f t="array" ref="K145">IF(K110="-","-",
IF(ROUND(K110,8)=
IF($F145="Network",
IF($C145&lt;&gt;"Controlled load",
ROUND(INDEX(Calc_TUR_Net_2[[Ausnet]:[United Energy]],MATCH(1,(Calc_TUR_Net_2[[Customer type]:[Customer type]]=OP_Rates!$E145)*(Calc_TUR_Net_2[[Rate type]:[Rate type]]=OP_Rates!$C145),0),MATCH(OP_Rates!K$65,Calc_TUR_Net_2[[#Headers],[Ausnet]:[United Energy]],0)),8),
ROUND(INDEX(Calc_TUR_NetCL_2[[Ausnet]:[United Energy]],MATCH(OP_Rates!$E145,Calc_TUR_Net_2[[Customer type]:[Customer type]],0),MATCH(OP_Rates!K$65,Calc_TUR_Net_2[[#Headers],[Ausnet]:[United Energy]],0)),8)),
IF($F145="Environmental",
ROUND(SUMIFS(Calc_TUR_ENV_2[United Energy],Calc_TUR_ENV_2[[Customer type]:[Customer type]],OP_Rates!$E145,Calc_TUR_ENV_2[[Rate type]:[Rate type]],OP_Rates!$C145),8))),0,1))</f>
        <v>0</v>
      </c>
      <c r="M145" s="53" t="s">
        <v>72</v>
      </c>
      <c r="N145" s="53" t="s">
        <v>68</v>
      </c>
      <c r="O145" s="53" t="s">
        <v>66</v>
      </c>
      <c r="P145" s="53" t="s">
        <v>82</v>
      </c>
      <c r="Q145" s="155" cm="1">
        <f t="array" ref="Q145">IF(Q110="-","-",
IF(ROUND(Q110,8)=
IF($P145="Network",
ROUND(INDEX(Calc_TUR_Net_2[[Ausnet]:[United Energy]],MATCH(1,(Calc_TUR_Net_2[[Customer type]:[Customer type]]=OP_Rates!$O145)*(Calc_TUR_Net_2[[Rate type]:[Rate type]]=OP_Rates!$M145),0),MATCH(OP_Rates!Q$65,Calc_TUR_Net_2[[#Headers],[Ausnet]:[United Energy]],0)),8),
IF($P145="Environmental",
ROUND(SUMIFS(Calc_TUR_ENV_2[Ausnet],Calc_TUR_ENV_2[[Customer type]:[Customer type]],OP_Rates!$O145,Calc_TUR_ENV_2[[Rate type]:[Rate type]],OP_Rates!$M145),8))),0,1))</f>
        <v>0</v>
      </c>
      <c r="R145" s="155" cm="1">
        <f t="array" ref="R145">IF(R110="-","-",
IF(ROUND(R110,8)=
IF($P145="Network",
ROUND(INDEX(Calc_TUR_Net_2[[Ausnet]:[United Energy]],MATCH(1,(Calc_TUR_Net_2[[Customer type]:[Customer type]]=OP_Rates!$O145)*(Calc_TUR_Net_2[[Rate type]:[Rate type]]=OP_Rates!$M145),0),MATCH(OP_Rates!R$65,Calc_TUR_Net_2[[#Headers],[Ausnet]:[United Energy]],0)),8),
IF($P145="Environmental",
ROUND(SUMIFS(Calc_TUR_ENV_2[Citipower],Calc_TUR_ENV_2[[Customer type]:[Customer type]],OP_Rates!$O145,Calc_TUR_ENV_2[[Rate type]:[Rate type]],OP_Rates!$M145),8))),0,1))</f>
        <v>0</v>
      </c>
      <c r="S145" s="155" cm="1">
        <f t="array" ref="S145">IF(S110="-","-",
IF(ROUND(S110,8)=
IF($P145="Network",
ROUND(INDEX(Calc_TUR_Net_2[[Ausnet]:[United Energy]],MATCH(1,(Calc_TUR_Net_2[[Customer type]:[Customer type]]=OP_Rates!$O145)*(Calc_TUR_Net_2[[Rate type]:[Rate type]]=OP_Rates!$M145),0),MATCH(OP_Rates!S$65,Calc_TUR_Net_2[[#Headers],[Ausnet]:[United Energy]],0)),8),
IF($P145="Environmental",
ROUND(SUMIFS(Calc_TUR_ENV_2[Jemena],Calc_TUR_ENV_2[[Customer type]:[Customer type]],OP_Rates!$O145,Calc_TUR_ENV_2[[Rate type]:[Rate type]],OP_Rates!$M145),8))),0,1))</f>
        <v>0</v>
      </c>
      <c r="T145" s="155" cm="1">
        <f t="array" ref="T145">IF(T110="-","-",
IF(ROUND(T110,8)=
IF($P145="Network",
ROUND(INDEX(Calc_TUR_Net_2[[Ausnet]:[United Energy]],MATCH(1,(Calc_TUR_Net_2[[Customer type]:[Customer type]]=OP_Rates!$O145)*(Calc_TUR_Net_2[[Rate type]:[Rate type]]=OP_Rates!$M145),0),MATCH(OP_Rates!T$65,Calc_TUR_Net_2[[#Headers],[Ausnet]:[United Energy]],0)),8),
IF($P145="Environmental",
ROUND(SUMIFS(Calc_TUR_ENV_2[Powercor],Calc_TUR_ENV_2[[Customer type]:[Customer type]],OP_Rates!$O145,Calc_TUR_ENV_2[[Rate type]:[Rate type]],OP_Rates!$M145),8))),0,1))</f>
        <v>0</v>
      </c>
      <c r="U145" s="155" cm="1">
        <f t="array" ref="U145">IF(U110="-","-",
IF(ROUND(U110,8)=
IF($P145="Network",
ROUND(INDEX(Calc_TUR_Net_2[[Ausnet]:[United Energy]],MATCH(1,(Calc_TUR_Net_2[[Customer type]:[Customer type]]=OP_Rates!$O145)*(Calc_TUR_Net_2[[Rate type]:[Rate type]]=OP_Rates!$M145),0),MATCH(OP_Rates!U$65,Calc_TUR_Net_2[[#Headers],[Ausnet]:[United Energy]],0)),8),
IF($P145="Environmental",
ROUND(SUMIFS(Calc_TUR_ENV_2[United Energy],Calc_TUR_ENV_2[[Customer type]:[Customer type]],OP_Rates!$O145,Calc_TUR_ENV_2[[Rate type]:[Rate type]],OP_Rates!$M145),8))),0,1))</f>
        <v>0</v>
      </c>
    </row>
    <row r="146" spans="3:21" ht="15.5" hidden="1" outlineLevel="2">
      <c r="C146" s="53" t="s">
        <v>73</v>
      </c>
      <c r="D146" s="53" t="s">
        <v>68</v>
      </c>
      <c r="E146" s="53" t="s">
        <v>65</v>
      </c>
      <c r="F146" s="53" t="s">
        <v>82</v>
      </c>
      <c r="G146" s="155" cm="1">
        <f t="array" ref="G146">IF(G111="-","-",
IF(ROUND(G111,8)=
IF($F146="Network",
IF($C146&lt;&gt;"Controlled load",
ROUND(INDEX(Calc_TUR_Net_2[[Ausnet]:[United Energy]],MATCH(1,(Calc_TUR_Net_2[[Customer type]:[Customer type]]=OP_Rates!$E146)*(Calc_TUR_Net_2[[Rate type]:[Rate type]]=OP_Rates!$C146),0),MATCH(OP_Rates!G$65,Calc_TUR_Net_2[[#Headers],[Ausnet]:[United Energy]],0)),8),
ROUND(INDEX(Calc_TUR_NetCL_2[[Ausnet]:[United Energy]],MATCH(OP_Rates!$E146,Calc_TUR_Net_2[[Customer type]:[Customer type]],0),MATCH(OP_Rates!G$65,Calc_TUR_Net_2[[#Headers],[Ausnet]:[United Energy]],0)),8)),
IF($F146="Environmental",
ROUND(SUMIFS(Calc_TUR_ENV_2[Ausnet],Calc_TUR_ENV_2[[Customer type]:[Customer type]],OP_Rates!$E146,Calc_TUR_ENV_2[[Rate type]:[Rate type]],OP_Rates!$C146),8))),0,1))</f>
        <v>0</v>
      </c>
      <c r="H146" s="155" cm="1">
        <f t="array" ref="H146">IF(H111="-","-",
IF(ROUND(H111,8)=
IF($F146="Network",
IF($C146&lt;&gt;"Controlled load",
ROUND(INDEX(Calc_TUR_Net_2[[Ausnet]:[United Energy]],MATCH(1,(Calc_TUR_Net_2[[Customer type]:[Customer type]]=OP_Rates!$E146)*(Calc_TUR_Net_2[[Rate type]:[Rate type]]=OP_Rates!$C146),0),MATCH(OP_Rates!H$65,Calc_TUR_Net_2[[#Headers],[Ausnet]:[United Energy]],0)),8),
ROUND(INDEX(Calc_TUR_NetCL_2[[Ausnet]:[United Energy]],MATCH(OP_Rates!$E146,Calc_TUR_Net_2[[Customer type]:[Customer type]],0),MATCH(OP_Rates!H$65,Calc_TUR_Net_2[[#Headers],[Ausnet]:[United Energy]],0)),8)),
IF($F146="Environmental",
ROUND(SUMIFS(Calc_TUR_ENV_2[Citipower],Calc_TUR_ENV_2[[Customer type]:[Customer type]],OP_Rates!$E146,Calc_TUR_ENV_2[[Rate type]:[Rate type]],OP_Rates!$C146),8))),0,1))</f>
        <v>0</v>
      </c>
      <c r="I146" s="155" cm="1">
        <f t="array" ref="I146">IF(I111="-","-",
IF(ROUND(I111,8)=
IF($F146="Network",
IF($C146&lt;&gt;"Controlled load",
ROUND(INDEX(Calc_TUR_Net_2[[Ausnet]:[United Energy]],MATCH(1,(Calc_TUR_Net_2[[Customer type]:[Customer type]]=OP_Rates!$E146)*(Calc_TUR_Net_2[[Rate type]:[Rate type]]=OP_Rates!$C146),0),MATCH(OP_Rates!I$65,Calc_TUR_Net_2[[#Headers],[Ausnet]:[United Energy]],0)),8),
ROUND(INDEX(Calc_TUR_NetCL_2[[Ausnet]:[United Energy]],MATCH(OP_Rates!$E146,Calc_TUR_Net_2[[Customer type]:[Customer type]],0),MATCH(OP_Rates!I$65,Calc_TUR_Net_2[[#Headers],[Ausnet]:[United Energy]],0)),8)),
IF($F146="Environmental",
ROUND(SUMIFS(Calc_TUR_ENV_2[Jemena],Calc_TUR_ENV_2[[Customer type]:[Customer type]],OP_Rates!$E146,Calc_TUR_ENV_2[[Rate type]:[Rate type]],OP_Rates!$C146),8))),0,1))</f>
        <v>0</v>
      </c>
      <c r="J146" s="155" cm="1">
        <f t="array" ref="J146">IF(J111="-","-",
IF(ROUND(J111,8)=
IF($F146="Network",
IF($C146&lt;&gt;"Controlled load",
ROUND(INDEX(Calc_TUR_Net_2[[Ausnet]:[United Energy]],MATCH(1,(Calc_TUR_Net_2[[Customer type]:[Customer type]]=OP_Rates!$E146)*(Calc_TUR_Net_2[[Rate type]:[Rate type]]=OP_Rates!$C146),0),MATCH(OP_Rates!J$65,Calc_TUR_Net_2[[#Headers],[Ausnet]:[United Energy]],0)),8),
ROUND(INDEX(Calc_TUR_NetCL_2[[Ausnet]:[United Energy]],MATCH(OP_Rates!$E146,Calc_TUR_Net_2[[Customer type]:[Customer type]],0),MATCH(OP_Rates!J$65,Calc_TUR_Net_2[[#Headers],[Ausnet]:[United Energy]],0)),8)),
IF($F146="Environmental",
ROUND(SUMIFS(Calc_TUR_ENV_2[Powercor],Calc_TUR_ENV_2[[Customer type]:[Customer type]],OP_Rates!$E146,Calc_TUR_ENV_2[[Rate type]:[Rate type]],OP_Rates!$C146),8))),0,1))</f>
        <v>0</v>
      </c>
      <c r="K146" s="155" cm="1">
        <f t="array" ref="K146">IF(K111="-","-",
IF(ROUND(K111,8)=
IF($F146="Network",
IF($C146&lt;&gt;"Controlled load",
ROUND(INDEX(Calc_TUR_Net_2[[Ausnet]:[United Energy]],MATCH(1,(Calc_TUR_Net_2[[Customer type]:[Customer type]]=OP_Rates!$E146)*(Calc_TUR_Net_2[[Rate type]:[Rate type]]=OP_Rates!$C146),0),MATCH(OP_Rates!K$65,Calc_TUR_Net_2[[#Headers],[Ausnet]:[United Energy]],0)),8),
ROUND(INDEX(Calc_TUR_NetCL_2[[Ausnet]:[United Energy]],MATCH(OP_Rates!$E146,Calc_TUR_Net_2[[Customer type]:[Customer type]],0),MATCH(OP_Rates!K$65,Calc_TUR_Net_2[[#Headers],[Ausnet]:[United Energy]],0)),8)),
IF($F146="Environmental",
ROUND(SUMIFS(Calc_TUR_ENV_2[United Energy],Calc_TUR_ENV_2[[Customer type]:[Customer type]],OP_Rates!$E146,Calc_TUR_ENV_2[[Rate type]:[Rate type]],OP_Rates!$C146),8))),0,1))</f>
        <v>0</v>
      </c>
      <c r="M146" s="53" t="s">
        <v>73</v>
      </c>
      <c r="N146" s="53" t="s">
        <v>68</v>
      </c>
      <c r="O146" s="53" t="s">
        <v>66</v>
      </c>
      <c r="P146" s="53" t="s">
        <v>82</v>
      </c>
      <c r="Q146" s="155" cm="1">
        <f t="array" ref="Q146">IF(Q111="-","-",
IF(ROUND(Q111,8)=
IF($P146="Network",
ROUND(INDEX(Calc_TUR_Net_2[[Ausnet]:[United Energy]],MATCH(1,(Calc_TUR_Net_2[[Customer type]:[Customer type]]=OP_Rates!$O146)*(Calc_TUR_Net_2[[Rate type]:[Rate type]]=OP_Rates!$M146),0),MATCH(OP_Rates!Q$65,Calc_TUR_Net_2[[#Headers],[Ausnet]:[United Energy]],0)),8),
IF($P146="Environmental",
ROUND(SUMIFS(Calc_TUR_ENV_2[Ausnet],Calc_TUR_ENV_2[[Customer type]:[Customer type]],OP_Rates!$O146,Calc_TUR_ENV_2[[Rate type]:[Rate type]],OP_Rates!$M146),8))),0,1))</f>
        <v>0</v>
      </c>
      <c r="R146" s="155" cm="1">
        <f t="array" ref="R146">IF(R111="-","-",
IF(ROUND(R111,8)=
IF($P146="Network",
ROUND(INDEX(Calc_TUR_Net_2[[Ausnet]:[United Energy]],MATCH(1,(Calc_TUR_Net_2[[Customer type]:[Customer type]]=OP_Rates!$O146)*(Calc_TUR_Net_2[[Rate type]:[Rate type]]=OP_Rates!$M146),0),MATCH(OP_Rates!R$65,Calc_TUR_Net_2[[#Headers],[Ausnet]:[United Energy]],0)),8),
IF($P146="Environmental",
ROUND(SUMIFS(Calc_TUR_ENV_2[Citipower],Calc_TUR_ENV_2[[Customer type]:[Customer type]],OP_Rates!$O146,Calc_TUR_ENV_2[[Rate type]:[Rate type]],OP_Rates!$M146),8))),0,1))</f>
        <v>0</v>
      </c>
      <c r="S146" s="155" cm="1">
        <f t="array" ref="S146">IF(S111="-","-",
IF(ROUND(S111,8)=
IF($P146="Network",
ROUND(INDEX(Calc_TUR_Net_2[[Ausnet]:[United Energy]],MATCH(1,(Calc_TUR_Net_2[[Customer type]:[Customer type]]=OP_Rates!$O146)*(Calc_TUR_Net_2[[Rate type]:[Rate type]]=OP_Rates!$M146),0),MATCH(OP_Rates!S$65,Calc_TUR_Net_2[[#Headers],[Ausnet]:[United Energy]],0)),8),
IF($P146="Environmental",
ROUND(SUMIFS(Calc_TUR_ENV_2[Jemena],Calc_TUR_ENV_2[[Customer type]:[Customer type]],OP_Rates!$O146,Calc_TUR_ENV_2[[Rate type]:[Rate type]],OP_Rates!$M146),8))),0,1))</f>
        <v>0</v>
      </c>
      <c r="T146" s="155" cm="1">
        <f t="array" ref="T146">IF(T111="-","-",
IF(ROUND(T111,8)=
IF($P146="Network",
ROUND(INDEX(Calc_TUR_Net_2[[Ausnet]:[United Energy]],MATCH(1,(Calc_TUR_Net_2[[Customer type]:[Customer type]]=OP_Rates!$O146)*(Calc_TUR_Net_2[[Rate type]:[Rate type]]=OP_Rates!$M146),0),MATCH(OP_Rates!T$65,Calc_TUR_Net_2[[#Headers],[Ausnet]:[United Energy]],0)),8),
IF($P146="Environmental",
ROUND(SUMIFS(Calc_TUR_ENV_2[Powercor],Calc_TUR_ENV_2[[Customer type]:[Customer type]],OP_Rates!$O146,Calc_TUR_ENV_2[[Rate type]:[Rate type]],OP_Rates!$M146),8))),0,1))</f>
        <v>0</v>
      </c>
      <c r="U146" s="155" cm="1">
        <f t="array" ref="U146">IF(U111="-","-",
IF(ROUND(U111,8)=
IF($P146="Network",
ROUND(INDEX(Calc_TUR_Net_2[[Ausnet]:[United Energy]],MATCH(1,(Calc_TUR_Net_2[[Customer type]:[Customer type]]=OP_Rates!$O146)*(Calc_TUR_Net_2[[Rate type]:[Rate type]]=OP_Rates!$M146),0),MATCH(OP_Rates!U$65,Calc_TUR_Net_2[[#Headers],[Ausnet]:[United Energy]],0)),8),
IF($P146="Environmental",
ROUND(SUMIFS(Calc_TUR_ENV_2[United Energy],Calc_TUR_ENV_2[[Customer type]:[Customer type]],OP_Rates!$O146,Calc_TUR_ENV_2[[Rate type]:[Rate type]],OP_Rates!$M146),8))),0,1))</f>
        <v>0</v>
      </c>
    </row>
    <row r="147" spans="3:21" ht="15.5" hidden="1" outlineLevel="2">
      <c r="C147" s="53" t="s">
        <v>74</v>
      </c>
      <c r="D147" s="53" t="s">
        <v>68</v>
      </c>
      <c r="E147" s="53" t="s">
        <v>65</v>
      </c>
      <c r="F147" s="53" t="s">
        <v>82</v>
      </c>
      <c r="G147" s="155" cm="1">
        <f t="array" ref="G147">IF(G112="-","-",
IF(ROUND(G112,8)=
IF($F147="Network",
IF($C147&lt;&gt;"Controlled load",
ROUND(INDEX(Calc_TUR_Net_2[[Ausnet]:[United Energy]],MATCH(1,(Calc_TUR_Net_2[[Customer type]:[Customer type]]=OP_Rates!$E147)*(Calc_TUR_Net_2[[Rate type]:[Rate type]]=OP_Rates!$C147),0),MATCH(OP_Rates!G$65,Calc_TUR_Net_2[[#Headers],[Ausnet]:[United Energy]],0)),8),
ROUND(INDEX(Calc_TUR_NetCL_2[[Ausnet]:[United Energy]],MATCH(OP_Rates!$E147,Calc_TUR_Net_2[[Customer type]:[Customer type]],0),MATCH(OP_Rates!G$65,Calc_TUR_Net_2[[#Headers],[Ausnet]:[United Energy]],0)),8)),
IF($F147="Environmental",
ROUND(SUMIFS(Calc_TUR_ENV_2[Ausnet],Calc_TUR_ENV_2[[Customer type]:[Customer type]],OP_Rates!$E147,Calc_TUR_ENV_2[[Rate type]:[Rate type]],OP_Rates!$C147),8))),0,1))</f>
        <v>0</v>
      </c>
      <c r="H147" s="155" cm="1">
        <f t="array" ref="H147">IF(H112="-","-",
IF(ROUND(H112,8)=
IF($F147="Network",
IF($C147&lt;&gt;"Controlled load",
ROUND(INDEX(Calc_TUR_Net_2[[Ausnet]:[United Energy]],MATCH(1,(Calc_TUR_Net_2[[Customer type]:[Customer type]]=OP_Rates!$E147)*(Calc_TUR_Net_2[[Rate type]:[Rate type]]=OP_Rates!$C147),0),MATCH(OP_Rates!H$65,Calc_TUR_Net_2[[#Headers],[Ausnet]:[United Energy]],0)),8),
ROUND(INDEX(Calc_TUR_NetCL_2[[Ausnet]:[United Energy]],MATCH(OP_Rates!$E147,Calc_TUR_Net_2[[Customer type]:[Customer type]],0),MATCH(OP_Rates!H$65,Calc_TUR_Net_2[[#Headers],[Ausnet]:[United Energy]],0)),8)),
IF($F147="Environmental",
ROUND(SUMIFS(Calc_TUR_ENV_2[Citipower],Calc_TUR_ENV_2[[Customer type]:[Customer type]],OP_Rates!$E147,Calc_TUR_ENV_2[[Rate type]:[Rate type]],OP_Rates!$C147),8))),0,1))</f>
        <v>0</v>
      </c>
      <c r="I147" s="155" cm="1">
        <f t="array" ref="I147">IF(I112="-","-",
IF(ROUND(I112,8)=
IF($F147="Network",
IF($C147&lt;&gt;"Controlled load",
ROUND(INDEX(Calc_TUR_Net_2[[Ausnet]:[United Energy]],MATCH(1,(Calc_TUR_Net_2[[Customer type]:[Customer type]]=OP_Rates!$E147)*(Calc_TUR_Net_2[[Rate type]:[Rate type]]=OP_Rates!$C147),0),MATCH(OP_Rates!I$65,Calc_TUR_Net_2[[#Headers],[Ausnet]:[United Energy]],0)),8),
ROUND(INDEX(Calc_TUR_NetCL_2[[Ausnet]:[United Energy]],MATCH(OP_Rates!$E147,Calc_TUR_Net_2[[Customer type]:[Customer type]],0),MATCH(OP_Rates!I$65,Calc_TUR_Net_2[[#Headers],[Ausnet]:[United Energy]],0)),8)),
IF($F147="Environmental",
ROUND(SUMIFS(Calc_TUR_ENV_2[Jemena],Calc_TUR_ENV_2[[Customer type]:[Customer type]],OP_Rates!$E147,Calc_TUR_ENV_2[[Rate type]:[Rate type]],OP_Rates!$C147),8))),0,1))</f>
        <v>0</v>
      </c>
      <c r="J147" s="155" cm="1">
        <f t="array" ref="J147">IF(J112="-","-",
IF(ROUND(J112,8)=
IF($F147="Network",
IF($C147&lt;&gt;"Controlled load",
ROUND(INDEX(Calc_TUR_Net_2[[Ausnet]:[United Energy]],MATCH(1,(Calc_TUR_Net_2[[Customer type]:[Customer type]]=OP_Rates!$E147)*(Calc_TUR_Net_2[[Rate type]:[Rate type]]=OP_Rates!$C147),0),MATCH(OP_Rates!J$65,Calc_TUR_Net_2[[#Headers],[Ausnet]:[United Energy]],0)),8),
ROUND(INDEX(Calc_TUR_NetCL_2[[Ausnet]:[United Energy]],MATCH(OP_Rates!$E147,Calc_TUR_Net_2[[Customer type]:[Customer type]],0),MATCH(OP_Rates!J$65,Calc_TUR_Net_2[[#Headers],[Ausnet]:[United Energy]],0)),8)),
IF($F147="Environmental",
ROUND(SUMIFS(Calc_TUR_ENV_2[Powercor],Calc_TUR_ENV_2[[Customer type]:[Customer type]],OP_Rates!$E147,Calc_TUR_ENV_2[[Rate type]:[Rate type]],OP_Rates!$C147),8))),0,1))</f>
        <v>0</v>
      </c>
      <c r="K147" s="155" cm="1">
        <f t="array" ref="K147">IF(K112="-","-",
IF(ROUND(K112,8)=
IF($F147="Network",
IF($C147&lt;&gt;"Controlled load",
ROUND(INDEX(Calc_TUR_Net_2[[Ausnet]:[United Energy]],MATCH(1,(Calc_TUR_Net_2[[Customer type]:[Customer type]]=OP_Rates!$E147)*(Calc_TUR_Net_2[[Rate type]:[Rate type]]=OP_Rates!$C147),0),MATCH(OP_Rates!K$65,Calc_TUR_Net_2[[#Headers],[Ausnet]:[United Energy]],0)),8),
ROUND(INDEX(Calc_TUR_NetCL_2[[Ausnet]:[United Energy]],MATCH(OP_Rates!$E147,Calc_TUR_Net_2[[Customer type]:[Customer type]],0),MATCH(OP_Rates!K$65,Calc_TUR_Net_2[[#Headers],[Ausnet]:[United Energy]],0)),8)),
IF($F147="Environmental",
ROUND(SUMIFS(Calc_TUR_ENV_2[United Energy],Calc_TUR_ENV_2[[Customer type]:[Customer type]],OP_Rates!$E147,Calc_TUR_ENV_2[[Rate type]:[Rate type]],OP_Rates!$C147),8))),0,1))</f>
        <v>0</v>
      </c>
      <c r="M147" s="53"/>
      <c r="N147" s="53"/>
      <c r="O147" s="53"/>
      <c r="P147" s="53"/>
      <c r="Q147" s="155"/>
      <c r="R147" s="155"/>
      <c r="S147" s="155"/>
      <c r="T147" s="155"/>
      <c r="U147" s="155"/>
    </row>
    <row r="148" spans="3:21" outlineLevel="1" collapsed="1"/>
    <row r="149" spans="3:21">
      <c r="G149" s="78"/>
    </row>
    <row r="150" spans="3:21">
      <c r="G150" s="78"/>
    </row>
    <row r="151" spans="3:21">
      <c r="G151" s="78"/>
    </row>
    <row r="167" spans="6:10">
      <c r="F167" s="95"/>
      <c r="G167" s="95"/>
      <c r="H167" s="95"/>
      <c r="I167" s="95"/>
      <c r="J167" s="95"/>
    </row>
    <row r="168" spans="6:10">
      <c r="F168" s="95"/>
      <c r="G168" s="95"/>
      <c r="H168" s="95"/>
      <c r="I168" s="95"/>
      <c r="J168" s="95"/>
    </row>
    <row r="169" spans="6:10">
      <c r="F169" s="95"/>
      <c r="G169" s="95"/>
      <c r="H169" s="95"/>
      <c r="I169" s="95"/>
      <c r="J169" s="95"/>
    </row>
    <row r="170" spans="6:10">
      <c r="F170" s="95"/>
      <c r="G170" s="95"/>
      <c r="H170" s="95"/>
      <c r="I170" s="95"/>
      <c r="J170" s="95"/>
    </row>
    <row r="171" spans="6:10">
      <c r="F171" s="95"/>
      <c r="G171" s="95"/>
      <c r="H171" s="95"/>
      <c r="I171" s="95"/>
      <c r="J171" s="95"/>
    </row>
    <row r="172" spans="6:10">
      <c r="F172" s="95"/>
      <c r="G172" s="95"/>
      <c r="H172" s="95"/>
      <c r="I172" s="95"/>
      <c r="J172" s="95"/>
    </row>
    <row r="173" spans="6:10">
      <c r="F173" s="95"/>
      <c r="G173" s="95"/>
      <c r="H173" s="95"/>
      <c r="I173" s="95"/>
      <c r="J173" s="95"/>
    </row>
  </sheetData>
  <sheetProtection algorithmName="SHA-512" hashValue="KPaHUEMKW4zW8YWhWPd4YM0pJrZV52KedMGaPgGpiR8mr5Jx8uhsX7S57PRV8/mN6tY6oKseM8ap1qG786qRCQ==" saltValue="TzzizhJrQLD+1n5nR4Nzww==" spinCount="100000" sheet="1" objects="1" scenarios="1"/>
  <mergeCells count="1">
    <mergeCell ref="A2:A3"/>
  </mergeCells>
  <hyperlinks>
    <hyperlink ref="B1" location="Contents!A1" display="&lt;&lt; Back to contents" xr:uid="{147CFAAA-5804-4E9A-B781-7E13B25D96F1}"/>
  </hyperlinks>
  <pageMargins left="0.7" right="0.7" top="0.75" bottom="0.75" header="0.3" footer="0.3"/>
  <pageSetup paperSize="9" orientation="portrait" r:id="rId1"/>
  <headerFooter>
    <oddHeader>&amp;C&amp;B&amp;"Arial"&amp;12&amp;Kff0000​‌OFFICIAL‌​</oddHeader>
  </headerFooter>
  <ignoredErrors>
    <ignoredError sqref="G20:K27 G93:G100" calculatedColumn="1"/>
  </ignoredErrors>
  <tableParts count="12">
    <tablePart r:id="rId2"/>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2">
        <x14:dataValidation type="list" allowBlank="1" showInputMessage="1" showErrorMessage="1" xr:uid="{AE1D8D9F-4D5B-4AC8-9791-FC1C8C5CF940}">
          <x14:formula1>
            <xm:f>'Lookup refs'!$G$8:$G$10</xm:f>
          </x14:formula1>
          <xm:sqref>O55:O62 O9:O16 E128:E135 O128:O135 O20:O27 E20:E27 E93:E100 O93:O100 E82:E89 O82:O89 E9:E16 E55:E62 E44:E51 O44:O51 E117:E124 O117:O124 O104:O112 E104:E112 E139:E147 O139:O147 E31:E39 O31:O39 E66:E74 O66:O74</xm:sqref>
        </x14:dataValidation>
        <x14:dataValidation type="list" allowBlank="1" showInputMessage="1" showErrorMessage="1" xr:uid="{1A9A4095-A88F-441F-8070-8597F2CE1034}">
          <x14:formula1>
            <xm:f>'Lookup refs'!$E$8:$E$20</xm:f>
          </x14:formula1>
          <xm:sqref>D93:D100 D55:D62 N20:N27 N128:N135 D128:D135 D20:D27 N9:N16 N93:N100 D82:D89 N82:N89 D9:D16 N55:N62 D44:D51 N44:N51 D117:D124 N117:N124 N104:N112 D104:D112 D139:D147 N139:N147 D31:D39 N31:N39 D66:D74 N66:N74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C5C-D042-428B-AB68-13F89BD3F2D5}">
  <sheetPr>
    <tabColor rgb="FFCE0058"/>
    <pageSetUpPr autoPageBreaks="0"/>
  </sheetPr>
  <dimension ref="A1:R44"/>
  <sheetViews>
    <sheetView showGridLines="0" topLeftCell="B1" zoomScale="90" zoomScaleNormal="90" workbookViewId="0">
      <pane ySplit="3" topLeftCell="A4" activePane="bottomLeft" state="frozen"/>
      <selection activeCell="B33" sqref="B33"/>
      <selection pane="bottomLeft" activeCell="B1" sqref="B1"/>
    </sheetView>
  </sheetViews>
  <sheetFormatPr defaultColWidth="9.453125" defaultRowHeight="14.5" outlineLevelCol="1"/>
  <cols>
    <col min="1" max="1" width="100.54296875" hidden="1" customWidth="1" outlineLevel="1"/>
    <col min="2" max="2" width="10.54296875" style="6" customWidth="1" collapsed="1"/>
    <col min="3" max="3" width="20.54296875" customWidth="1"/>
    <col min="4" max="4" width="27.54296875" customWidth="1"/>
    <col min="5" max="9" width="20.54296875" customWidth="1"/>
    <col min="10" max="10" width="5.54296875" customWidth="1"/>
    <col min="11" max="18" width="20.54296875" customWidth="1"/>
  </cols>
  <sheetData>
    <row r="1" spans="1:18" ht="15" customHeight="1">
      <c r="A1" s="1" t="s">
        <v>15</v>
      </c>
      <c r="B1" s="231" t="s">
        <v>569</v>
      </c>
      <c r="C1" s="19"/>
      <c r="D1" s="19"/>
      <c r="E1" s="19"/>
      <c r="F1" s="19"/>
      <c r="G1" s="102" t="s">
        <v>52</v>
      </c>
      <c r="H1" s="87"/>
      <c r="I1" s="19"/>
      <c r="J1" s="19"/>
      <c r="K1" s="19"/>
      <c r="L1" s="19"/>
      <c r="M1" s="19"/>
      <c r="N1" s="19"/>
      <c r="O1" s="19"/>
      <c r="P1" s="19"/>
      <c r="Q1" s="19"/>
      <c r="R1" s="19"/>
    </row>
    <row r="2" spans="1:18" s="4" customFormat="1" ht="50.15" customHeight="1">
      <c r="A2" s="236" t="s">
        <v>16</v>
      </c>
      <c r="B2" s="22"/>
      <c r="C2" s="22" t="str">
        <f>Disclaimer!$B$1</f>
        <v>VDO calculation model</v>
      </c>
      <c r="D2" s="22"/>
      <c r="E2" s="22"/>
      <c r="F2" s="22"/>
      <c r="G2" s="156" t="str">
        <f>Calc_Rates!$D$5</f>
        <v>VDO 2023-24 - Final</v>
      </c>
      <c r="H2" s="156" t="str">
        <f>Calc_Rates!$D$266</f>
        <v>VDO 2022-23 - Final</v>
      </c>
      <c r="I2" s="22"/>
      <c r="J2" s="22"/>
      <c r="K2" s="22"/>
      <c r="L2" s="22"/>
      <c r="M2" s="22"/>
      <c r="N2" s="22"/>
      <c r="O2" s="22"/>
      <c r="P2" s="22"/>
      <c r="Q2" s="22"/>
      <c r="R2" s="22"/>
    </row>
    <row r="3" spans="1:18" s="4" customFormat="1" ht="30" customHeight="1">
      <c r="A3" s="237"/>
      <c r="B3" s="24">
        <f ca="1">_xlfn.SHEET()</f>
        <v>6</v>
      </c>
      <c r="C3" s="23" t="s">
        <v>164</v>
      </c>
      <c r="D3" s="23"/>
      <c r="E3" s="23"/>
      <c r="F3" s="23"/>
      <c r="G3" s="86">
        <f>SUM(E15:I17)+SUM(M15:Q17)</f>
        <v>0</v>
      </c>
      <c r="H3" s="86">
        <f>SUM(E29:I31)+SUM(M29:Q31)</f>
        <v>0</v>
      </c>
      <c r="I3" s="23"/>
      <c r="J3" s="23"/>
      <c r="K3" s="23"/>
      <c r="L3" s="23"/>
      <c r="M3" s="23"/>
      <c r="N3" s="23"/>
      <c r="O3" s="23"/>
      <c r="P3" s="23"/>
      <c r="Q3" s="23"/>
      <c r="R3" s="23"/>
    </row>
    <row r="4" spans="1:18">
      <c r="B4"/>
    </row>
    <row r="5" spans="1:18" ht="16" thickBot="1">
      <c r="A5" s="1" t="s">
        <v>18</v>
      </c>
      <c r="B5" s="216">
        <f ca="1">MAX(B$3:B4)+0.01</f>
        <v>6.01</v>
      </c>
      <c r="C5" s="25" t="str">
        <f>"CMAB amounts - "&amp;Calc_Rates!$D$5</f>
        <v>CMAB amounts - VDO 2023-24 - Final</v>
      </c>
      <c r="D5" s="25"/>
      <c r="E5" s="25"/>
      <c r="F5" s="25"/>
      <c r="G5" s="25"/>
      <c r="H5" s="25"/>
      <c r="I5" s="25"/>
      <c r="J5" s="25"/>
      <c r="K5" s="25"/>
      <c r="L5" s="25"/>
      <c r="M5" s="25"/>
      <c r="N5" s="25"/>
      <c r="O5" s="25"/>
      <c r="P5" s="25"/>
      <c r="Q5" s="25"/>
      <c r="R5" s="25"/>
    </row>
    <row r="7" spans="1:18" ht="15.5">
      <c r="C7" s="49" t="s">
        <v>31</v>
      </c>
      <c r="D7" s="37" t="str">
        <f>Calc_Rates!$D$5</f>
        <v>VDO 2023-24 - Final</v>
      </c>
    </row>
    <row r="9" spans="1:18" ht="15.5">
      <c r="C9" s="26" t="s">
        <v>65</v>
      </c>
      <c r="K9" s="26" t="s">
        <v>66</v>
      </c>
    </row>
    <row r="10" spans="1:18" ht="15.5">
      <c r="C10" s="39" t="s">
        <v>57</v>
      </c>
      <c r="D10" s="39" t="s">
        <v>165</v>
      </c>
      <c r="E10" s="54" t="s">
        <v>58</v>
      </c>
      <c r="F10" s="54" t="s">
        <v>59</v>
      </c>
      <c r="G10" s="54" t="s">
        <v>60</v>
      </c>
      <c r="H10" s="54" t="s">
        <v>61</v>
      </c>
      <c r="I10" s="54" t="s">
        <v>62</v>
      </c>
      <c r="K10" s="39" t="s">
        <v>57</v>
      </c>
      <c r="L10" s="39" t="s">
        <v>165</v>
      </c>
      <c r="M10" s="54" t="s">
        <v>58</v>
      </c>
      <c r="N10" s="54" t="s">
        <v>59</v>
      </c>
      <c r="O10" s="54" t="s">
        <v>60</v>
      </c>
      <c r="P10" s="54" t="s">
        <v>61</v>
      </c>
      <c r="Q10" s="54" t="s">
        <v>62</v>
      </c>
    </row>
    <row r="11" spans="1:18" hidden="1">
      <c r="C11" s="20" t="s">
        <v>65</v>
      </c>
      <c r="D11" s="20" t="s">
        <v>166</v>
      </c>
      <c r="E11" s="167">
        <f>IFERROR(
IF($D$7="VDO 2021 - Final",
ROUNDUP(
(INDEX(OP_TotalRates_RES_1[[Ausnet]:[United Energy]],MATCH("Anytime - supply",OP_TotalRates_RES_1[[Rate name]:[Rate name]],0),MATCH(E$10,OP_TotalRates_RES_1[[#Headers],[Ausnet]:[United Energy]],0))*DiLY)+
(IFERROR((INDEX(OP_TotalRates_RES_1[[Ausnet]:[United Energy]],MATCH("Block 1",OP_TotalRates_RES_1[[Rate name]:[Rate name]],0),MATCH(E$10,OP_TotalRates_RES_1[[#Headers],[Ausnet]:[United Energy]],0))*
INDEX(Input_Usage[],MATCH($D11&amp;" - Block 1",Input_Usage[[Ref]:[Ref]],0),MATCH($D$7,Inputs!$C$140:$Q$140,0))),0)+
IFERROR((INDEX(OP_TotalRates_RES_1[[Ausnet]:[United Energy]],MATCH("Balance",OP_TotalRates_RES_1[[Rate name]:[Rate name]],0),MATCH(E$10,OP_TotalRates_RES_1[[#Headers],[Ausnet]:[United Energy]],0))*
INDEX(Input_Usage[],MATCH($D11&amp;" - Balance",Input_Usage[[Ref]:[Ref]],0),MATCH($D$7,Inputs!$C$140:$Q$140,0))),0)+
IFERROR((INDEX(OP_TotalRates_RES_1[[Ausnet]:[United Energy]],MATCH("Single rate",OP_TotalRates_RES_1[[Rate name]:[Rate name]],0),MATCH(E$10,OP_TotalRates_RES_1[[#Headers],[Ausnet]:[United Energy]],0))*
INDEX(Input_Usage[],MATCH($D11&amp;" - Annual",Input_Usage[[Ref]:[Ref]],0),MATCH($D$7,Inputs!$C$140:$Q$140,0))),0)),0),
ROUNDUP(
(INDEX(OP_TotalRates_RES_1[[Ausnet]:[United Energy]],MATCH("TOU - supply",OP_TotalRates_RES_1[[Rate name]:[Rate name]],0),MATCH(E$10,OP_TotalRates_RES_1[[#Headers],[Ausnet]:[United Energy]],0))*DiLY)+
(INDEX(OP_TotalRates_RES_1[[Ausnet]:[United Energy]],MATCH("Peak",OP_TotalRates_RES_1[[Rate name]:[Rate name]],0),MATCH(E$10,OP_TotalRates_RES_1[[#Headers],[Ausnet]:[United Energy]],0))*
INDEX(Input_Usage[],MATCH($D11&amp;" - Peak",Input_Usage[[Ref]:[Ref]],0),MATCH($D$7,Inputs!$C$140:$Q$140,0)))+
IFERROR((INDEX(OP_TotalRates_RES_1[[Ausnet]:[United Energy]],MATCH("TOU - Shoulder",OP_TotalRates_RES_1[[Rate name]:[Rate name]],0),MATCH(E$10,OP_TotalRates_RES_1[[#Headers],[Ausnet]:[United Energy]],0))*
INDEX(Input_Usage[],MATCH($D11&amp;" - Shoulder",Input_Usage[[Ref]:[Ref]],0),MATCH($D$7,Inputs!$C$140:$Q$140,0))),0)+
(INDEX(OP_TotalRates_RES_1[[Ausnet]:[United Energy]],MATCH("Off peak",OP_TotalRates_RES_1[[Rate name]:[Rate name]],0),MATCH(E$10,OP_TotalRates_RES_1[[#Headers],[Ausnet]:[United Energy]],0))*
INDEX(Input_Usage[],MATCH($D11&amp;" - Off peak",Input_Usage[[Ref]:[Ref]],0),MATCH($D$7,Inputs!$C$140:$Q$140,0))),0)),"-")</f>
        <v>1195</v>
      </c>
      <c r="F11" s="167">
        <f>IFERROR(
IF($D$7="VDO 2021 - Final",
ROUNDUP(
(INDEX(OP_TotalRates_RES_1[[Ausnet]:[United Energy]],MATCH("Anytime - supply",OP_TotalRates_RES_1[[Rate name]:[Rate name]],0),MATCH(F$10,OP_TotalRates_RES_1[[#Headers],[Ausnet]:[United Energy]],0))*DiLY)+
(IFERROR((INDEX(OP_TotalRates_RES_1[[Ausnet]:[United Energy]],MATCH("Block 1",OP_TotalRates_RES_1[[Rate name]:[Rate name]],0),MATCH(F$10,OP_TotalRates_RES_1[[#Headers],[Ausnet]:[United Energy]],0))*
INDEX(Input_Usage[],MATCH($D11&amp;" - Block 1",Input_Usage[[Ref]:[Ref]],0),MATCH($D$7,Inputs!$C$140:$Q$140,0))),0)+
IFERROR((INDEX(OP_TotalRates_RES_1[[Ausnet]:[United Energy]],MATCH("Balance",OP_TotalRates_RES_1[[Rate name]:[Rate name]],0),MATCH(F$10,OP_TotalRates_RES_1[[#Headers],[Ausnet]:[United Energy]],0))*
INDEX(Input_Usage[],MATCH($D11&amp;" - Balance",Input_Usage[[Ref]:[Ref]],0),MATCH($D$7,Inputs!$C$140:$Q$140,0))),0)+
IFERROR((INDEX(OP_TotalRates_RES_1[[Ausnet]:[United Energy]],MATCH("Single rate",OP_TotalRates_RES_1[[Rate name]:[Rate name]],0),MATCH(F$10,OP_TotalRates_RES_1[[#Headers],[Ausnet]:[United Energy]],0))*
INDEX(Input_Usage[],MATCH($D11&amp;" - Annual",Input_Usage[[Ref]:[Ref]],0),MATCH($D$7,Inputs!$C$140:$Q$140,0))),0)),0),
ROUNDUP(
(INDEX(OP_TotalRates_RES_1[[Ausnet]:[United Energy]],MATCH("TOU - supply",OP_TotalRates_RES_1[[Rate name]:[Rate name]],0),MATCH(F$10,OP_TotalRates_RES_1[[#Headers],[Ausnet]:[United Energy]],0))*DiLY)+
(INDEX(OP_TotalRates_RES_1[[Ausnet]:[United Energy]],MATCH("Peak",OP_TotalRates_RES_1[[Rate name]:[Rate name]],0),MATCH(F$10,OP_TotalRates_RES_1[[#Headers],[Ausnet]:[United Energy]],0))*
INDEX(Input_Usage[],MATCH($D11&amp;" - Peak",Input_Usage[[Ref]:[Ref]],0),MATCH($D$7,Inputs!$C$140:$Q$140,0)))+
IFERROR((INDEX(OP_TotalRates_RES_1[[Ausnet]:[United Energy]],MATCH("TOU - Shoulder",OP_TotalRates_RES_1[[Rate name]:[Rate name]],0),MATCH(F$10,OP_TotalRates_RES_1[[#Headers],[Ausnet]:[United Energy]],0))*
INDEX(Input_Usage[],MATCH($D11&amp;" - Shoulder",Input_Usage[[Ref]:[Ref]],0),MATCH($D$7,Inputs!$C$140:$Q$140,0))),0)+
(INDEX(OP_TotalRates_RES_1[[Ausnet]:[United Energy]],MATCH("Off peak",OP_TotalRates_RES_1[[Rate name]:[Rate name]],0),MATCH(F$10,OP_TotalRates_RES_1[[#Headers],[Ausnet]:[United Energy]],0))*
INDEX(Input_Usage[],MATCH($D11&amp;" - Off peak",Input_Usage[[Ref]:[Ref]],0),MATCH($D$7,Inputs!$C$140:$Q$140,0))),0)),"-")</f>
        <v>995</v>
      </c>
      <c r="G11" s="167">
        <f>IFERROR(
IF($D$7="VDO 2021 - Final",
ROUNDUP(
(INDEX(OP_TotalRates_RES_1[[Ausnet]:[United Energy]],MATCH("Anytime - supply",OP_TotalRates_RES_1[[Rate name]:[Rate name]],0),MATCH(G$10,OP_TotalRates_RES_1[[#Headers],[Ausnet]:[United Energy]],0))*DiLY)+
(IFERROR((INDEX(OP_TotalRates_RES_1[[Ausnet]:[United Energy]],MATCH("Block 1",OP_TotalRates_RES_1[[Rate name]:[Rate name]],0),MATCH(G$10,OP_TotalRates_RES_1[[#Headers],[Ausnet]:[United Energy]],0))*
INDEX(Input_Usage[],MATCH($D11&amp;" - Block 1",Input_Usage[[Ref]:[Ref]],0),MATCH($D$7,Inputs!$C$140:$Q$140,0))),0)+
IFERROR((INDEX(OP_TotalRates_RES_1[[Ausnet]:[United Energy]],MATCH("Balance",OP_TotalRates_RES_1[[Rate name]:[Rate name]],0),MATCH(G$10,OP_TotalRates_RES_1[[#Headers],[Ausnet]:[United Energy]],0))*
INDEX(Input_Usage[],MATCH($D11&amp;" - Balance",Input_Usage[[Ref]:[Ref]],0),MATCH($D$7,Inputs!$C$140:$Q$140,0))),0)+
IFERROR((INDEX(OP_TotalRates_RES_1[[Ausnet]:[United Energy]],MATCH("Single rate",OP_TotalRates_RES_1[[Rate name]:[Rate name]],0),MATCH(G$10,OP_TotalRates_RES_1[[#Headers],[Ausnet]:[United Energy]],0))*
INDEX(Input_Usage[],MATCH($D11&amp;" - Annual",Input_Usage[[Ref]:[Ref]],0),MATCH($D$7,Inputs!$C$140:$Q$140,0))),0)),0),
ROUNDUP(
(INDEX(OP_TotalRates_RES_1[[Ausnet]:[United Energy]],MATCH("TOU - supply",OP_TotalRates_RES_1[[Rate name]:[Rate name]],0),MATCH(G$10,OP_TotalRates_RES_1[[#Headers],[Ausnet]:[United Energy]],0))*DiLY)+
(INDEX(OP_TotalRates_RES_1[[Ausnet]:[United Energy]],MATCH("Peak",OP_TotalRates_RES_1[[Rate name]:[Rate name]],0),MATCH(G$10,OP_TotalRates_RES_1[[#Headers],[Ausnet]:[United Energy]],0))*
INDEX(Input_Usage[],MATCH($D11&amp;" - Peak",Input_Usage[[Ref]:[Ref]],0),MATCH($D$7,Inputs!$C$140:$Q$140,0)))+
IFERROR((INDEX(OP_TotalRates_RES_1[[Ausnet]:[United Energy]],MATCH("TOU - Shoulder",OP_TotalRates_RES_1[[Rate name]:[Rate name]],0),MATCH(G$10,OP_TotalRates_RES_1[[#Headers],[Ausnet]:[United Energy]],0))*
INDEX(Input_Usage[],MATCH($D11&amp;" - Shoulder",Input_Usage[[Ref]:[Ref]],0),MATCH($D$7,Inputs!$C$140:$Q$140,0))),0)+
(INDEX(OP_TotalRates_RES_1[[Ausnet]:[United Energy]],MATCH("Off peak",OP_TotalRates_RES_1[[Rate name]:[Rate name]],0),MATCH(G$10,OP_TotalRates_RES_1[[#Headers],[Ausnet]:[United Energy]],0))*
INDEX(Input_Usage[],MATCH($D11&amp;" - Off peak",Input_Usage[[Ref]:[Ref]],0),MATCH($D$7,Inputs!$C$140:$Q$140,0))),0)),"-")</f>
        <v>1041</v>
      </c>
      <c r="H11" s="167">
        <f>IFERROR(
IF($D$7="VDO 2021 - Final",
ROUNDUP(
(INDEX(OP_TotalRates_RES_1[[Ausnet]:[United Energy]],MATCH("Anytime - supply",OP_TotalRates_RES_1[[Rate name]:[Rate name]],0),MATCH(H$10,OP_TotalRates_RES_1[[#Headers],[Ausnet]:[United Energy]],0))*DiLY)+
(IFERROR((INDEX(OP_TotalRates_RES_1[[Ausnet]:[United Energy]],MATCH("Block 1",OP_TotalRates_RES_1[[Rate name]:[Rate name]],0),MATCH(H$10,OP_TotalRates_RES_1[[#Headers],[Ausnet]:[United Energy]],0))*
INDEX(Input_Usage[],MATCH($D11&amp;" - Block 1",Input_Usage[[Ref]:[Ref]],0),MATCH($D$7,Inputs!$C$140:$Q$140,0))),0)+
IFERROR((INDEX(OP_TotalRates_RES_1[[Ausnet]:[United Energy]],MATCH("Balance",OP_TotalRates_RES_1[[Rate name]:[Rate name]],0),MATCH(H$10,OP_TotalRates_RES_1[[#Headers],[Ausnet]:[United Energy]],0))*
INDEX(Input_Usage[],MATCH($D11&amp;" - Balance",Input_Usage[[Ref]:[Ref]],0),MATCH($D$7,Inputs!$C$140:$Q$140,0))),0)+
IFERROR((INDEX(OP_TotalRates_RES_1[[Ausnet]:[United Energy]],MATCH("Single rate",OP_TotalRates_RES_1[[Rate name]:[Rate name]],0),MATCH(H$10,OP_TotalRates_RES_1[[#Headers],[Ausnet]:[United Energy]],0))*
INDEX(Input_Usage[],MATCH($D11&amp;" - Annual",Input_Usage[[Ref]:[Ref]],0),MATCH($D$7,Inputs!$C$140:$Q$140,0))),0)),0),
ROUNDUP(
(INDEX(OP_TotalRates_RES_1[[Ausnet]:[United Energy]],MATCH("TOU - supply",OP_TotalRates_RES_1[[Rate name]:[Rate name]],0),MATCH(H$10,OP_TotalRates_RES_1[[#Headers],[Ausnet]:[United Energy]],0))*DiLY)+
(INDEX(OP_TotalRates_RES_1[[Ausnet]:[United Energy]],MATCH("Peak",OP_TotalRates_RES_1[[Rate name]:[Rate name]],0),MATCH(H$10,OP_TotalRates_RES_1[[#Headers],[Ausnet]:[United Energy]],0))*
INDEX(Input_Usage[],MATCH($D11&amp;" - Peak",Input_Usage[[Ref]:[Ref]],0),MATCH($D$7,Inputs!$C$140:$Q$140,0)))+
IFERROR((INDEX(OP_TotalRates_RES_1[[Ausnet]:[United Energy]],MATCH("TOU - Shoulder",OP_TotalRates_RES_1[[Rate name]:[Rate name]],0),MATCH(H$10,OP_TotalRates_RES_1[[#Headers],[Ausnet]:[United Energy]],0))*
INDEX(Input_Usage[],MATCH($D11&amp;" - Shoulder",Input_Usage[[Ref]:[Ref]],0),MATCH($D$7,Inputs!$C$140:$Q$140,0))),0)+
(INDEX(OP_TotalRates_RES_1[[Ausnet]:[United Energy]],MATCH("Off peak",OP_TotalRates_RES_1[[Rate name]:[Rate name]],0),MATCH(H$10,OP_TotalRates_RES_1[[#Headers],[Ausnet]:[United Energy]],0))*
INDEX(Input_Usage[],MATCH($D11&amp;" - Off peak",Input_Usage[[Ref]:[Ref]],0),MATCH($D$7,Inputs!$C$140:$Q$140,0))),0)),"-")</f>
        <v>1129</v>
      </c>
      <c r="I11" s="167">
        <f>IFERROR(
IF($D$7="VDO 2021 - Final",
ROUNDUP(
(INDEX(OP_TotalRates_RES_1[[Ausnet]:[United Energy]],MATCH("Anytime - supply",OP_TotalRates_RES_1[[Rate name]:[Rate name]],0),MATCH(I$10,OP_TotalRates_RES_1[[#Headers],[Ausnet]:[United Energy]],0))*DiLY)+
(IFERROR((INDEX(OP_TotalRates_RES_1[[Ausnet]:[United Energy]],MATCH("Block 1",OP_TotalRates_RES_1[[Rate name]:[Rate name]],0),MATCH(I$10,OP_TotalRates_RES_1[[#Headers],[Ausnet]:[United Energy]],0))*
INDEX(Input_Usage[],MATCH($D11&amp;" - Block 1",Input_Usage[[Ref]:[Ref]],0),MATCH($D$7,Inputs!$C$140:$Q$140,0))),0)+
IFERROR((INDEX(OP_TotalRates_RES_1[[Ausnet]:[United Energy]],MATCH("Balance",OP_TotalRates_RES_1[[Rate name]:[Rate name]],0),MATCH(I$10,OP_TotalRates_RES_1[[#Headers],[Ausnet]:[United Energy]],0))*
INDEX(Input_Usage[],MATCH($D11&amp;" - Balance",Input_Usage[[Ref]:[Ref]],0),MATCH($D$7,Inputs!$C$140:$Q$140,0))),0)+
IFERROR((INDEX(OP_TotalRates_RES_1[[Ausnet]:[United Energy]],MATCH("Single rate",OP_TotalRates_RES_1[[Rate name]:[Rate name]],0),MATCH(I$10,OP_TotalRates_RES_1[[#Headers],[Ausnet]:[United Energy]],0))*
INDEX(Input_Usage[],MATCH($D11&amp;" - Annual",Input_Usage[[Ref]:[Ref]],0),MATCH($D$7,Inputs!$C$140:$Q$140,0))),0)),0),
ROUNDUP(
(INDEX(OP_TotalRates_RES_1[[Ausnet]:[United Energy]],MATCH("TOU - supply",OP_TotalRates_RES_1[[Rate name]:[Rate name]],0),MATCH(I$10,OP_TotalRates_RES_1[[#Headers],[Ausnet]:[United Energy]],0))*DiLY)+
(INDEX(OP_TotalRates_RES_1[[Ausnet]:[United Energy]],MATCH("Peak",OP_TotalRates_RES_1[[Rate name]:[Rate name]],0),MATCH(I$10,OP_TotalRates_RES_1[[#Headers],[Ausnet]:[United Energy]],0))*
INDEX(Input_Usage[],MATCH($D11&amp;" - Peak",Input_Usage[[Ref]:[Ref]],0),MATCH($D$7,Inputs!$C$140:$Q$140,0)))+
IFERROR((INDEX(OP_TotalRates_RES_1[[Ausnet]:[United Energy]],MATCH("TOU - Shoulder",OP_TotalRates_RES_1[[Rate name]:[Rate name]],0),MATCH(I$10,OP_TotalRates_RES_1[[#Headers],[Ausnet]:[United Energy]],0))*
INDEX(Input_Usage[],MATCH($D11&amp;" - Shoulder",Input_Usage[[Ref]:[Ref]],0),MATCH($D$7,Inputs!$C$140:$Q$140,0))),0)+
(INDEX(OP_TotalRates_RES_1[[Ausnet]:[United Energy]],MATCH("Off peak",OP_TotalRates_RES_1[[Rate name]:[Rate name]],0),MATCH(I$10,OP_TotalRates_RES_1[[#Headers],[Ausnet]:[United Energy]],0))*
INDEX(Input_Usage[],MATCH($D11&amp;" - Off peak",Input_Usage[[Ref]:[Ref]],0),MATCH($D$7,Inputs!$C$140:$Q$140,0))),0)),"-")</f>
        <v>1025</v>
      </c>
      <c r="K11" s="20" t="s">
        <v>66</v>
      </c>
      <c r="L11" s="20" t="s">
        <v>167</v>
      </c>
      <c r="M11" s="167">
        <f>IFERROR(
IF($D$7="VDO 2021 - Final",
ROUNDUP(
(INDEX(OP_TotalRates_SME_1[[Ausnet]:[United Energy]],MATCH("Anytime - supply",OP_TotalRates_SME_1[[Rate name]:[Rate name]],0),MATCH(M$10,OP_TotalRates_SME_1[[#Headers],[Ausnet]:[United Energy]],0))*DiLY)+
(IFERROR((INDEX(OP_TotalRates_SME_1[[Ausnet]:[United Energy]],MATCH("Block 1",OP_TotalRates_SME_1[[Rate name]:[Rate name]],0),MATCH(M$10,OP_TotalRates_SME_1[[#Headers],[Ausnet]:[United Energy]],0))*
INDEX(Input_Usage[],MATCH($L11&amp;" - Block 1",Input_Usage[[Ref]:[Ref]],0),MATCH($D$7,Inputs!$C$140:$Q$140,0))),0)+
IFERROR((INDEX(OP_TotalRates_SME_1[[Ausnet]:[United Energy]],MATCH("Balance",OP_TotalRates_SME_1[[Rate name]:[Rate name]],0),MATCH(M$10,OP_TotalRates_SME_1[[#Headers],[Ausnet]:[United Energy]],0))*
INDEX(Input_Usage[],MATCH($L11&amp;" - Balance",Input_Usage[[Ref]:[Ref]],0),MATCH($D$7,Inputs!$C$140:$Q$140,0))),0)+
IFERROR((INDEX(OP_TotalRates_SME_1[[Ausnet]:[United Energy]],MATCH("Single rate",OP_TotalRates_SME_1[[Rate name]:[Rate name]],0),MATCH(M$10,OP_TotalRates_SME_1[[#Headers],[Ausnet]:[United Energy]],0))*
INDEX(Input_Usage[],MATCH($L11&amp;" - Annual",Input_Usage[[Ref]:[Ref]],0),MATCH($D$7,Inputs!$C$140:$Q$140,0))),0)),0),
ROUNDUP(
(INDEX(OP_TotalRates_SME_1[[Ausnet]:[United Energy]],MATCH("TOU - supply",OP_TotalRates_SME_1[[Rate name]:[Rate name]],0),MATCH(M$10,OP_TotalRates_SME_1[[#Headers],[Ausnet]:[United Energy]],0))*DiLY)+
(INDEX(OP_TotalRates_SME_1[[Ausnet]:[United Energy]],MATCH("Peak",OP_TotalRates_SME_1[[Rate name]:[Rate name]],0),MATCH(M$10,OP_TotalRates_SME_1[[#Headers],[Ausnet]:[United Energy]],0))*
INDEX(Input_Usage[],MATCH($L11&amp;" - Peak",Input_Usage[[Ref]:[Ref]],0),MATCH($D$7,Inputs!$C$140:$Q$140,0)))+
IFERROR((INDEX(OP_TotalRates_SME_1[[Ausnet]:[United Energy]],MATCH("TOU - Shoulder",OP_TotalRates_SME_1[[Rate name]:[Rate name]],0),MATCH(M$10,OP_TotalRates_SME_1[[#Headers],[Ausnet]:[United Energy]],0))*
INDEX(Input_Usage[],MATCH($L11&amp;" - Shoulder",Input_Usage[[Ref]:[Ref]],0),MATCH($D$7,Inputs!$C$140:$Q$140,0))),0)+
(INDEX(OP_TotalRates_SME_1[[Ausnet]:[United Energy]],MATCH("Off peak",OP_TotalRates_SME_1[[Rate name]:[Rate name]],0),MATCH(M$10,OP_TotalRates_SME_1[[#Headers],[Ausnet]:[United Energy]],0))*
INDEX(Input_Usage[],MATCH($L11&amp;" - Off peak",Input_Usage[[Ref]:[Ref]],0),MATCH($D$7,Inputs!$C$140:$Q$140,0))),0)),"-")</f>
        <v>3871</v>
      </c>
      <c r="N11" s="167">
        <f>IFERROR(
IF($D$7="VDO 2021 - Final",
ROUNDUP(
(INDEX(OP_TotalRates_SME_1[[Ausnet]:[United Energy]],MATCH("Anytime - supply",OP_TotalRates_SME_1[[Rate name]:[Rate name]],0),MATCH(N$10,OP_TotalRates_SME_1[[#Headers],[Ausnet]:[United Energy]],0))*DiLY)+
(IFERROR((INDEX(OP_TotalRates_SME_1[[Ausnet]:[United Energy]],MATCH("Block 1",OP_TotalRates_SME_1[[Rate name]:[Rate name]],0),MATCH(N$10,OP_TotalRates_SME_1[[#Headers],[Ausnet]:[United Energy]],0))*
INDEX(Input_Usage[],MATCH($L11&amp;" - Block 1",Input_Usage[[Ref]:[Ref]],0),MATCH($D$7,Inputs!$C$140:$Q$140,0))),0)+
IFERROR((INDEX(OP_TotalRates_SME_1[[Ausnet]:[United Energy]],MATCH("Balance",OP_TotalRates_SME_1[[Rate name]:[Rate name]],0),MATCH(N$10,OP_TotalRates_SME_1[[#Headers],[Ausnet]:[United Energy]],0))*
INDEX(Input_Usage[],MATCH($L11&amp;" - Balance",Input_Usage[[Ref]:[Ref]],0),MATCH($D$7,Inputs!$C$140:$Q$140,0))),0)+
IFERROR((INDEX(OP_TotalRates_SME_1[[Ausnet]:[United Energy]],MATCH("Single rate",OP_TotalRates_SME_1[[Rate name]:[Rate name]],0),MATCH(N$10,OP_TotalRates_SME_1[[#Headers],[Ausnet]:[United Energy]],0))*
INDEX(Input_Usage[],MATCH($L11&amp;" - Annual",Input_Usage[[Ref]:[Ref]],0),MATCH($D$7,Inputs!$C$140:$Q$140,0))),0)),0),
ROUNDUP(
(INDEX(OP_TotalRates_SME_1[[Ausnet]:[United Energy]],MATCH("TOU - supply",OP_TotalRates_SME_1[[Rate name]:[Rate name]],0),MATCH(N$10,OP_TotalRates_SME_1[[#Headers],[Ausnet]:[United Energy]],0))*DiLY)+
(INDEX(OP_TotalRates_SME_1[[Ausnet]:[United Energy]],MATCH("Peak",OP_TotalRates_SME_1[[Rate name]:[Rate name]],0),MATCH(N$10,OP_TotalRates_SME_1[[#Headers],[Ausnet]:[United Energy]],0))*
INDEX(Input_Usage[],MATCH($L11&amp;" - Peak",Input_Usage[[Ref]:[Ref]],0),MATCH($D$7,Inputs!$C$140:$Q$140,0)))+
IFERROR((INDEX(OP_TotalRates_SME_1[[Ausnet]:[United Energy]],MATCH("TOU - Shoulder",OP_TotalRates_SME_1[[Rate name]:[Rate name]],0),MATCH(N$10,OP_TotalRates_SME_1[[#Headers],[Ausnet]:[United Energy]],0))*
INDEX(Input_Usage[],MATCH($L11&amp;" - Shoulder",Input_Usage[[Ref]:[Ref]],0),MATCH($D$7,Inputs!$C$140:$Q$140,0))),0)+
(INDEX(OP_TotalRates_SME_1[[Ausnet]:[United Energy]],MATCH("Off peak",OP_TotalRates_SME_1[[Rate name]:[Rate name]],0),MATCH(N$10,OP_TotalRates_SME_1[[#Headers],[Ausnet]:[United Energy]],0))*
INDEX(Input_Usage[],MATCH($L11&amp;" - Off peak",Input_Usage[[Ref]:[Ref]],0),MATCH($D$7,Inputs!$C$140:$Q$140,0))),0)),"-")</f>
        <v>3309</v>
      </c>
      <c r="O11" s="167">
        <f>IFERROR(
IF($D$7="VDO 2021 - Final",
ROUNDUP(
(INDEX(OP_TotalRates_SME_1[[Ausnet]:[United Energy]],MATCH("Anytime - supply",OP_TotalRates_SME_1[[Rate name]:[Rate name]],0),MATCH(O$10,OP_TotalRates_SME_1[[#Headers],[Ausnet]:[United Energy]],0))*DiLY)+
(IFERROR((INDEX(OP_TotalRates_SME_1[[Ausnet]:[United Energy]],MATCH("Block 1",OP_TotalRates_SME_1[[Rate name]:[Rate name]],0),MATCH(O$10,OP_TotalRates_SME_1[[#Headers],[Ausnet]:[United Energy]],0))*
INDEX(Input_Usage[],MATCH($L11&amp;" - Block 1",Input_Usage[[Ref]:[Ref]],0),MATCH($D$7,Inputs!$C$140:$Q$140,0))),0)+
IFERROR((INDEX(OP_TotalRates_SME_1[[Ausnet]:[United Energy]],MATCH("Balance",OP_TotalRates_SME_1[[Rate name]:[Rate name]],0),MATCH(O$10,OP_TotalRates_SME_1[[#Headers],[Ausnet]:[United Energy]],0))*
INDEX(Input_Usage[],MATCH($L11&amp;" - Balance",Input_Usage[[Ref]:[Ref]],0),MATCH($D$7,Inputs!$C$140:$Q$140,0))),0)+
IFERROR((INDEX(OP_TotalRates_SME_1[[Ausnet]:[United Energy]],MATCH("Single rate",OP_TotalRates_SME_1[[Rate name]:[Rate name]],0),MATCH(O$10,OP_TotalRates_SME_1[[#Headers],[Ausnet]:[United Energy]],0))*
INDEX(Input_Usage[],MATCH($L11&amp;" - Annual",Input_Usage[[Ref]:[Ref]],0),MATCH($D$7,Inputs!$C$140:$Q$140,0))),0)),0),
ROUNDUP(
(INDEX(OP_TotalRates_SME_1[[Ausnet]:[United Energy]],MATCH("TOU - supply",OP_TotalRates_SME_1[[Rate name]:[Rate name]],0),MATCH(O$10,OP_TotalRates_SME_1[[#Headers],[Ausnet]:[United Energy]],0))*DiLY)+
(INDEX(OP_TotalRates_SME_1[[Ausnet]:[United Energy]],MATCH("Peak",OP_TotalRates_SME_1[[Rate name]:[Rate name]],0),MATCH(O$10,OP_TotalRates_SME_1[[#Headers],[Ausnet]:[United Energy]],0))*
INDEX(Input_Usage[],MATCH($L11&amp;" - Peak",Input_Usage[[Ref]:[Ref]],0),MATCH($D$7,Inputs!$C$140:$Q$140,0)))+
IFERROR((INDEX(OP_TotalRates_SME_1[[Ausnet]:[United Energy]],MATCH("TOU - Shoulder",OP_TotalRates_SME_1[[Rate name]:[Rate name]],0),MATCH(O$10,OP_TotalRates_SME_1[[#Headers],[Ausnet]:[United Energy]],0))*
INDEX(Input_Usage[],MATCH($L11&amp;" - Shoulder",Input_Usage[[Ref]:[Ref]],0),MATCH($D$7,Inputs!$C$140:$Q$140,0))),0)+
(INDEX(OP_TotalRates_SME_1[[Ausnet]:[United Energy]],MATCH("Off peak",OP_TotalRates_SME_1[[Rate name]:[Rate name]],0),MATCH(O$10,OP_TotalRates_SME_1[[#Headers],[Ausnet]:[United Energy]],0))*
INDEX(Input_Usage[],MATCH($L11&amp;" - Off peak",Input_Usage[[Ref]:[Ref]],0),MATCH($D$7,Inputs!$C$140:$Q$140,0))),0)),"-")</f>
        <v>3599</v>
      </c>
      <c r="P11" s="167">
        <f>IFERROR(
IF($D$7="VDO 2021 - Final",
ROUNDUP(
(INDEX(OP_TotalRates_SME_1[[Ausnet]:[United Energy]],MATCH("Anytime - supply",OP_TotalRates_SME_1[[Rate name]:[Rate name]],0),MATCH(P$10,OP_TotalRates_SME_1[[#Headers],[Ausnet]:[United Energy]],0))*DiLY)+
(IFERROR((INDEX(OP_TotalRates_SME_1[[Ausnet]:[United Energy]],MATCH("Block 1",OP_TotalRates_SME_1[[Rate name]:[Rate name]],0),MATCH(P$10,OP_TotalRates_SME_1[[#Headers],[Ausnet]:[United Energy]],0))*
INDEX(Input_Usage[],MATCH($L11&amp;" - Block 1",Input_Usage[[Ref]:[Ref]],0),MATCH($D$7,Inputs!$C$140:$Q$140,0))),0)+
IFERROR((INDEX(OP_TotalRates_SME_1[[Ausnet]:[United Energy]],MATCH("Balance",OP_TotalRates_SME_1[[Rate name]:[Rate name]],0),MATCH(P$10,OP_TotalRates_SME_1[[#Headers],[Ausnet]:[United Energy]],0))*
INDEX(Input_Usage[],MATCH($L11&amp;" - Balance",Input_Usage[[Ref]:[Ref]],0),MATCH($D$7,Inputs!$C$140:$Q$140,0))),0)+
IFERROR((INDEX(OP_TotalRates_SME_1[[Ausnet]:[United Energy]],MATCH("Single rate",OP_TotalRates_SME_1[[Rate name]:[Rate name]],0),MATCH(P$10,OP_TotalRates_SME_1[[#Headers],[Ausnet]:[United Energy]],0))*
INDEX(Input_Usage[],MATCH($L11&amp;" - Annual",Input_Usage[[Ref]:[Ref]],0),MATCH($D$7,Inputs!$C$140:$Q$140,0))),0)),0),
ROUNDUP(
(INDEX(OP_TotalRates_SME_1[[Ausnet]:[United Energy]],MATCH("TOU - supply",OP_TotalRates_SME_1[[Rate name]:[Rate name]],0),MATCH(P$10,OP_TotalRates_SME_1[[#Headers],[Ausnet]:[United Energy]],0))*DiLY)+
(INDEX(OP_TotalRates_SME_1[[Ausnet]:[United Energy]],MATCH("Peak",OP_TotalRates_SME_1[[Rate name]:[Rate name]],0),MATCH(P$10,OP_TotalRates_SME_1[[#Headers],[Ausnet]:[United Energy]],0))*
INDEX(Input_Usage[],MATCH($L11&amp;" - Peak",Input_Usage[[Ref]:[Ref]],0),MATCH($D$7,Inputs!$C$140:$Q$140,0)))+
IFERROR((INDEX(OP_TotalRates_SME_1[[Ausnet]:[United Energy]],MATCH("TOU - Shoulder",OP_TotalRates_SME_1[[Rate name]:[Rate name]],0),MATCH(P$10,OP_TotalRates_SME_1[[#Headers],[Ausnet]:[United Energy]],0))*
INDEX(Input_Usage[],MATCH($L11&amp;" - Shoulder",Input_Usage[[Ref]:[Ref]],0),MATCH($D$7,Inputs!$C$140:$Q$140,0))),0)+
(INDEX(OP_TotalRates_SME_1[[Ausnet]:[United Energy]],MATCH("Off peak",OP_TotalRates_SME_1[[Rate name]:[Rate name]],0),MATCH(P$10,OP_TotalRates_SME_1[[#Headers],[Ausnet]:[United Energy]],0))*
INDEX(Input_Usage[],MATCH($L11&amp;" - Off peak",Input_Usage[[Ref]:[Ref]],0),MATCH($D$7,Inputs!$C$140:$Q$140,0))),0)),"-")</f>
        <v>3669</v>
      </c>
      <c r="Q11" s="167">
        <f>IFERROR(
IF($D$7="VDO 2021 - Final",
ROUNDUP(
(INDEX(OP_TotalRates_SME_1[[Ausnet]:[United Energy]],MATCH("Anytime - supply",OP_TotalRates_SME_1[[Rate name]:[Rate name]],0),MATCH(Q$10,OP_TotalRates_SME_1[[#Headers],[Ausnet]:[United Energy]],0))*DiLY)+
(IFERROR((INDEX(OP_TotalRates_SME_1[[Ausnet]:[United Energy]],MATCH("Block 1",OP_TotalRates_SME_1[[Rate name]:[Rate name]],0),MATCH(Q$10,OP_TotalRates_SME_1[[#Headers],[Ausnet]:[United Energy]],0))*
INDEX(Input_Usage[],MATCH($L11&amp;" - Block 1",Input_Usage[[Ref]:[Ref]],0),MATCH($D$7,Inputs!$C$140:$Q$140,0))),0)+
IFERROR((INDEX(OP_TotalRates_SME_1[[Ausnet]:[United Energy]],MATCH("Balance",OP_TotalRates_SME_1[[Rate name]:[Rate name]],0),MATCH(Q$10,OP_TotalRates_SME_1[[#Headers],[Ausnet]:[United Energy]],0))*
INDEX(Input_Usage[],MATCH($L11&amp;" - Balance",Input_Usage[[Ref]:[Ref]],0),MATCH($D$7,Inputs!$C$140:$Q$140,0))),0)+
IFERROR((INDEX(OP_TotalRates_SME_1[[Ausnet]:[United Energy]],MATCH("Single rate",OP_TotalRates_SME_1[[Rate name]:[Rate name]],0),MATCH(Q$10,OP_TotalRates_SME_1[[#Headers],[Ausnet]:[United Energy]],0))*
INDEX(Input_Usage[],MATCH($L11&amp;" - Annual",Input_Usage[[Ref]:[Ref]],0),MATCH($D$7,Inputs!$C$140:$Q$140,0))),0)),0),
ROUNDUP(
(INDEX(OP_TotalRates_SME_1[[Ausnet]:[United Energy]],MATCH("TOU - supply",OP_TotalRates_SME_1[[Rate name]:[Rate name]],0),MATCH(Q$10,OP_TotalRates_SME_1[[#Headers],[Ausnet]:[United Energy]],0))*DiLY)+
(INDEX(OP_TotalRates_SME_1[[Ausnet]:[United Energy]],MATCH("Peak",OP_TotalRates_SME_1[[Rate name]:[Rate name]],0),MATCH(Q$10,OP_TotalRates_SME_1[[#Headers],[Ausnet]:[United Energy]],0))*
INDEX(Input_Usage[],MATCH($L11&amp;" - Peak",Input_Usage[[Ref]:[Ref]],0),MATCH($D$7,Inputs!$C$140:$Q$140,0)))+
IFERROR((INDEX(OP_TotalRates_SME_1[[Ausnet]:[United Energy]],MATCH("TOU - Shoulder",OP_TotalRates_SME_1[[Rate name]:[Rate name]],0),MATCH(Q$10,OP_TotalRates_SME_1[[#Headers],[Ausnet]:[United Energy]],0))*
INDEX(Input_Usage[],MATCH($L11&amp;" - Shoulder",Input_Usage[[Ref]:[Ref]],0),MATCH($D$7,Inputs!$C$140:$Q$140,0))),0)+
(INDEX(OP_TotalRates_SME_1[[Ausnet]:[United Energy]],MATCH("Off peak",OP_TotalRates_SME_1[[Rate name]:[Rate name]],0),MATCH(Q$10,OP_TotalRates_SME_1[[#Headers],[Ausnet]:[United Energy]],0))*
INDEX(Input_Usage[],MATCH($L11&amp;" - Off peak",Input_Usage[[Ref]:[Ref]],0),MATCH($D$7,Inputs!$C$140:$Q$140,0))),0)),"-")</f>
        <v>3473</v>
      </c>
    </row>
    <row r="12" spans="1:18">
      <c r="C12" s="20" t="s">
        <v>65</v>
      </c>
      <c r="D12" s="20" t="s">
        <v>168</v>
      </c>
      <c r="E12" s="167">
        <f>IFERROR(
IF($D$7="VDO 2021 - Final",
ROUNDUP(
(INDEX(OP_TotalRates_RES_1[[Ausnet]:[United Energy]],MATCH("Anytime - supply",OP_TotalRates_RES_1[[Rate name]:[Rate name]],0),MATCH(E$10,OP_TotalRates_RES_1[[#Headers],[Ausnet]:[United Energy]],0))*DiLY)+
(IFERROR((INDEX(OP_TotalRates_RES_1[[Ausnet]:[United Energy]],MATCH("Block 1",OP_TotalRates_RES_1[[Rate name]:[Rate name]],0),MATCH(E$10,OP_TotalRates_RES_1[[#Headers],[Ausnet]:[United Energy]],0))*
INDEX(Input_Usage[],MATCH($D12&amp;" - Block 1",Input_Usage[[Ref]:[Ref]],0),MATCH($D$7,Inputs!$C$140:$Q$140,0))),0)+
IFERROR((INDEX(OP_TotalRates_RES_1[[Ausnet]:[United Energy]],MATCH("Balance",OP_TotalRates_RES_1[[Rate name]:[Rate name]],0),MATCH(E$10,OP_TotalRates_RES_1[[#Headers],[Ausnet]:[United Energy]],0))*
INDEX(Input_Usage[],MATCH($D12&amp;" - Balance",Input_Usage[[Ref]:[Ref]],0),MATCH($D$7,Inputs!$C$140:$Q$140,0))),0)+
IFERROR((INDEX(OP_TotalRates_RES_1[[Ausnet]:[United Energy]],MATCH("Single rate",OP_TotalRates_RES_1[[Rate name]:[Rate name]],0),MATCH(E$10,OP_TotalRates_RES_1[[#Headers],[Ausnet]:[United Energy]],0))*
INDEX(Input_Usage[],MATCH($D12&amp;" - Annual",Input_Usage[[Ref]:[Ref]],0),MATCH($D$7,Inputs!$C$140:$Q$140,0))),0)),0),
ROUNDUP(
(INDEX(OP_TotalRates_RES_1[[Ausnet]:[United Energy]],MATCH("TOU - supply",OP_TotalRates_RES_1[[Rate name]:[Rate name]],0),MATCH(E$10,OP_TotalRates_RES_1[[#Headers],[Ausnet]:[United Energy]],0))*DiLY)+
(INDEX(OP_TotalRates_RES_1[[Ausnet]:[United Energy]],MATCH("Peak",OP_TotalRates_RES_1[[Rate name]:[Rate name]],0),MATCH(E$10,OP_TotalRates_RES_1[[#Headers],[Ausnet]:[United Energy]],0))*
INDEX(Input_Usage[],MATCH($D12&amp;" - Peak",Input_Usage[[Ref]:[Ref]],0),MATCH($D$7,Inputs!$C$140:$Q$140,0)))+
IFERROR((INDEX(OP_TotalRates_RES_1[[Ausnet]:[United Energy]],MATCH("TOU - Shoulder",OP_TotalRates_RES_1[[Rate name]:[Rate name]],0),MATCH(E$10,OP_TotalRates_RES_1[[#Headers],[Ausnet]:[United Energy]],0))*
INDEX(Input_Usage[],MATCH($D12&amp;" - Shoulder",Input_Usage[[Ref]:[Ref]],0),MATCH($D$7,Inputs!$C$140:$Q$140,0))),0)+
(INDEX(OP_TotalRates_RES_1[[Ausnet]:[United Energy]],MATCH("Off peak",OP_TotalRates_RES_1[[Rate name]:[Rate name]],0),MATCH(E$10,OP_TotalRates_RES_1[[#Headers],[Ausnet]:[United Energy]],0))*
INDEX(Input_Usage[],MATCH($D12&amp;" - Off peak",Input_Usage[[Ref]:[Ref]],0),MATCH($D$7,Inputs!$C$140:$Q$140,0))),0)),"-")</f>
        <v>1905</v>
      </c>
      <c r="F12" s="167">
        <f>IFERROR(
IF($D$7="VDO 2021 - Final",
ROUNDUP(
(INDEX(OP_TotalRates_RES_1[[Ausnet]:[United Energy]],MATCH("Anytime - supply",OP_TotalRates_RES_1[[Rate name]:[Rate name]],0),MATCH(F$10,OP_TotalRates_RES_1[[#Headers],[Ausnet]:[United Energy]],0))*DiLY)+
(IFERROR((INDEX(OP_TotalRates_RES_1[[Ausnet]:[United Energy]],MATCH("Block 1",OP_TotalRates_RES_1[[Rate name]:[Rate name]],0),MATCH(F$10,OP_TotalRates_RES_1[[#Headers],[Ausnet]:[United Energy]],0))*
INDEX(Input_Usage[],MATCH($D12&amp;" - Block 1",Input_Usage[[Ref]:[Ref]],0),MATCH($D$7,Inputs!$C$140:$Q$140,0))),0)+
IFERROR((INDEX(OP_TotalRates_RES_1[[Ausnet]:[United Energy]],MATCH("Balance",OP_TotalRates_RES_1[[Rate name]:[Rate name]],0),MATCH(F$10,OP_TotalRates_RES_1[[#Headers],[Ausnet]:[United Energy]],0))*
INDEX(Input_Usage[],MATCH($D12&amp;" - Balance",Input_Usage[[Ref]:[Ref]],0),MATCH($D$7,Inputs!$C$140:$Q$140,0))),0)+
IFERROR((INDEX(OP_TotalRates_RES_1[[Ausnet]:[United Energy]],MATCH("Single rate",OP_TotalRates_RES_1[[Rate name]:[Rate name]],0),MATCH(F$10,OP_TotalRates_RES_1[[#Headers],[Ausnet]:[United Energy]],0))*
INDEX(Input_Usage[],MATCH($D12&amp;" - Annual",Input_Usage[[Ref]:[Ref]],0),MATCH($D$7,Inputs!$C$140:$Q$140,0))),0)),0),
ROUNDUP(
(INDEX(OP_TotalRates_RES_1[[Ausnet]:[United Energy]],MATCH("TOU - supply",OP_TotalRates_RES_1[[Rate name]:[Rate name]],0),MATCH(F$10,OP_TotalRates_RES_1[[#Headers],[Ausnet]:[United Energy]],0))*DiLY)+
(INDEX(OP_TotalRates_RES_1[[Ausnet]:[United Energy]],MATCH("Peak",OP_TotalRates_RES_1[[Rate name]:[Rate name]],0),MATCH(F$10,OP_TotalRates_RES_1[[#Headers],[Ausnet]:[United Energy]],0))*
INDEX(Input_Usage[],MATCH($D12&amp;" - Peak",Input_Usage[[Ref]:[Ref]],0),MATCH($D$7,Inputs!$C$140:$Q$140,0)))+
IFERROR((INDEX(OP_TotalRates_RES_1[[Ausnet]:[United Energy]],MATCH("TOU - Shoulder",OP_TotalRates_RES_1[[Rate name]:[Rate name]],0),MATCH(F$10,OP_TotalRates_RES_1[[#Headers],[Ausnet]:[United Energy]],0))*
INDEX(Input_Usage[],MATCH($D12&amp;" - Shoulder",Input_Usage[[Ref]:[Ref]],0),MATCH($D$7,Inputs!$C$140:$Q$140,0))),0)+
(INDEX(OP_TotalRates_RES_1[[Ausnet]:[United Energy]],MATCH("Off peak",OP_TotalRates_RES_1[[Rate name]:[Rate name]],0),MATCH(F$10,OP_TotalRates_RES_1[[#Headers],[Ausnet]:[United Energy]],0))*
INDEX(Input_Usage[],MATCH($D12&amp;" - Off peak",Input_Usage[[Ref]:[Ref]],0),MATCH($D$7,Inputs!$C$140:$Q$140,0))),0)),"-")</f>
        <v>1567</v>
      </c>
      <c r="G12" s="167">
        <f>IFERROR(
IF($D$7="VDO 2021 - Final",
ROUNDUP(
(INDEX(OP_TotalRates_RES_1[[Ausnet]:[United Energy]],MATCH("Anytime - supply",OP_TotalRates_RES_1[[Rate name]:[Rate name]],0),MATCH(G$10,OP_TotalRates_RES_1[[#Headers],[Ausnet]:[United Energy]],0))*DiLY)+
(IFERROR((INDEX(OP_TotalRates_RES_1[[Ausnet]:[United Energy]],MATCH("Block 1",OP_TotalRates_RES_1[[Rate name]:[Rate name]],0),MATCH(G$10,OP_TotalRates_RES_1[[#Headers],[Ausnet]:[United Energy]],0))*
INDEX(Input_Usage[],MATCH($D12&amp;" - Block 1",Input_Usage[[Ref]:[Ref]],0),MATCH($D$7,Inputs!$C$140:$Q$140,0))),0)+
IFERROR((INDEX(OP_TotalRates_RES_1[[Ausnet]:[United Energy]],MATCH("Balance",OP_TotalRates_RES_1[[Rate name]:[Rate name]],0),MATCH(G$10,OP_TotalRates_RES_1[[#Headers],[Ausnet]:[United Energy]],0))*
INDEX(Input_Usage[],MATCH($D12&amp;" - Balance",Input_Usage[[Ref]:[Ref]],0),MATCH($D$7,Inputs!$C$140:$Q$140,0))),0)+
IFERROR((INDEX(OP_TotalRates_RES_1[[Ausnet]:[United Energy]],MATCH("Single rate",OP_TotalRates_RES_1[[Rate name]:[Rate name]],0),MATCH(G$10,OP_TotalRates_RES_1[[#Headers],[Ausnet]:[United Energy]],0))*
INDEX(Input_Usage[],MATCH($D12&amp;" - Annual",Input_Usage[[Ref]:[Ref]],0),MATCH($D$7,Inputs!$C$140:$Q$140,0))),0)),0),
ROUNDUP(
(INDEX(OP_TotalRates_RES_1[[Ausnet]:[United Energy]],MATCH("TOU - supply",OP_TotalRates_RES_1[[Rate name]:[Rate name]],0),MATCH(G$10,OP_TotalRates_RES_1[[#Headers],[Ausnet]:[United Energy]],0))*DiLY)+
(INDEX(OP_TotalRates_RES_1[[Ausnet]:[United Energy]],MATCH("Peak",OP_TotalRates_RES_1[[Rate name]:[Rate name]],0),MATCH(G$10,OP_TotalRates_RES_1[[#Headers],[Ausnet]:[United Energy]],0))*
INDEX(Input_Usage[],MATCH($D12&amp;" - Peak",Input_Usage[[Ref]:[Ref]],0),MATCH($D$7,Inputs!$C$140:$Q$140,0)))+
IFERROR((INDEX(OP_TotalRates_RES_1[[Ausnet]:[United Energy]],MATCH("TOU - Shoulder",OP_TotalRates_RES_1[[Rate name]:[Rate name]],0),MATCH(G$10,OP_TotalRates_RES_1[[#Headers],[Ausnet]:[United Energy]],0))*
INDEX(Input_Usage[],MATCH($D12&amp;" - Shoulder",Input_Usage[[Ref]:[Ref]],0),MATCH($D$7,Inputs!$C$140:$Q$140,0))),0)+
(INDEX(OP_TotalRates_RES_1[[Ausnet]:[United Energy]],MATCH("Off peak",OP_TotalRates_RES_1[[Rate name]:[Rate name]],0),MATCH(G$10,OP_TotalRates_RES_1[[#Headers],[Ausnet]:[United Energy]],0))*
INDEX(Input_Usage[],MATCH($D12&amp;" - Off peak",Input_Usage[[Ref]:[Ref]],0),MATCH($D$7,Inputs!$C$140:$Q$140,0))),0)),"-")</f>
        <v>1664</v>
      </c>
      <c r="H12" s="167">
        <f>IFERROR(
IF($D$7="VDO 2021 - Final",
ROUNDUP(
(INDEX(OP_TotalRates_RES_1[[Ausnet]:[United Energy]],MATCH("Anytime - supply",OP_TotalRates_RES_1[[Rate name]:[Rate name]],0),MATCH(H$10,OP_TotalRates_RES_1[[#Headers],[Ausnet]:[United Energy]],0))*DiLY)+
(IFERROR((INDEX(OP_TotalRates_RES_1[[Ausnet]:[United Energy]],MATCH("Block 1",OP_TotalRates_RES_1[[Rate name]:[Rate name]],0),MATCH(H$10,OP_TotalRates_RES_1[[#Headers],[Ausnet]:[United Energy]],0))*
INDEX(Input_Usage[],MATCH($D12&amp;" - Block 1",Input_Usage[[Ref]:[Ref]],0),MATCH($D$7,Inputs!$C$140:$Q$140,0))),0)+
IFERROR((INDEX(OP_TotalRates_RES_1[[Ausnet]:[United Energy]],MATCH("Balance",OP_TotalRates_RES_1[[Rate name]:[Rate name]],0),MATCH(H$10,OP_TotalRates_RES_1[[#Headers],[Ausnet]:[United Energy]],0))*
INDEX(Input_Usage[],MATCH($D12&amp;" - Balance",Input_Usage[[Ref]:[Ref]],0),MATCH($D$7,Inputs!$C$140:$Q$140,0))),0)+
IFERROR((INDEX(OP_TotalRates_RES_1[[Ausnet]:[United Energy]],MATCH("Single rate",OP_TotalRates_RES_1[[Rate name]:[Rate name]],0),MATCH(H$10,OP_TotalRates_RES_1[[#Headers],[Ausnet]:[United Energy]],0))*
INDEX(Input_Usage[],MATCH($D12&amp;" - Annual",Input_Usage[[Ref]:[Ref]],0),MATCH($D$7,Inputs!$C$140:$Q$140,0))),0)),0),
ROUNDUP(
(INDEX(OP_TotalRates_RES_1[[Ausnet]:[United Energy]],MATCH("TOU - supply",OP_TotalRates_RES_1[[Rate name]:[Rate name]],0),MATCH(H$10,OP_TotalRates_RES_1[[#Headers],[Ausnet]:[United Energy]],0))*DiLY)+
(INDEX(OP_TotalRates_RES_1[[Ausnet]:[United Energy]],MATCH("Peak",OP_TotalRates_RES_1[[Rate name]:[Rate name]],0),MATCH(H$10,OP_TotalRates_RES_1[[#Headers],[Ausnet]:[United Energy]],0))*
INDEX(Input_Usage[],MATCH($D12&amp;" - Peak",Input_Usage[[Ref]:[Ref]],0),MATCH($D$7,Inputs!$C$140:$Q$140,0)))+
IFERROR((INDEX(OP_TotalRates_RES_1[[Ausnet]:[United Energy]],MATCH("TOU - Shoulder",OP_TotalRates_RES_1[[Rate name]:[Rate name]],0),MATCH(H$10,OP_TotalRates_RES_1[[#Headers],[Ausnet]:[United Energy]],0))*
INDEX(Input_Usage[],MATCH($D12&amp;" - Shoulder",Input_Usage[[Ref]:[Ref]],0),MATCH($D$7,Inputs!$C$140:$Q$140,0))),0)+
(INDEX(OP_TotalRates_RES_1[[Ausnet]:[United Energy]],MATCH("Off peak",OP_TotalRates_RES_1[[Rate name]:[Rate name]],0),MATCH(H$10,OP_TotalRates_RES_1[[#Headers],[Ausnet]:[United Energy]],0))*
INDEX(Input_Usage[],MATCH($D12&amp;" - Off peak",Input_Usage[[Ref]:[Ref]],0),MATCH($D$7,Inputs!$C$140:$Q$140,0))),0)),"-")</f>
        <v>1782</v>
      </c>
      <c r="I12" s="167">
        <f>IFERROR(
IF($D$7="VDO 2021 - Final",
ROUNDUP(
(INDEX(OP_TotalRates_RES_1[[Ausnet]:[United Energy]],MATCH("Anytime - supply",OP_TotalRates_RES_1[[Rate name]:[Rate name]],0),MATCH(I$10,OP_TotalRates_RES_1[[#Headers],[Ausnet]:[United Energy]],0))*DiLY)+
(IFERROR((INDEX(OP_TotalRates_RES_1[[Ausnet]:[United Energy]],MATCH("Block 1",OP_TotalRates_RES_1[[Rate name]:[Rate name]],0),MATCH(I$10,OP_TotalRates_RES_1[[#Headers],[Ausnet]:[United Energy]],0))*
INDEX(Input_Usage[],MATCH($D12&amp;" - Block 1",Input_Usage[[Ref]:[Ref]],0),MATCH($D$7,Inputs!$C$140:$Q$140,0))),0)+
IFERROR((INDEX(OP_TotalRates_RES_1[[Ausnet]:[United Energy]],MATCH("Balance",OP_TotalRates_RES_1[[Rate name]:[Rate name]],0),MATCH(I$10,OP_TotalRates_RES_1[[#Headers],[Ausnet]:[United Energy]],0))*
INDEX(Input_Usage[],MATCH($D12&amp;" - Balance",Input_Usage[[Ref]:[Ref]],0),MATCH($D$7,Inputs!$C$140:$Q$140,0))),0)+
IFERROR((INDEX(OP_TotalRates_RES_1[[Ausnet]:[United Energy]],MATCH("Single rate",OP_TotalRates_RES_1[[Rate name]:[Rate name]],0),MATCH(I$10,OP_TotalRates_RES_1[[#Headers],[Ausnet]:[United Energy]],0))*
INDEX(Input_Usage[],MATCH($D12&amp;" - Annual",Input_Usage[[Ref]:[Ref]],0),MATCH($D$7,Inputs!$C$140:$Q$140,0))),0)),0),
ROUNDUP(
(INDEX(OP_TotalRates_RES_1[[Ausnet]:[United Energy]],MATCH("TOU - supply",OP_TotalRates_RES_1[[Rate name]:[Rate name]],0),MATCH(I$10,OP_TotalRates_RES_1[[#Headers],[Ausnet]:[United Energy]],0))*DiLY)+
(INDEX(OP_TotalRates_RES_1[[Ausnet]:[United Energy]],MATCH("Peak",OP_TotalRates_RES_1[[Rate name]:[Rate name]],0),MATCH(I$10,OP_TotalRates_RES_1[[#Headers],[Ausnet]:[United Energy]],0))*
INDEX(Input_Usage[],MATCH($D12&amp;" - Peak",Input_Usage[[Ref]:[Ref]],0),MATCH($D$7,Inputs!$C$140:$Q$140,0)))+
IFERROR((INDEX(OP_TotalRates_RES_1[[Ausnet]:[United Energy]],MATCH("TOU - Shoulder",OP_TotalRates_RES_1[[Rate name]:[Rate name]],0),MATCH(I$10,OP_TotalRates_RES_1[[#Headers],[Ausnet]:[United Energy]],0))*
INDEX(Input_Usage[],MATCH($D12&amp;" - Shoulder",Input_Usage[[Ref]:[Ref]],0),MATCH($D$7,Inputs!$C$140:$Q$140,0))),0)+
(INDEX(OP_TotalRates_RES_1[[Ausnet]:[United Energy]],MATCH("Off peak",OP_TotalRates_RES_1[[Rate name]:[Rate name]],0),MATCH(I$10,OP_TotalRates_RES_1[[#Headers],[Ausnet]:[United Energy]],0))*
INDEX(Input_Usage[],MATCH($D12&amp;" - Off peak",Input_Usage[[Ref]:[Ref]],0),MATCH($D$7,Inputs!$C$140:$Q$140,0))),0)),"-")</f>
        <v>1654</v>
      </c>
      <c r="K12" s="20" t="s">
        <v>66</v>
      </c>
      <c r="L12" s="20" t="s">
        <v>169</v>
      </c>
      <c r="M12" s="167">
        <f>IFERROR(
IF($D$7="VDO 2021 - Final",
ROUNDUP(
(INDEX(OP_TotalRates_SME_1[[Ausnet]:[United Energy]],MATCH("Anytime - supply",OP_TotalRates_SME_1[[Rate name]:[Rate name]],0),MATCH(M$10,OP_TotalRates_SME_1[[#Headers],[Ausnet]:[United Energy]],0))*DiLY)+
(IFERROR((INDEX(OP_TotalRates_SME_1[[Ausnet]:[United Energy]],MATCH("Block 1",OP_TotalRates_SME_1[[Rate name]:[Rate name]],0),MATCH(M$10,OP_TotalRates_SME_1[[#Headers],[Ausnet]:[United Energy]],0))*
INDEX(Input_Usage[],MATCH($L12&amp;" - Block 1",Input_Usage[[Ref]:[Ref]],0),MATCH($D$7,Inputs!$C$140:$Q$140,0))),0)+
IFERROR((INDEX(OP_TotalRates_SME_1[[Ausnet]:[United Energy]],MATCH("Balance",OP_TotalRates_SME_1[[Rate name]:[Rate name]],0),MATCH(M$10,OP_TotalRates_SME_1[[#Headers],[Ausnet]:[United Energy]],0))*
INDEX(Input_Usage[],MATCH($L12&amp;" - Balance",Input_Usage[[Ref]:[Ref]],0),MATCH($D$7,Inputs!$C$140:$Q$140,0))),0)+
IFERROR((INDEX(OP_TotalRates_SME_1[[Ausnet]:[United Energy]],MATCH("Single rate",OP_TotalRates_SME_1[[Rate name]:[Rate name]],0),MATCH(M$10,OP_TotalRates_SME_1[[#Headers],[Ausnet]:[United Energy]],0))*
INDEX(Input_Usage[],MATCH($L12&amp;" - Annual",Input_Usage[[Ref]:[Ref]],0),MATCH($D$7,Inputs!$C$140:$Q$140,0))),0)),0),
ROUNDUP(
(INDEX(OP_TotalRates_SME_1[[Ausnet]:[United Energy]],MATCH("TOU - supply",OP_TotalRates_SME_1[[Rate name]:[Rate name]],0),MATCH(M$10,OP_TotalRates_SME_1[[#Headers],[Ausnet]:[United Energy]],0))*DiLY)+
(INDEX(OP_TotalRates_SME_1[[Ausnet]:[United Energy]],MATCH("Peak",OP_TotalRates_SME_1[[Rate name]:[Rate name]],0),MATCH(M$10,OP_TotalRates_SME_1[[#Headers],[Ausnet]:[United Energy]],0))*
INDEX(Input_Usage[],MATCH($L12&amp;" - Peak",Input_Usage[[Ref]:[Ref]],0),MATCH($D$7,Inputs!$C$140:$Q$140,0)))+
IFERROR((INDEX(OP_TotalRates_SME_1[[Ausnet]:[United Energy]],MATCH("TOU - Shoulder",OP_TotalRates_SME_1[[Rate name]:[Rate name]],0),MATCH(M$10,OP_TotalRates_SME_1[[#Headers],[Ausnet]:[United Energy]],0))*
INDEX(Input_Usage[],MATCH($L12&amp;" - Shoulder",Input_Usage[[Ref]:[Ref]],0),MATCH($D$7,Inputs!$C$140:$Q$140,0))),0)+
(INDEX(OP_TotalRates_SME_1[[Ausnet]:[United Energy]],MATCH("Off peak",OP_TotalRates_SME_1[[Rate name]:[Rate name]],0),MATCH(M$10,OP_TotalRates_SME_1[[#Headers],[Ausnet]:[United Energy]],0))*
INDEX(Input_Usage[],MATCH($L12&amp;" - Off peak",Input_Usage[[Ref]:[Ref]],0),MATCH($D$7,Inputs!$C$140:$Q$140,0))),0)),"-")</f>
        <v>7256</v>
      </c>
      <c r="N12" s="167">
        <f>IFERROR(
IF($D$7="VDO 2021 - Final",
ROUNDUP(
(INDEX(OP_TotalRates_SME_1[[Ausnet]:[United Energy]],MATCH("Anytime - supply",OP_TotalRates_SME_1[[Rate name]:[Rate name]],0),MATCH(N$10,OP_TotalRates_SME_1[[#Headers],[Ausnet]:[United Energy]],0))*DiLY)+
(IFERROR((INDEX(OP_TotalRates_SME_1[[Ausnet]:[United Energy]],MATCH("Block 1",OP_TotalRates_SME_1[[Rate name]:[Rate name]],0),MATCH(N$10,OP_TotalRates_SME_1[[#Headers],[Ausnet]:[United Energy]],0))*
INDEX(Input_Usage[],MATCH($L12&amp;" - Block 1",Input_Usage[[Ref]:[Ref]],0),MATCH($D$7,Inputs!$C$140:$Q$140,0))),0)+
IFERROR((INDEX(OP_TotalRates_SME_1[[Ausnet]:[United Energy]],MATCH("Balance",OP_TotalRates_SME_1[[Rate name]:[Rate name]],0),MATCH(N$10,OP_TotalRates_SME_1[[#Headers],[Ausnet]:[United Energy]],0))*
INDEX(Input_Usage[],MATCH($L12&amp;" - Balance",Input_Usage[[Ref]:[Ref]],0),MATCH($D$7,Inputs!$C$140:$Q$140,0))),0)+
IFERROR((INDEX(OP_TotalRates_SME_1[[Ausnet]:[United Energy]],MATCH("Single rate",OP_TotalRates_SME_1[[Rate name]:[Rate name]],0),MATCH(N$10,OP_TotalRates_SME_1[[#Headers],[Ausnet]:[United Energy]],0))*
INDEX(Input_Usage[],MATCH($L12&amp;" - Annual",Input_Usage[[Ref]:[Ref]],0),MATCH($D$7,Inputs!$C$140:$Q$140,0))),0)),0),
ROUNDUP(
(INDEX(OP_TotalRates_SME_1[[Ausnet]:[United Energy]],MATCH("TOU - supply",OP_TotalRates_SME_1[[Rate name]:[Rate name]],0),MATCH(N$10,OP_TotalRates_SME_1[[#Headers],[Ausnet]:[United Energy]],0))*DiLY)+
(INDEX(OP_TotalRates_SME_1[[Ausnet]:[United Energy]],MATCH("Peak",OP_TotalRates_SME_1[[Rate name]:[Rate name]],0),MATCH(N$10,OP_TotalRates_SME_1[[#Headers],[Ausnet]:[United Energy]],0))*
INDEX(Input_Usage[],MATCH($L12&amp;" - Peak",Input_Usage[[Ref]:[Ref]],0),MATCH($D$7,Inputs!$C$140:$Q$140,0)))+
IFERROR((INDEX(OP_TotalRates_SME_1[[Ausnet]:[United Energy]],MATCH("TOU - Shoulder",OP_TotalRates_SME_1[[Rate name]:[Rate name]],0),MATCH(N$10,OP_TotalRates_SME_1[[#Headers],[Ausnet]:[United Energy]],0))*
INDEX(Input_Usage[],MATCH($L12&amp;" - Shoulder",Input_Usage[[Ref]:[Ref]],0),MATCH($D$7,Inputs!$C$140:$Q$140,0))),0)+
(INDEX(OP_TotalRates_SME_1[[Ausnet]:[United Energy]],MATCH("Off peak",OP_TotalRates_SME_1[[Rate name]:[Rate name]],0),MATCH(N$10,OP_TotalRates_SME_1[[#Headers],[Ausnet]:[United Energy]],0))*
INDEX(Input_Usage[],MATCH($L12&amp;" - Off peak",Input_Usage[[Ref]:[Ref]],0),MATCH($D$7,Inputs!$C$140:$Q$140,0))),0)),"-")</f>
        <v>6126</v>
      </c>
      <c r="O12" s="167">
        <f>IFERROR(
IF($D$7="VDO 2021 - Final",
ROUNDUP(
(INDEX(OP_TotalRates_SME_1[[Ausnet]:[United Energy]],MATCH("Anytime - supply",OP_TotalRates_SME_1[[Rate name]:[Rate name]],0),MATCH(O$10,OP_TotalRates_SME_1[[#Headers],[Ausnet]:[United Energy]],0))*DiLY)+
(IFERROR((INDEX(OP_TotalRates_SME_1[[Ausnet]:[United Energy]],MATCH("Block 1",OP_TotalRates_SME_1[[Rate name]:[Rate name]],0),MATCH(O$10,OP_TotalRates_SME_1[[#Headers],[Ausnet]:[United Energy]],0))*
INDEX(Input_Usage[],MATCH($L12&amp;" - Block 1",Input_Usage[[Ref]:[Ref]],0),MATCH($D$7,Inputs!$C$140:$Q$140,0))),0)+
IFERROR((INDEX(OP_TotalRates_SME_1[[Ausnet]:[United Energy]],MATCH("Balance",OP_TotalRates_SME_1[[Rate name]:[Rate name]],0),MATCH(O$10,OP_TotalRates_SME_1[[#Headers],[Ausnet]:[United Energy]],0))*
INDEX(Input_Usage[],MATCH($L12&amp;" - Balance",Input_Usage[[Ref]:[Ref]],0),MATCH($D$7,Inputs!$C$140:$Q$140,0))),0)+
IFERROR((INDEX(OP_TotalRates_SME_1[[Ausnet]:[United Energy]],MATCH("Single rate",OP_TotalRates_SME_1[[Rate name]:[Rate name]],0),MATCH(O$10,OP_TotalRates_SME_1[[#Headers],[Ausnet]:[United Energy]],0))*
INDEX(Input_Usage[],MATCH($L12&amp;" - Annual",Input_Usage[[Ref]:[Ref]],0),MATCH($D$7,Inputs!$C$140:$Q$140,0))),0)),0),
ROUNDUP(
(INDEX(OP_TotalRates_SME_1[[Ausnet]:[United Energy]],MATCH("TOU - supply",OP_TotalRates_SME_1[[Rate name]:[Rate name]],0),MATCH(O$10,OP_TotalRates_SME_1[[#Headers],[Ausnet]:[United Energy]],0))*DiLY)+
(INDEX(OP_TotalRates_SME_1[[Ausnet]:[United Energy]],MATCH("Peak",OP_TotalRates_SME_1[[Rate name]:[Rate name]],0),MATCH(O$10,OP_TotalRates_SME_1[[#Headers],[Ausnet]:[United Energy]],0))*
INDEX(Input_Usage[],MATCH($L12&amp;" - Peak",Input_Usage[[Ref]:[Ref]],0),MATCH($D$7,Inputs!$C$140:$Q$140,0)))+
IFERROR((INDEX(OP_TotalRates_SME_1[[Ausnet]:[United Energy]],MATCH("TOU - Shoulder",OP_TotalRates_SME_1[[Rate name]:[Rate name]],0),MATCH(O$10,OP_TotalRates_SME_1[[#Headers],[Ausnet]:[United Energy]],0))*
INDEX(Input_Usage[],MATCH($L12&amp;" - Shoulder",Input_Usage[[Ref]:[Ref]],0),MATCH($D$7,Inputs!$C$140:$Q$140,0))),0)+
(INDEX(OP_TotalRates_SME_1[[Ausnet]:[United Energy]],MATCH("Off peak",OP_TotalRates_SME_1[[Rate name]:[Rate name]],0),MATCH(O$10,OP_TotalRates_SME_1[[#Headers],[Ausnet]:[United Energy]],0))*
INDEX(Input_Usage[],MATCH($L12&amp;" - Off peak",Input_Usage[[Ref]:[Ref]],0),MATCH($D$7,Inputs!$C$140:$Q$140,0))),0)),"-")</f>
        <v>6583</v>
      </c>
      <c r="P12" s="167">
        <f>IFERROR(
IF($D$7="VDO 2021 - Final",
ROUNDUP(
(INDEX(OP_TotalRates_SME_1[[Ausnet]:[United Energy]],MATCH("Anytime - supply",OP_TotalRates_SME_1[[Rate name]:[Rate name]],0),MATCH(P$10,OP_TotalRates_SME_1[[#Headers],[Ausnet]:[United Energy]],0))*DiLY)+
(IFERROR((INDEX(OP_TotalRates_SME_1[[Ausnet]:[United Energy]],MATCH("Block 1",OP_TotalRates_SME_1[[Rate name]:[Rate name]],0),MATCH(P$10,OP_TotalRates_SME_1[[#Headers],[Ausnet]:[United Energy]],0))*
INDEX(Input_Usage[],MATCH($L12&amp;" - Block 1",Input_Usage[[Ref]:[Ref]],0),MATCH($D$7,Inputs!$C$140:$Q$140,0))),0)+
IFERROR((INDEX(OP_TotalRates_SME_1[[Ausnet]:[United Energy]],MATCH("Balance",OP_TotalRates_SME_1[[Rate name]:[Rate name]],0),MATCH(P$10,OP_TotalRates_SME_1[[#Headers],[Ausnet]:[United Energy]],0))*
INDEX(Input_Usage[],MATCH($L12&amp;" - Balance",Input_Usage[[Ref]:[Ref]],0),MATCH($D$7,Inputs!$C$140:$Q$140,0))),0)+
IFERROR((INDEX(OP_TotalRates_SME_1[[Ausnet]:[United Energy]],MATCH("Single rate",OP_TotalRates_SME_1[[Rate name]:[Rate name]],0),MATCH(P$10,OP_TotalRates_SME_1[[#Headers],[Ausnet]:[United Energy]],0))*
INDEX(Input_Usage[],MATCH($L12&amp;" - Annual",Input_Usage[[Ref]:[Ref]],0),MATCH($D$7,Inputs!$C$140:$Q$140,0))),0)),0),
ROUNDUP(
(INDEX(OP_TotalRates_SME_1[[Ausnet]:[United Energy]],MATCH("TOU - supply",OP_TotalRates_SME_1[[Rate name]:[Rate name]],0),MATCH(P$10,OP_TotalRates_SME_1[[#Headers],[Ausnet]:[United Energy]],0))*DiLY)+
(INDEX(OP_TotalRates_SME_1[[Ausnet]:[United Energy]],MATCH("Peak",OP_TotalRates_SME_1[[Rate name]:[Rate name]],0),MATCH(P$10,OP_TotalRates_SME_1[[#Headers],[Ausnet]:[United Energy]],0))*
INDEX(Input_Usage[],MATCH($L12&amp;" - Peak",Input_Usage[[Ref]:[Ref]],0),MATCH($D$7,Inputs!$C$140:$Q$140,0)))+
IFERROR((INDEX(OP_TotalRates_SME_1[[Ausnet]:[United Energy]],MATCH("TOU - Shoulder",OP_TotalRates_SME_1[[Rate name]:[Rate name]],0),MATCH(P$10,OP_TotalRates_SME_1[[#Headers],[Ausnet]:[United Energy]],0))*
INDEX(Input_Usage[],MATCH($L12&amp;" - Shoulder",Input_Usage[[Ref]:[Ref]],0),MATCH($D$7,Inputs!$C$140:$Q$140,0))),0)+
(INDEX(OP_TotalRates_SME_1[[Ausnet]:[United Energy]],MATCH("Off peak",OP_TotalRates_SME_1[[Rate name]:[Rate name]],0),MATCH(P$10,OP_TotalRates_SME_1[[#Headers],[Ausnet]:[United Energy]],0))*
INDEX(Input_Usage[],MATCH($L12&amp;" - Off peak",Input_Usage[[Ref]:[Ref]],0),MATCH($D$7,Inputs!$C$140:$Q$140,0))),0)),"-")</f>
        <v>6814</v>
      </c>
      <c r="Q12" s="167">
        <f>IFERROR(
IF($D$7="VDO 2021 - Final",
ROUNDUP(
(INDEX(OP_TotalRates_SME_1[[Ausnet]:[United Energy]],MATCH("Anytime - supply",OP_TotalRates_SME_1[[Rate name]:[Rate name]],0),MATCH(Q$10,OP_TotalRates_SME_1[[#Headers],[Ausnet]:[United Energy]],0))*DiLY)+
(IFERROR((INDEX(OP_TotalRates_SME_1[[Ausnet]:[United Energy]],MATCH("Block 1",OP_TotalRates_SME_1[[Rate name]:[Rate name]],0),MATCH(Q$10,OP_TotalRates_SME_1[[#Headers],[Ausnet]:[United Energy]],0))*
INDEX(Input_Usage[],MATCH($L12&amp;" - Block 1",Input_Usage[[Ref]:[Ref]],0),MATCH($D$7,Inputs!$C$140:$Q$140,0))),0)+
IFERROR((INDEX(OP_TotalRates_SME_1[[Ausnet]:[United Energy]],MATCH("Balance",OP_TotalRates_SME_1[[Rate name]:[Rate name]],0),MATCH(Q$10,OP_TotalRates_SME_1[[#Headers],[Ausnet]:[United Energy]],0))*
INDEX(Input_Usage[],MATCH($L12&amp;" - Balance",Input_Usage[[Ref]:[Ref]],0),MATCH($D$7,Inputs!$C$140:$Q$140,0))),0)+
IFERROR((INDEX(OP_TotalRates_SME_1[[Ausnet]:[United Energy]],MATCH("Single rate",OP_TotalRates_SME_1[[Rate name]:[Rate name]],0),MATCH(Q$10,OP_TotalRates_SME_1[[#Headers],[Ausnet]:[United Energy]],0))*
INDEX(Input_Usage[],MATCH($L12&amp;" - Annual",Input_Usage[[Ref]:[Ref]],0),MATCH($D$7,Inputs!$C$140:$Q$140,0))),0)),0),
ROUNDUP(
(INDEX(OP_TotalRates_SME_1[[Ausnet]:[United Energy]],MATCH("TOU - supply",OP_TotalRates_SME_1[[Rate name]:[Rate name]],0),MATCH(Q$10,OP_TotalRates_SME_1[[#Headers],[Ausnet]:[United Energy]],0))*DiLY)+
(INDEX(OP_TotalRates_SME_1[[Ausnet]:[United Energy]],MATCH("Peak",OP_TotalRates_SME_1[[Rate name]:[Rate name]],0),MATCH(Q$10,OP_TotalRates_SME_1[[#Headers],[Ausnet]:[United Energy]],0))*
INDEX(Input_Usage[],MATCH($L12&amp;" - Peak",Input_Usage[[Ref]:[Ref]],0),MATCH($D$7,Inputs!$C$140:$Q$140,0)))+
IFERROR((INDEX(OP_TotalRates_SME_1[[Ausnet]:[United Energy]],MATCH("TOU - Shoulder",OP_TotalRates_SME_1[[Rate name]:[Rate name]],0),MATCH(Q$10,OP_TotalRates_SME_1[[#Headers],[Ausnet]:[United Energy]],0))*
INDEX(Input_Usage[],MATCH($L12&amp;" - Shoulder",Input_Usage[[Ref]:[Ref]],0),MATCH($D$7,Inputs!$C$140:$Q$140,0))),0)+
(INDEX(OP_TotalRates_SME_1[[Ausnet]:[United Energy]],MATCH("Off peak",OP_TotalRates_SME_1[[Rate name]:[Rate name]],0),MATCH(Q$10,OP_TotalRates_SME_1[[#Headers],[Ausnet]:[United Energy]],0))*
INDEX(Input_Usage[],MATCH($L12&amp;" - Off peak",Input_Usage[[Ref]:[Ref]],0),MATCH($D$7,Inputs!$C$140:$Q$140,0))),0)),"-")</f>
        <v>6491</v>
      </c>
    </row>
    <row r="13" spans="1:18" hidden="1">
      <c r="C13" s="40" t="s">
        <v>65</v>
      </c>
      <c r="D13" s="40" t="s">
        <v>170</v>
      </c>
      <c r="E13" s="167">
        <f>IFERROR(
IF($D$7="VDO 2021 - Final",
ROUNDUP(
(INDEX(OP_TotalRates_RES_1[[Ausnet]:[United Energy]],MATCH("Anytime - supply",OP_TotalRates_RES_1[[Rate name]:[Rate name]],0),MATCH(E$10,OP_TotalRates_RES_1[[#Headers],[Ausnet]:[United Energy]],0))*DiLY)+
(IFERROR((INDEX(OP_TotalRates_RES_1[[Ausnet]:[United Energy]],MATCH("Block 1",OP_TotalRates_RES_1[[Rate name]:[Rate name]],0),MATCH(E$10,OP_TotalRates_RES_1[[#Headers],[Ausnet]:[United Energy]],0))*
INDEX(Input_Usage[],MATCH($D13&amp;" - Block 1",Input_Usage[[Ref]:[Ref]],0),MATCH($D$7,Inputs!$C$140:$Q$140,0))),0)+
IFERROR((INDEX(OP_TotalRates_RES_1[[Ausnet]:[United Energy]],MATCH("Balance",OP_TotalRates_RES_1[[Rate name]:[Rate name]],0),MATCH(E$10,OP_TotalRates_RES_1[[#Headers],[Ausnet]:[United Energy]],0))*
INDEX(Input_Usage[],MATCH($D13&amp;" - Balance",Input_Usage[[Ref]:[Ref]],0),MATCH($D$7,Inputs!$C$140:$Q$140,0))),0)+
IFERROR((INDEX(OP_TotalRates_RES_1[[Ausnet]:[United Energy]],MATCH("Single rate",OP_TotalRates_RES_1[[Rate name]:[Rate name]],0),MATCH(E$10,OP_TotalRates_RES_1[[#Headers],[Ausnet]:[United Energy]],0))*
INDEX(Input_Usage[],MATCH($D13&amp;" - Annual",Input_Usage[[Ref]:[Ref]],0),MATCH($D$7,Inputs!$C$140:$Q$140,0))),0)),0),
ROUNDUP(
(INDEX(OP_TotalRates_RES_1[[Ausnet]:[United Energy]],MATCH("TOU - supply",OP_TotalRates_RES_1[[Rate name]:[Rate name]],0),MATCH(E$10,OP_TotalRates_RES_1[[#Headers],[Ausnet]:[United Energy]],0))*DiLY)+
(INDEX(OP_TotalRates_RES_1[[Ausnet]:[United Energy]],MATCH("Peak",OP_TotalRates_RES_1[[Rate name]:[Rate name]],0),MATCH(E$10,OP_TotalRates_RES_1[[#Headers],[Ausnet]:[United Energy]],0))*
INDEX(Input_Usage[],MATCH($D13&amp;" - Peak",Input_Usage[[Ref]:[Ref]],0),MATCH($D$7,Inputs!$C$140:$Q$140,0)))+
IFERROR((INDEX(OP_TotalRates_RES_1[[Ausnet]:[United Energy]],MATCH("TOU - Shoulder",OP_TotalRates_RES_1[[Rate name]:[Rate name]],0),MATCH(E$10,OP_TotalRates_RES_1[[#Headers],[Ausnet]:[United Energy]],0))*
INDEX(Input_Usage[],MATCH($D13&amp;" - Shoulder",Input_Usage[[Ref]:[Ref]],0),MATCH($D$7,Inputs!$C$140:$Q$140,0))),0)+
(INDEX(OP_TotalRates_RES_1[[Ausnet]:[United Energy]],MATCH("Off peak",OP_TotalRates_RES_1[[Rate name]:[Rate name]],0),MATCH(E$10,OP_TotalRates_RES_1[[#Headers],[Ausnet]:[United Energy]],0))*
INDEX(Input_Usage[],MATCH($D13&amp;" - Off peak",Input_Usage[[Ref]:[Ref]],0),MATCH($D$7,Inputs!$C$140:$Q$140,0))),0)),"-")</f>
        <v>3325</v>
      </c>
      <c r="F13" s="167">
        <f>IFERROR(
IF($D$7="VDO 2021 - Final",
ROUNDUP(
(INDEX(OP_TotalRates_RES_1[[Ausnet]:[United Energy]],MATCH("Anytime - supply",OP_TotalRates_RES_1[[Rate name]:[Rate name]],0),MATCH(F$10,OP_TotalRates_RES_1[[#Headers],[Ausnet]:[United Energy]],0))*DiLY)+
(IFERROR((INDEX(OP_TotalRates_RES_1[[Ausnet]:[United Energy]],MATCH("Block 1",OP_TotalRates_RES_1[[Rate name]:[Rate name]],0),MATCH(F$10,OP_TotalRates_RES_1[[#Headers],[Ausnet]:[United Energy]],0))*
INDEX(Input_Usage[],MATCH($D13&amp;" - Block 1",Input_Usage[[Ref]:[Ref]],0),MATCH($D$7,Inputs!$C$140:$Q$140,0))),0)+
IFERROR((INDEX(OP_TotalRates_RES_1[[Ausnet]:[United Energy]],MATCH("Balance",OP_TotalRates_RES_1[[Rate name]:[Rate name]],0),MATCH(F$10,OP_TotalRates_RES_1[[#Headers],[Ausnet]:[United Energy]],0))*
INDEX(Input_Usage[],MATCH($D13&amp;" - Balance",Input_Usage[[Ref]:[Ref]],0),MATCH($D$7,Inputs!$C$140:$Q$140,0))),0)+
IFERROR((INDEX(OP_TotalRates_RES_1[[Ausnet]:[United Energy]],MATCH("Single rate",OP_TotalRates_RES_1[[Rate name]:[Rate name]],0),MATCH(F$10,OP_TotalRates_RES_1[[#Headers],[Ausnet]:[United Energy]],0))*
INDEX(Input_Usage[],MATCH($D13&amp;" - Annual",Input_Usage[[Ref]:[Ref]],0),MATCH($D$7,Inputs!$C$140:$Q$140,0))),0)),0),
ROUNDUP(
(INDEX(OP_TotalRates_RES_1[[Ausnet]:[United Energy]],MATCH("TOU - supply",OP_TotalRates_RES_1[[Rate name]:[Rate name]],0),MATCH(F$10,OP_TotalRates_RES_1[[#Headers],[Ausnet]:[United Energy]],0))*DiLY)+
(INDEX(OP_TotalRates_RES_1[[Ausnet]:[United Energy]],MATCH("Peak",OP_TotalRates_RES_1[[Rate name]:[Rate name]],0),MATCH(F$10,OP_TotalRates_RES_1[[#Headers],[Ausnet]:[United Energy]],0))*
INDEX(Input_Usage[],MATCH($D13&amp;" - Peak",Input_Usage[[Ref]:[Ref]],0),MATCH($D$7,Inputs!$C$140:$Q$140,0)))+
IFERROR((INDEX(OP_TotalRates_RES_1[[Ausnet]:[United Energy]],MATCH("TOU - Shoulder",OP_TotalRates_RES_1[[Rate name]:[Rate name]],0),MATCH(F$10,OP_TotalRates_RES_1[[#Headers],[Ausnet]:[United Energy]],0))*
INDEX(Input_Usage[],MATCH($D13&amp;" - Shoulder",Input_Usage[[Ref]:[Ref]],0),MATCH($D$7,Inputs!$C$140:$Q$140,0))),0)+
(INDEX(OP_TotalRates_RES_1[[Ausnet]:[United Energy]],MATCH("Off peak",OP_TotalRates_RES_1[[Rate name]:[Rate name]],0),MATCH(F$10,OP_TotalRates_RES_1[[#Headers],[Ausnet]:[United Energy]],0))*
INDEX(Input_Usage[],MATCH($D13&amp;" - Off peak",Input_Usage[[Ref]:[Ref]],0),MATCH($D$7,Inputs!$C$140:$Q$140,0))),0)),"-")</f>
        <v>2713</v>
      </c>
      <c r="G13" s="167">
        <f>IFERROR(
IF($D$7="VDO 2021 - Final",
ROUNDUP(
(INDEX(OP_TotalRates_RES_1[[Ausnet]:[United Energy]],MATCH("Anytime - supply",OP_TotalRates_RES_1[[Rate name]:[Rate name]],0),MATCH(G$10,OP_TotalRates_RES_1[[#Headers],[Ausnet]:[United Energy]],0))*DiLY)+
(IFERROR((INDEX(OP_TotalRates_RES_1[[Ausnet]:[United Energy]],MATCH("Block 1",OP_TotalRates_RES_1[[Rate name]:[Rate name]],0),MATCH(G$10,OP_TotalRates_RES_1[[#Headers],[Ausnet]:[United Energy]],0))*
INDEX(Input_Usage[],MATCH($D13&amp;" - Block 1",Input_Usage[[Ref]:[Ref]],0),MATCH($D$7,Inputs!$C$140:$Q$140,0))),0)+
IFERROR((INDEX(OP_TotalRates_RES_1[[Ausnet]:[United Energy]],MATCH("Balance",OP_TotalRates_RES_1[[Rate name]:[Rate name]],0),MATCH(G$10,OP_TotalRates_RES_1[[#Headers],[Ausnet]:[United Energy]],0))*
INDEX(Input_Usage[],MATCH($D13&amp;" - Balance",Input_Usage[[Ref]:[Ref]],0),MATCH($D$7,Inputs!$C$140:$Q$140,0))),0)+
IFERROR((INDEX(OP_TotalRates_RES_1[[Ausnet]:[United Energy]],MATCH("Single rate",OP_TotalRates_RES_1[[Rate name]:[Rate name]],0),MATCH(G$10,OP_TotalRates_RES_1[[#Headers],[Ausnet]:[United Energy]],0))*
INDEX(Input_Usage[],MATCH($D13&amp;" - Annual",Input_Usage[[Ref]:[Ref]],0),MATCH($D$7,Inputs!$C$140:$Q$140,0))),0)),0),
ROUNDUP(
(INDEX(OP_TotalRates_RES_1[[Ausnet]:[United Energy]],MATCH("TOU - supply",OP_TotalRates_RES_1[[Rate name]:[Rate name]],0),MATCH(G$10,OP_TotalRates_RES_1[[#Headers],[Ausnet]:[United Energy]],0))*DiLY)+
(INDEX(OP_TotalRates_RES_1[[Ausnet]:[United Energy]],MATCH("Peak",OP_TotalRates_RES_1[[Rate name]:[Rate name]],0),MATCH(G$10,OP_TotalRates_RES_1[[#Headers],[Ausnet]:[United Energy]],0))*
INDEX(Input_Usage[],MATCH($D13&amp;" - Peak",Input_Usage[[Ref]:[Ref]],0),MATCH($D$7,Inputs!$C$140:$Q$140,0)))+
IFERROR((INDEX(OP_TotalRates_RES_1[[Ausnet]:[United Energy]],MATCH("TOU - Shoulder",OP_TotalRates_RES_1[[Rate name]:[Rate name]],0),MATCH(G$10,OP_TotalRates_RES_1[[#Headers],[Ausnet]:[United Energy]],0))*
INDEX(Input_Usage[],MATCH($D13&amp;" - Shoulder",Input_Usage[[Ref]:[Ref]],0),MATCH($D$7,Inputs!$C$140:$Q$140,0))),0)+
(INDEX(OP_TotalRates_RES_1[[Ausnet]:[United Energy]],MATCH("Off peak",OP_TotalRates_RES_1[[Rate name]:[Rate name]],0),MATCH(G$10,OP_TotalRates_RES_1[[#Headers],[Ausnet]:[United Energy]],0))*
INDEX(Input_Usage[],MATCH($D13&amp;" - Off peak",Input_Usage[[Ref]:[Ref]],0),MATCH($D$7,Inputs!$C$140:$Q$140,0))),0)),"-")</f>
        <v>2908</v>
      </c>
      <c r="H13" s="167">
        <f>IFERROR(
IF($D$7="VDO 2021 - Final",
ROUNDUP(
(INDEX(OP_TotalRates_RES_1[[Ausnet]:[United Energy]],MATCH("Anytime - supply",OP_TotalRates_RES_1[[Rate name]:[Rate name]],0),MATCH(H$10,OP_TotalRates_RES_1[[#Headers],[Ausnet]:[United Energy]],0))*DiLY)+
(IFERROR((INDEX(OP_TotalRates_RES_1[[Ausnet]:[United Energy]],MATCH("Block 1",OP_TotalRates_RES_1[[Rate name]:[Rate name]],0),MATCH(H$10,OP_TotalRates_RES_1[[#Headers],[Ausnet]:[United Energy]],0))*
INDEX(Input_Usage[],MATCH($D13&amp;" - Block 1",Input_Usage[[Ref]:[Ref]],0),MATCH($D$7,Inputs!$C$140:$Q$140,0))),0)+
IFERROR((INDEX(OP_TotalRates_RES_1[[Ausnet]:[United Energy]],MATCH("Balance",OP_TotalRates_RES_1[[Rate name]:[Rate name]],0),MATCH(H$10,OP_TotalRates_RES_1[[#Headers],[Ausnet]:[United Energy]],0))*
INDEX(Input_Usage[],MATCH($D13&amp;" - Balance",Input_Usage[[Ref]:[Ref]],0),MATCH($D$7,Inputs!$C$140:$Q$140,0))),0)+
IFERROR((INDEX(OP_TotalRates_RES_1[[Ausnet]:[United Energy]],MATCH("Single rate",OP_TotalRates_RES_1[[Rate name]:[Rate name]],0),MATCH(H$10,OP_TotalRates_RES_1[[#Headers],[Ausnet]:[United Energy]],0))*
INDEX(Input_Usage[],MATCH($D13&amp;" - Annual",Input_Usage[[Ref]:[Ref]],0),MATCH($D$7,Inputs!$C$140:$Q$140,0))),0)),0),
ROUNDUP(
(INDEX(OP_TotalRates_RES_1[[Ausnet]:[United Energy]],MATCH("TOU - supply",OP_TotalRates_RES_1[[Rate name]:[Rate name]],0),MATCH(H$10,OP_TotalRates_RES_1[[#Headers],[Ausnet]:[United Energy]],0))*DiLY)+
(INDEX(OP_TotalRates_RES_1[[Ausnet]:[United Energy]],MATCH("Peak",OP_TotalRates_RES_1[[Rate name]:[Rate name]],0),MATCH(H$10,OP_TotalRates_RES_1[[#Headers],[Ausnet]:[United Energy]],0))*
INDEX(Input_Usage[],MATCH($D13&amp;" - Peak",Input_Usage[[Ref]:[Ref]],0),MATCH($D$7,Inputs!$C$140:$Q$140,0)))+
IFERROR((INDEX(OP_TotalRates_RES_1[[Ausnet]:[United Energy]],MATCH("TOU - Shoulder",OP_TotalRates_RES_1[[Rate name]:[Rate name]],0),MATCH(H$10,OP_TotalRates_RES_1[[#Headers],[Ausnet]:[United Energy]],0))*
INDEX(Input_Usage[],MATCH($D13&amp;" - Shoulder",Input_Usage[[Ref]:[Ref]],0),MATCH($D$7,Inputs!$C$140:$Q$140,0))),0)+
(INDEX(OP_TotalRates_RES_1[[Ausnet]:[United Energy]],MATCH("Off peak",OP_TotalRates_RES_1[[Rate name]:[Rate name]],0),MATCH(H$10,OP_TotalRates_RES_1[[#Headers],[Ausnet]:[United Energy]],0))*
INDEX(Input_Usage[],MATCH($D13&amp;" - Off peak",Input_Usage[[Ref]:[Ref]],0),MATCH($D$7,Inputs!$C$140:$Q$140,0))),0)),"-")</f>
        <v>3088</v>
      </c>
      <c r="I13" s="167">
        <f>IFERROR(
IF($D$7="VDO 2021 - Final",
ROUNDUP(
(INDEX(OP_TotalRates_RES_1[[Ausnet]:[United Energy]],MATCH("Anytime - supply",OP_TotalRates_RES_1[[Rate name]:[Rate name]],0),MATCH(I$10,OP_TotalRates_RES_1[[#Headers],[Ausnet]:[United Energy]],0))*DiLY)+
(IFERROR((INDEX(OP_TotalRates_RES_1[[Ausnet]:[United Energy]],MATCH("Block 1",OP_TotalRates_RES_1[[Rate name]:[Rate name]],0),MATCH(I$10,OP_TotalRates_RES_1[[#Headers],[Ausnet]:[United Energy]],0))*
INDEX(Input_Usage[],MATCH($D13&amp;" - Block 1",Input_Usage[[Ref]:[Ref]],0),MATCH($D$7,Inputs!$C$140:$Q$140,0))),0)+
IFERROR((INDEX(OP_TotalRates_RES_1[[Ausnet]:[United Energy]],MATCH("Balance",OP_TotalRates_RES_1[[Rate name]:[Rate name]],0),MATCH(I$10,OP_TotalRates_RES_1[[#Headers],[Ausnet]:[United Energy]],0))*
INDEX(Input_Usage[],MATCH($D13&amp;" - Balance",Input_Usage[[Ref]:[Ref]],0),MATCH($D$7,Inputs!$C$140:$Q$140,0))),0)+
IFERROR((INDEX(OP_TotalRates_RES_1[[Ausnet]:[United Energy]],MATCH("Single rate",OP_TotalRates_RES_1[[Rate name]:[Rate name]],0),MATCH(I$10,OP_TotalRates_RES_1[[#Headers],[Ausnet]:[United Energy]],0))*
INDEX(Input_Usage[],MATCH($D13&amp;" - Annual",Input_Usage[[Ref]:[Ref]],0),MATCH($D$7,Inputs!$C$140:$Q$140,0))),0)),0),
ROUNDUP(
(INDEX(OP_TotalRates_RES_1[[Ausnet]:[United Energy]],MATCH("TOU - supply",OP_TotalRates_RES_1[[Rate name]:[Rate name]],0),MATCH(I$10,OP_TotalRates_RES_1[[#Headers],[Ausnet]:[United Energy]],0))*DiLY)+
(INDEX(OP_TotalRates_RES_1[[Ausnet]:[United Energy]],MATCH("Peak",OP_TotalRates_RES_1[[Rate name]:[Rate name]],0),MATCH(I$10,OP_TotalRates_RES_1[[#Headers],[Ausnet]:[United Energy]],0))*
INDEX(Input_Usage[],MATCH($D13&amp;" - Peak",Input_Usage[[Ref]:[Ref]],0),MATCH($D$7,Inputs!$C$140:$Q$140,0)))+
IFERROR((INDEX(OP_TotalRates_RES_1[[Ausnet]:[United Energy]],MATCH("TOU - Shoulder",OP_TotalRates_RES_1[[Rate name]:[Rate name]],0),MATCH(I$10,OP_TotalRates_RES_1[[#Headers],[Ausnet]:[United Energy]],0))*
INDEX(Input_Usage[],MATCH($D13&amp;" - Shoulder",Input_Usage[[Ref]:[Ref]],0),MATCH($D$7,Inputs!$C$140:$Q$140,0))),0)+
(INDEX(OP_TotalRates_RES_1[[Ausnet]:[United Energy]],MATCH("Off peak",OP_TotalRates_RES_1[[Rate name]:[Rate name]],0),MATCH(I$10,OP_TotalRates_RES_1[[#Headers],[Ausnet]:[United Energy]],0))*
INDEX(Input_Usage[],MATCH($D13&amp;" - Off peak",Input_Usage[[Ref]:[Ref]],0),MATCH($D$7,Inputs!$C$140:$Q$140,0))),0)),"-")</f>
        <v>2912</v>
      </c>
      <c r="K13" s="40" t="s">
        <v>66</v>
      </c>
      <c r="L13" s="40" t="s">
        <v>171</v>
      </c>
      <c r="M13" s="167">
        <f>IFERROR(
IF($D$7="VDO 2021 - Final",
ROUNDUP(
(INDEX(OP_TotalRates_SME_1[[Ausnet]:[United Energy]],MATCH("Anytime - supply",OP_TotalRates_SME_1[[Rate name]:[Rate name]],0),MATCH(M$10,OP_TotalRates_SME_1[[#Headers],[Ausnet]:[United Energy]],0))*DiLY)+
(IFERROR((INDEX(OP_TotalRates_SME_1[[Ausnet]:[United Energy]],MATCH("Block 1",OP_TotalRates_SME_1[[Rate name]:[Rate name]],0),MATCH(M$10,OP_TotalRates_SME_1[[#Headers],[Ausnet]:[United Energy]],0))*
INDEX(Input_Usage[],MATCH($L13&amp;" - Block 1",Input_Usage[[Ref]:[Ref]],0),MATCH($D$7,Inputs!$C$140:$Q$140,0))),0)+
IFERROR((INDEX(OP_TotalRates_SME_1[[Ausnet]:[United Energy]],MATCH("Balance",OP_TotalRates_SME_1[[Rate name]:[Rate name]],0),MATCH(M$10,OP_TotalRates_SME_1[[#Headers],[Ausnet]:[United Energy]],0))*
INDEX(Input_Usage[],MATCH($L13&amp;" - Balance",Input_Usage[[Ref]:[Ref]],0),MATCH($D$7,Inputs!$C$140:$Q$140,0))),0)+
IFERROR((INDEX(OP_TotalRates_SME_1[[Ausnet]:[United Energy]],MATCH("Single rate",OP_TotalRates_SME_1[[Rate name]:[Rate name]],0),MATCH(M$10,OP_TotalRates_SME_1[[#Headers],[Ausnet]:[United Energy]],0))*
INDEX(Input_Usage[],MATCH($L13&amp;" - Annual",Input_Usage[[Ref]:[Ref]],0),MATCH($D$7,Inputs!$C$140:$Q$140,0))),0)),0),
ROUNDUP(
(INDEX(OP_TotalRates_SME_1[[Ausnet]:[United Energy]],MATCH("TOU - supply",OP_TotalRates_SME_1[[Rate name]:[Rate name]],0),MATCH(M$10,OP_TotalRates_SME_1[[#Headers],[Ausnet]:[United Energy]],0))*DiLY)+
(INDEX(OP_TotalRates_SME_1[[Ausnet]:[United Energy]],MATCH("Peak",OP_TotalRates_SME_1[[Rate name]:[Rate name]],0),MATCH(M$10,OP_TotalRates_SME_1[[#Headers],[Ausnet]:[United Energy]],0))*
INDEX(Input_Usage[],MATCH($L13&amp;" - Peak",Input_Usage[[Ref]:[Ref]],0),MATCH($D$7,Inputs!$C$140:$Q$140,0)))+
IFERROR((INDEX(OP_TotalRates_SME_1[[Ausnet]:[United Energy]],MATCH("TOU - Shoulder",OP_TotalRates_SME_1[[Rate name]:[Rate name]],0),MATCH(M$10,OP_TotalRates_SME_1[[#Headers],[Ausnet]:[United Energy]],0))*
INDEX(Input_Usage[],MATCH($L13&amp;" - Shoulder",Input_Usage[[Ref]:[Ref]],0),MATCH($D$7,Inputs!$C$140:$Q$140,0))),0)+
(INDEX(OP_TotalRates_SME_1[[Ausnet]:[United Energy]],MATCH("Off peak",OP_TotalRates_SME_1[[Rate name]:[Rate name]],0),MATCH(M$10,OP_TotalRates_SME_1[[#Headers],[Ausnet]:[United Energy]],0))*
INDEX(Input_Usage[],MATCH($L13&amp;" - Off peak",Input_Usage[[Ref]:[Ref]],0),MATCH($D$7,Inputs!$C$140:$Q$140,0))),0)),"-")</f>
        <v>14026</v>
      </c>
      <c r="N13" s="167">
        <f>IFERROR(
IF($D$7="VDO 2021 - Final",
ROUNDUP(
(INDEX(OP_TotalRates_SME_1[[Ausnet]:[United Energy]],MATCH("Anytime - supply",OP_TotalRates_SME_1[[Rate name]:[Rate name]],0),MATCH(N$10,OP_TotalRates_SME_1[[#Headers],[Ausnet]:[United Energy]],0))*DiLY)+
(IFERROR((INDEX(OP_TotalRates_SME_1[[Ausnet]:[United Energy]],MATCH("Block 1",OP_TotalRates_SME_1[[Rate name]:[Rate name]],0),MATCH(N$10,OP_TotalRates_SME_1[[#Headers],[Ausnet]:[United Energy]],0))*
INDEX(Input_Usage[],MATCH($L13&amp;" - Block 1",Input_Usage[[Ref]:[Ref]],0),MATCH($D$7,Inputs!$C$140:$Q$140,0))),0)+
IFERROR((INDEX(OP_TotalRates_SME_1[[Ausnet]:[United Energy]],MATCH("Balance",OP_TotalRates_SME_1[[Rate name]:[Rate name]],0),MATCH(N$10,OP_TotalRates_SME_1[[#Headers],[Ausnet]:[United Energy]],0))*
INDEX(Input_Usage[],MATCH($L13&amp;" - Balance",Input_Usage[[Ref]:[Ref]],0),MATCH($D$7,Inputs!$C$140:$Q$140,0))),0)+
IFERROR((INDEX(OP_TotalRates_SME_1[[Ausnet]:[United Energy]],MATCH("Single rate",OP_TotalRates_SME_1[[Rate name]:[Rate name]],0),MATCH(N$10,OP_TotalRates_SME_1[[#Headers],[Ausnet]:[United Energy]],0))*
INDEX(Input_Usage[],MATCH($L13&amp;" - Annual",Input_Usage[[Ref]:[Ref]],0),MATCH($D$7,Inputs!$C$140:$Q$140,0))),0)),0),
ROUNDUP(
(INDEX(OP_TotalRates_SME_1[[Ausnet]:[United Energy]],MATCH("TOU - supply",OP_TotalRates_SME_1[[Rate name]:[Rate name]],0),MATCH(N$10,OP_TotalRates_SME_1[[#Headers],[Ausnet]:[United Energy]],0))*DiLY)+
(INDEX(OP_TotalRates_SME_1[[Ausnet]:[United Energy]],MATCH("Peak",OP_TotalRates_SME_1[[Rate name]:[Rate name]],0),MATCH(N$10,OP_TotalRates_SME_1[[#Headers],[Ausnet]:[United Energy]],0))*
INDEX(Input_Usage[],MATCH($L13&amp;" - Peak",Input_Usage[[Ref]:[Ref]],0),MATCH($D$7,Inputs!$C$140:$Q$140,0)))+
IFERROR((INDEX(OP_TotalRates_SME_1[[Ausnet]:[United Energy]],MATCH("TOU - Shoulder",OP_TotalRates_SME_1[[Rate name]:[Rate name]],0),MATCH(N$10,OP_TotalRates_SME_1[[#Headers],[Ausnet]:[United Energy]],0))*
INDEX(Input_Usage[],MATCH($L13&amp;" - Shoulder",Input_Usage[[Ref]:[Ref]],0),MATCH($D$7,Inputs!$C$140:$Q$140,0))),0)+
(INDEX(OP_TotalRates_SME_1[[Ausnet]:[United Energy]],MATCH("Off peak",OP_TotalRates_SME_1[[Rate name]:[Rate name]],0),MATCH(N$10,OP_TotalRates_SME_1[[#Headers],[Ausnet]:[United Energy]],0))*
INDEX(Input_Usage[],MATCH($L13&amp;" - Off peak",Input_Usage[[Ref]:[Ref]],0),MATCH($D$7,Inputs!$C$140:$Q$140,0))),0)),"-")</f>
        <v>11760</v>
      </c>
      <c r="O13" s="167">
        <f>IFERROR(
IF($D$7="VDO 2021 - Final",
ROUNDUP(
(INDEX(OP_TotalRates_SME_1[[Ausnet]:[United Energy]],MATCH("Anytime - supply",OP_TotalRates_SME_1[[Rate name]:[Rate name]],0),MATCH(O$10,OP_TotalRates_SME_1[[#Headers],[Ausnet]:[United Energy]],0))*DiLY)+
(IFERROR((INDEX(OP_TotalRates_SME_1[[Ausnet]:[United Energy]],MATCH("Block 1",OP_TotalRates_SME_1[[Rate name]:[Rate name]],0),MATCH(O$10,OP_TotalRates_SME_1[[#Headers],[Ausnet]:[United Energy]],0))*
INDEX(Input_Usage[],MATCH($L13&amp;" - Block 1",Input_Usage[[Ref]:[Ref]],0),MATCH($D$7,Inputs!$C$140:$Q$140,0))),0)+
IFERROR((INDEX(OP_TotalRates_SME_1[[Ausnet]:[United Energy]],MATCH("Balance",OP_TotalRates_SME_1[[Rate name]:[Rate name]],0),MATCH(O$10,OP_TotalRates_SME_1[[#Headers],[Ausnet]:[United Energy]],0))*
INDEX(Input_Usage[],MATCH($L13&amp;" - Balance",Input_Usage[[Ref]:[Ref]],0),MATCH($D$7,Inputs!$C$140:$Q$140,0))),0)+
IFERROR((INDEX(OP_TotalRates_SME_1[[Ausnet]:[United Energy]],MATCH("Single rate",OP_TotalRates_SME_1[[Rate name]:[Rate name]],0),MATCH(O$10,OP_TotalRates_SME_1[[#Headers],[Ausnet]:[United Energy]],0))*
INDEX(Input_Usage[],MATCH($L13&amp;" - Annual",Input_Usage[[Ref]:[Ref]],0),MATCH($D$7,Inputs!$C$140:$Q$140,0))),0)),0),
ROUNDUP(
(INDEX(OP_TotalRates_SME_1[[Ausnet]:[United Energy]],MATCH("TOU - supply",OP_TotalRates_SME_1[[Rate name]:[Rate name]],0),MATCH(O$10,OP_TotalRates_SME_1[[#Headers],[Ausnet]:[United Energy]],0))*DiLY)+
(INDEX(OP_TotalRates_SME_1[[Ausnet]:[United Energy]],MATCH("Peak",OP_TotalRates_SME_1[[Rate name]:[Rate name]],0),MATCH(O$10,OP_TotalRates_SME_1[[#Headers],[Ausnet]:[United Energy]],0))*
INDEX(Input_Usage[],MATCH($L13&amp;" - Peak",Input_Usage[[Ref]:[Ref]],0),MATCH($D$7,Inputs!$C$140:$Q$140,0)))+
IFERROR((INDEX(OP_TotalRates_SME_1[[Ausnet]:[United Energy]],MATCH("TOU - Shoulder",OP_TotalRates_SME_1[[Rate name]:[Rate name]],0),MATCH(O$10,OP_TotalRates_SME_1[[#Headers],[Ausnet]:[United Energy]],0))*
INDEX(Input_Usage[],MATCH($L13&amp;" - Shoulder",Input_Usage[[Ref]:[Ref]],0),MATCH($D$7,Inputs!$C$140:$Q$140,0))),0)+
(INDEX(OP_TotalRates_SME_1[[Ausnet]:[United Energy]],MATCH("Off peak",OP_TotalRates_SME_1[[Rate name]:[Rate name]],0),MATCH(O$10,OP_TotalRates_SME_1[[#Headers],[Ausnet]:[United Energy]],0))*
INDEX(Input_Usage[],MATCH($L13&amp;" - Off peak",Input_Usage[[Ref]:[Ref]],0),MATCH($D$7,Inputs!$C$140:$Q$140,0))),0)),"-")</f>
        <v>12550</v>
      </c>
      <c r="P13" s="167">
        <f>IFERROR(
IF($D$7="VDO 2021 - Final",
ROUNDUP(
(INDEX(OP_TotalRates_SME_1[[Ausnet]:[United Energy]],MATCH("Anytime - supply",OP_TotalRates_SME_1[[Rate name]:[Rate name]],0),MATCH(P$10,OP_TotalRates_SME_1[[#Headers],[Ausnet]:[United Energy]],0))*DiLY)+
(IFERROR((INDEX(OP_TotalRates_SME_1[[Ausnet]:[United Energy]],MATCH("Block 1",OP_TotalRates_SME_1[[Rate name]:[Rate name]],0),MATCH(P$10,OP_TotalRates_SME_1[[#Headers],[Ausnet]:[United Energy]],0))*
INDEX(Input_Usage[],MATCH($L13&amp;" - Block 1",Input_Usage[[Ref]:[Ref]],0),MATCH($D$7,Inputs!$C$140:$Q$140,0))),0)+
IFERROR((INDEX(OP_TotalRates_SME_1[[Ausnet]:[United Energy]],MATCH("Balance",OP_TotalRates_SME_1[[Rate name]:[Rate name]],0),MATCH(P$10,OP_TotalRates_SME_1[[#Headers],[Ausnet]:[United Energy]],0))*
INDEX(Input_Usage[],MATCH($L13&amp;" - Balance",Input_Usage[[Ref]:[Ref]],0),MATCH($D$7,Inputs!$C$140:$Q$140,0))),0)+
IFERROR((INDEX(OP_TotalRates_SME_1[[Ausnet]:[United Energy]],MATCH("Single rate",OP_TotalRates_SME_1[[Rate name]:[Rate name]],0),MATCH(P$10,OP_TotalRates_SME_1[[#Headers],[Ausnet]:[United Energy]],0))*
INDEX(Input_Usage[],MATCH($L13&amp;" - Annual",Input_Usage[[Ref]:[Ref]],0),MATCH($D$7,Inputs!$C$140:$Q$140,0))),0)),0),
ROUNDUP(
(INDEX(OP_TotalRates_SME_1[[Ausnet]:[United Energy]],MATCH("TOU - supply",OP_TotalRates_SME_1[[Rate name]:[Rate name]],0),MATCH(P$10,OP_TotalRates_SME_1[[#Headers],[Ausnet]:[United Energy]],0))*DiLY)+
(INDEX(OP_TotalRates_SME_1[[Ausnet]:[United Energy]],MATCH("Peak",OP_TotalRates_SME_1[[Rate name]:[Rate name]],0),MATCH(P$10,OP_TotalRates_SME_1[[#Headers],[Ausnet]:[United Energy]],0))*
INDEX(Input_Usage[],MATCH($L13&amp;" - Peak",Input_Usage[[Ref]:[Ref]],0),MATCH($D$7,Inputs!$C$140:$Q$140,0)))+
IFERROR((INDEX(OP_TotalRates_SME_1[[Ausnet]:[United Energy]],MATCH("TOU - Shoulder",OP_TotalRates_SME_1[[Rate name]:[Rate name]],0),MATCH(P$10,OP_TotalRates_SME_1[[#Headers],[Ausnet]:[United Energy]],0))*
INDEX(Input_Usage[],MATCH($L13&amp;" - Shoulder",Input_Usage[[Ref]:[Ref]],0),MATCH($D$7,Inputs!$C$140:$Q$140,0))),0)+
(INDEX(OP_TotalRates_SME_1[[Ausnet]:[United Energy]],MATCH("Off peak",OP_TotalRates_SME_1[[Rate name]:[Rate name]],0),MATCH(P$10,OP_TotalRates_SME_1[[#Headers],[Ausnet]:[United Energy]],0))*
INDEX(Input_Usage[],MATCH($L13&amp;" - Off peak",Input_Usage[[Ref]:[Ref]],0),MATCH($D$7,Inputs!$C$140:$Q$140,0))),0)),"-")</f>
        <v>13106</v>
      </c>
      <c r="Q13" s="167">
        <f>IFERROR(
IF($D$7="VDO 2021 - Final",
ROUNDUP(
(INDEX(OP_TotalRates_SME_1[[Ausnet]:[United Energy]],MATCH("Anytime - supply",OP_TotalRates_SME_1[[Rate name]:[Rate name]],0),MATCH(Q$10,OP_TotalRates_SME_1[[#Headers],[Ausnet]:[United Energy]],0))*DiLY)+
(IFERROR((INDEX(OP_TotalRates_SME_1[[Ausnet]:[United Energy]],MATCH("Block 1",OP_TotalRates_SME_1[[Rate name]:[Rate name]],0),MATCH(Q$10,OP_TotalRates_SME_1[[#Headers],[Ausnet]:[United Energy]],0))*
INDEX(Input_Usage[],MATCH($L13&amp;" - Block 1",Input_Usage[[Ref]:[Ref]],0),MATCH($D$7,Inputs!$C$140:$Q$140,0))),0)+
IFERROR((INDEX(OP_TotalRates_SME_1[[Ausnet]:[United Energy]],MATCH("Balance",OP_TotalRates_SME_1[[Rate name]:[Rate name]],0),MATCH(Q$10,OP_TotalRates_SME_1[[#Headers],[Ausnet]:[United Energy]],0))*
INDEX(Input_Usage[],MATCH($L13&amp;" - Balance",Input_Usage[[Ref]:[Ref]],0),MATCH($D$7,Inputs!$C$140:$Q$140,0))),0)+
IFERROR((INDEX(OP_TotalRates_SME_1[[Ausnet]:[United Energy]],MATCH("Single rate",OP_TotalRates_SME_1[[Rate name]:[Rate name]],0),MATCH(Q$10,OP_TotalRates_SME_1[[#Headers],[Ausnet]:[United Energy]],0))*
INDEX(Input_Usage[],MATCH($L13&amp;" - Annual",Input_Usage[[Ref]:[Ref]],0),MATCH($D$7,Inputs!$C$140:$Q$140,0))),0)),0),
ROUNDUP(
(INDEX(OP_TotalRates_SME_1[[Ausnet]:[United Energy]],MATCH("TOU - supply",OP_TotalRates_SME_1[[Rate name]:[Rate name]],0),MATCH(Q$10,OP_TotalRates_SME_1[[#Headers],[Ausnet]:[United Energy]],0))*DiLY)+
(INDEX(OP_TotalRates_SME_1[[Ausnet]:[United Energy]],MATCH("Peak",OP_TotalRates_SME_1[[Rate name]:[Rate name]],0),MATCH(Q$10,OP_TotalRates_SME_1[[#Headers],[Ausnet]:[United Energy]],0))*
INDEX(Input_Usage[],MATCH($L13&amp;" - Peak",Input_Usage[[Ref]:[Ref]],0),MATCH($D$7,Inputs!$C$140:$Q$140,0)))+
IFERROR((INDEX(OP_TotalRates_SME_1[[Ausnet]:[United Energy]],MATCH("TOU - Shoulder",OP_TotalRates_SME_1[[Rate name]:[Rate name]],0),MATCH(Q$10,OP_TotalRates_SME_1[[#Headers],[Ausnet]:[United Energy]],0))*
INDEX(Input_Usage[],MATCH($L13&amp;" - Shoulder",Input_Usage[[Ref]:[Ref]],0),MATCH($D$7,Inputs!$C$140:$Q$140,0))),0)+
(INDEX(OP_TotalRates_SME_1[[Ausnet]:[United Energy]],MATCH("Off peak",OP_TotalRates_SME_1[[Rate name]:[Rate name]],0),MATCH(Q$10,OP_TotalRates_SME_1[[#Headers],[Ausnet]:[United Energy]],0))*
INDEX(Input_Usage[],MATCH($L13&amp;" - Off peak",Input_Usage[[Ref]:[Ref]],0),MATCH($D$7,Inputs!$C$140:$Q$140,0))),0)),"-")</f>
        <v>12527</v>
      </c>
    </row>
    <row r="15" spans="1:18" ht="15.5" hidden="1">
      <c r="E15" s="84" cm="1">
        <f t="array" ref="E15">IF($D$21="VDO 2021 - Final",
IF(E11=
ROUNDUP(
(INDEX(OP_TotalRates_RES_1[[Ausnet]:[United Energy]],MATCH("Anytime - supply",OP_TotalRates_RES_1[Rate name],0),MATCH(E$10,OP_TotalRates_RES_1[[#Headers],[Ausnet]:[United Energy]],0))*DiLY)+
(IFERROR((INDEX(OP_TotalRates_RES_1[[Ausnet]:[United Energy]],MATCH("Block 1",OP_TotalRates_RES_1[Rate name],0),MATCH(E$10,OP_TotalRates_RES_1[[#Headers],[Ausnet]:[United Energy]],0))*
INDEX(Input_Usage[],MATCH($D11&amp;" - Block 1",Input_Usage[Ref],0),MATCH($D$21,Inputs!$C$140:$Q$140,0))),0)+
IFERROR((INDEX(OP_TotalRates_RES_1[[Ausnet]:[United Energy]],MATCH("Balance",OP_TotalRates_RES_1[Rate name],0),MATCH(E$10,OP_TotalRates_RES_1[[#Headers],[Ausnet]:[United Energy]],0))*
INDEX(Input_Usage[],MATCH($D11&amp;" - Balance",Input_Usage[Ref],0),MATCH($D$21,Inputs!$C$140:$Q$140,0))),0)+
IFERROR((INDEX(OP_TotalRates_RES_1[[Ausnet]:[United Energy]],MATCH("Single rate",OP_TotalRates_RES_1[Rate name],0),MATCH(E$10,OP_TotalRates_RES_1[[#Headers],[Ausnet]:[United Energy]],0))*
INDEX(Input_Usage[],MATCH($D11&amp;" - Annual",Input_Usage[Ref],0),MATCH($D$21,Inputs!$C$140:$Q$140,0))),0)),0),0,1),
IF(E11=
ROUNDUP(
(INDEX(OP_TotalRates_RES_1[[Ausnet]:[United Energy]],MATCH("TOU - supply",OP_TotalRates_RES_1[Rate name],0),MATCH(E$10,OP_TotalRates_RES_1[[#Headers],[Ausnet]:[United Energy]],0))*DiLY)+
(INDEX(OP_TotalRates_RES_1[[Ausnet]:[United Energy]],MATCH("Peak",OP_TotalRates_RES_1[Rate name],0),MATCH(E$10,OP_TotalRates_RES_1[[#Headers],[Ausnet]:[United Energy]],0))*
INDEX(Input_Usage[],MATCH($D11&amp;" - Peak",Input_Usage[Profile name]&amp;" - "&amp;Input_Usage[Usage type],0),MATCH($D$21,Inputs!$C$140:$Q$140,0)))+
IFERROR((INDEX(OP_TotalRates_RES_1[[Ausnet]:[United Energy]],MATCH("TOU - Shoulder",OP_TotalRates_RES_1[Rate name],0),MATCH(E$10,OP_TotalRates_RES_1[[#Headers],[Ausnet]:[United Energy]],0))*
INDEX(Input_Usage[],MATCH($D11&amp;" - Shoulder",Input_Usage[Profile name]&amp;" - "&amp;Input_Usage[Usage type],0),MATCH($D$21,Inputs!$C$140:$Q$140,0))),0)+
(INDEX(OP_TotalRates_RES_1[[Ausnet]:[United Energy]],MATCH("Off peak",OP_TotalRates_RES_1[Rate name],0),MATCH(E$10,OP_TotalRates_RES_1[[#Headers],[Ausnet]:[United Energy]],0))*
INDEX(Input_Usage[],MATCH($D11&amp;" - Off peak",Input_Usage[Profile name]&amp;" - "&amp;Input_Usage[Usage type],0),MATCH($D$21,Inputs!$C$140:$Q$140,0))),0),0,1))</f>
        <v>0</v>
      </c>
      <c r="F15" s="84" cm="1">
        <f t="array" ref="F15">IF($D$21="VDO 2021 - Final",
IF(F11=
ROUNDUP(
(INDEX(OP_TotalRates_RES_1[[Ausnet]:[United Energy]],MATCH("Anytime - supply",OP_TotalRates_RES_1[Rate name],0),MATCH(F$10,OP_TotalRates_RES_1[[#Headers],[Ausnet]:[United Energy]],0))*DiLY)+
(IFERROR((INDEX(OP_TotalRates_RES_1[[Ausnet]:[United Energy]],MATCH("Block 1",OP_TotalRates_RES_1[Rate name],0),MATCH(F$10,OP_TotalRates_RES_1[[#Headers],[Ausnet]:[United Energy]],0))*
INDEX(Input_Usage[],MATCH($D11&amp;" - Block 1",Input_Usage[Ref],0),MATCH($D$21,Inputs!$C$140:$Q$140,0))),0)+
IFERROR((INDEX(OP_TotalRates_RES_1[[Ausnet]:[United Energy]],MATCH("Balance",OP_TotalRates_RES_1[Rate name],0),MATCH(F$10,OP_TotalRates_RES_1[[#Headers],[Ausnet]:[United Energy]],0))*
INDEX(Input_Usage[],MATCH($D11&amp;" - Balance",Input_Usage[Ref],0),MATCH($D$21,Inputs!$C$140:$Q$140,0))),0)+
IFERROR((INDEX(OP_TotalRates_RES_1[[Ausnet]:[United Energy]],MATCH("Single rate",OP_TotalRates_RES_1[Rate name],0),MATCH(F$10,OP_TotalRates_RES_1[[#Headers],[Ausnet]:[United Energy]],0))*
INDEX(Input_Usage[],MATCH($D11&amp;" - Annual",Input_Usage[Ref],0),MATCH($D$21,Inputs!$C$140:$Q$140,0))),0)),0),0,1),
IF(F11=
ROUNDUP(
(INDEX(OP_TotalRates_RES_1[[Ausnet]:[United Energy]],MATCH("TOU - supply",OP_TotalRates_RES_1[Rate name],0),MATCH(F$10,OP_TotalRates_RES_1[[#Headers],[Ausnet]:[United Energy]],0))*DiLY)+
(INDEX(OP_TotalRates_RES_1[[Ausnet]:[United Energy]],MATCH("Peak",OP_TotalRates_RES_1[Rate name],0),MATCH(F$10,OP_TotalRates_RES_1[[#Headers],[Ausnet]:[United Energy]],0))*
INDEX(Input_Usage[],MATCH($D11&amp;" - Peak",Input_Usage[Profile name]&amp;" - "&amp;Input_Usage[Usage type],0),MATCH($D$21,Inputs!$C$140:$Q$140,0)))+
IFERROR((INDEX(OP_TotalRates_RES_1[[Ausnet]:[United Energy]],MATCH("TOU - Shoulder",OP_TotalRates_RES_1[Rate name],0),MATCH(F$10,OP_TotalRates_RES_1[[#Headers],[Ausnet]:[United Energy]],0))*
INDEX(Input_Usage[],MATCH($D11&amp;" - Shoulder",Input_Usage[Profile name]&amp;" - "&amp;Input_Usage[Usage type],0),MATCH($D$21,Inputs!$C$140:$Q$140,0))),0)+
(INDEX(OP_TotalRates_RES_1[[Ausnet]:[United Energy]],MATCH("Off peak",OP_TotalRates_RES_1[Rate name],0),MATCH(F$10,OP_TotalRates_RES_1[[#Headers],[Ausnet]:[United Energy]],0))*
INDEX(Input_Usage[],MATCH($D11&amp;" - Off peak",Input_Usage[Profile name]&amp;" - "&amp;Input_Usage[Usage type],0),MATCH($D$21,Inputs!$C$140:$Q$140,0))),0),0,1))</f>
        <v>0</v>
      </c>
      <c r="G15" s="84" cm="1">
        <f t="array" ref="G15">IF($D$21="VDO 2021 - Final",
IF(G11=
ROUNDUP(
(INDEX(OP_TotalRates_RES_1[[Ausnet]:[United Energy]],MATCH("Anytime - supply",OP_TotalRates_RES_1[Rate name],0),MATCH(G$10,OP_TotalRates_RES_1[[#Headers],[Ausnet]:[United Energy]],0))*DiLY)+
(IFERROR((INDEX(OP_TotalRates_RES_1[[Ausnet]:[United Energy]],MATCH("Block 1",OP_TotalRates_RES_1[Rate name],0),MATCH(G$10,OP_TotalRates_RES_1[[#Headers],[Ausnet]:[United Energy]],0))*
INDEX(Input_Usage[],MATCH($D11&amp;" - Block 1",Input_Usage[Ref],0),MATCH($D$21,Inputs!$C$140:$Q$140,0))),0)+
IFERROR((INDEX(OP_TotalRates_RES_1[[Ausnet]:[United Energy]],MATCH("Balance",OP_TotalRates_RES_1[Rate name],0),MATCH(G$10,OP_TotalRates_RES_1[[#Headers],[Ausnet]:[United Energy]],0))*
INDEX(Input_Usage[],MATCH($D11&amp;" - Balance",Input_Usage[Ref],0),MATCH($D$21,Inputs!$C$140:$Q$140,0))),0)+
IFERROR((INDEX(OP_TotalRates_RES_1[[Ausnet]:[United Energy]],MATCH("Single rate",OP_TotalRates_RES_1[Rate name],0),MATCH(G$10,OP_TotalRates_RES_1[[#Headers],[Ausnet]:[United Energy]],0))*
INDEX(Input_Usage[],MATCH($D11&amp;" - Annual",Input_Usage[Ref],0),MATCH($D$21,Inputs!$C$140:$Q$140,0))),0)),0),0,1),
IF(G11=
ROUNDUP(
(INDEX(OP_TotalRates_RES_1[[Ausnet]:[United Energy]],MATCH("TOU - supply",OP_TotalRates_RES_1[Rate name],0),MATCH(G$10,OP_TotalRates_RES_1[[#Headers],[Ausnet]:[United Energy]],0))*DiLY)+
(INDEX(OP_TotalRates_RES_1[[Ausnet]:[United Energy]],MATCH("Peak",OP_TotalRates_RES_1[Rate name],0),MATCH(G$10,OP_TotalRates_RES_1[[#Headers],[Ausnet]:[United Energy]],0))*
INDEX(Input_Usage[],MATCH($D11&amp;" - Peak",Input_Usage[Profile name]&amp;" - "&amp;Input_Usage[Usage type],0),MATCH($D$21,Inputs!$C$140:$Q$140,0)))+
IFERROR((INDEX(OP_TotalRates_RES_1[[Ausnet]:[United Energy]],MATCH("TOU - Shoulder",OP_TotalRates_RES_1[Rate name],0),MATCH(G$10,OP_TotalRates_RES_1[[#Headers],[Ausnet]:[United Energy]],0))*
INDEX(Input_Usage[],MATCH($D11&amp;" - Shoulder",Input_Usage[Profile name]&amp;" - "&amp;Input_Usage[Usage type],0),MATCH($D$21,Inputs!$C$140:$Q$140,0))),0)+
(INDEX(OP_TotalRates_RES_1[[Ausnet]:[United Energy]],MATCH("Off peak",OP_TotalRates_RES_1[Rate name],0),MATCH(G$10,OP_TotalRates_RES_1[[#Headers],[Ausnet]:[United Energy]],0))*
INDEX(Input_Usage[],MATCH($D11&amp;" - Off peak",Input_Usage[Profile name]&amp;" - "&amp;Input_Usage[Usage type],0),MATCH($D$21,Inputs!$C$140:$Q$140,0))),0),0,1))</f>
        <v>0</v>
      </c>
      <c r="H15" s="84" cm="1">
        <f t="array" ref="H15">IF($D$21="VDO 2021 - Final",
IF(H11=
ROUNDUP(
(INDEX(OP_TotalRates_RES_1[[Ausnet]:[United Energy]],MATCH("Anytime - supply",OP_TotalRates_RES_1[Rate name],0),MATCH(H$10,OP_TotalRates_RES_1[[#Headers],[Ausnet]:[United Energy]],0))*DiLY)+
(IFERROR((INDEX(OP_TotalRates_RES_1[[Ausnet]:[United Energy]],MATCH("Block 1",OP_TotalRates_RES_1[Rate name],0),MATCH(H$10,OP_TotalRates_RES_1[[#Headers],[Ausnet]:[United Energy]],0))*
INDEX(Input_Usage[],MATCH($D11&amp;" - Block 1",Input_Usage[Ref],0),MATCH($D$21,Inputs!$C$140:$Q$140,0))),0)+
IFERROR((INDEX(OP_TotalRates_RES_1[[Ausnet]:[United Energy]],MATCH("Balance",OP_TotalRates_RES_1[Rate name],0),MATCH(H$10,OP_TotalRates_RES_1[[#Headers],[Ausnet]:[United Energy]],0))*
INDEX(Input_Usage[],MATCH($D11&amp;" - Balance",Input_Usage[Ref],0),MATCH($D$21,Inputs!$C$140:$Q$140,0))),0)+
IFERROR((INDEX(OP_TotalRates_RES_1[[Ausnet]:[United Energy]],MATCH("Single rate",OP_TotalRates_RES_1[Rate name],0),MATCH(H$10,OP_TotalRates_RES_1[[#Headers],[Ausnet]:[United Energy]],0))*
INDEX(Input_Usage[],MATCH($D11&amp;" - Annual",Input_Usage[Ref],0),MATCH($D$21,Inputs!$C$140:$Q$140,0))),0)),0),0,1),
IF(H11=
ROUNDUP(
(INDEX(OP_TotalRates_RES_1[[Ausnet]:[United Energy]],MATCH("TOU - supply",OP_TotalRates_RES_1[Rate name],0),MATCH(H$10,OP_TotalRates_RES_1[[#Headers],[Ausnet]:[United Energy]],0))*DiLY)+
(INDEX(OP_TotalRates_RES_1[[Ausnet]:[United Energy]],MATCH("Peak",OP_TotalRates_RES_1[Rate name],0),MATCH(H$10,OP_TotalRates_RES_1[[#Headers],[Ausnet]:[United Energy]],0))*
INDEX(Input_Usage[],MATCH($D11&amp;" - Peak",Input_Usage[Profile name]&amp;" - "&amp;Input_Usage[Usage type],0),MATCH($D$21,Inputs!$C$140:$Q$140,0)))+
IFERROR((INDEX(OP_TotalRates_RES_1[[Ausnet]:[United Energy]],MATCH("TOU - Shoulder",OP_TotalRates_RES_1[Rate name],0),MATCH(H$10,OP_TotalRates_RES_1[[#Headers],[Ausnet]:[United Energy]],0))*
INDEX(Input_Usage[],MATCH($D11&amp;" - Shoulder",Input_Usage[Profile name]&amp;" - "&amp;Input_Usage[Usage type],0),MATCH($D$21,Inputs!$C$140:$Q$140,0))),0)+
(INDEX(OP_TotalRates_RES_1[[Ausnet]:[United Energy]],MATCH("Off peak",OP_TotalRates_RES_1[Rate name],0),MATCH(H$10,OP_TotalRates_RES_1[[#Headers],[Ausnet]:[United Energy]],0))*
INDEX(Input_Usage[],MATCH($D11&amp;" - Off peak",Input_Usage[Profile name]&amp;" - "&amp;Input_Usage[Usage type],0),MATCH($D$21,Inputs!$C$140:$Q$140,0))),0),0,1))</f>
        <v>0</v>
      </c>
      <c r="I15" s="84" cm="1">
        <f t="array" ref="I15">IF($D$21="VDO 2021 - Final",
IF(I11=
ROUNDUP(
(INDEX(OP_TotalRates_RES_1[[Ausnet]:[United Energy]],MATCH("Anytime - supply",OP_TotalRates_RES_1[Rate name],0),MATCH(I$10,OP_TotalRates_RES_1[[#Headers],[Ausnet]:[United Energy]],0))*DiLY)+
(IFERROR((INDEX(OP_TotalRates_RES_1[[Ausnet]:[United Energy]],MATCH("Block 1",OP_TotalRates_RES_1[Rate name],0),MATCH(I$10,OP_TotalRates_RES_1[[#Headers],[Ausnet]:[United Energy]],0))*
INDEX(Input_Usage[],MATCH($D11&amp;" - Block 1",Input_Usage[Ref],0),MATCH($D$21,Inputs!$C$140:$Q$140,0))),0)+
IFERROR((INDEX(OP_TotalRates_RES_1[[Ausnet]:[United Energy]],MATCH("Balance",OP_TotalRates_RES_1[Rate name],0),MATCH(I$10,OP_TotalRates_RES_1[[#Headers],[Ausnet]:[United Energy]],0))*
INDEX(Input_Usage[],MATCH($D11&amp;" - Balance",Input_Usage[Ref],0),MATCH($D$21,Inputs!$C$140:$Q$140,0))),0)+
IFERROR((INDEX(OP_TotalRates_RES_1[[Ausnet]:[United Energy]],MATCH("Single rate",OP_TotalRates_RES_1[Rate name],0),MATCH(I$10,OP_TotalRates_RES_1[[#Headers],[Ausnet]:[United Energy]],0))*
INDEX(Input_Usage[],MATCH($D11&amp;" - Annual",Input_Usage[Ref],0),MATCH($D$21,Inputs!$C$140:$Q$140,0))),0)),0),0,1),
IF(I11=
ROUNDUP(
(INDEX(OP_TotalRates_RES_1[[Ausnet]:[United Energy]],MATCH("TOU - supply",OP_TotalRates_RES_1[Rate name],0),MATCH(I$10,OP_TotalRates_RES_1[[#Headers],[Ausnet]:[United Energy]],0))*DiLY)+
(INDEX(OP_TotalRates_RES_1[[Ausnet]:[United Energy]],MATCH("Peak",OP_TotalRates_RES_1[Rate name],0),MATCH(I$10,OP_TotalRates_RES_1[[#Headers],[Ausnet]:[United Energy]],0))*
INDEX(Input_Usage[],MATCH($D11&amp;" - Peak",Input_Usage[Profile name]&amp;" - "&amp;Input_Usage[Usage type],0),MATCH($D$21,Inputs!$C$140:$Q$140,0)))+
IFERROR((INDEX(OP_TotalRates_RES_1[[Ausnet]:[United Energy]],MATCH("TOU - Shoulder",OP_TotalRates_RES_1[Rate name],0),MATCH(I$10,OP_TotalRates_RES_1[[#Headers],[Ausnet]:[United Energy]],0))*
INDEX(Input_Usage[],MATCH($D11&amp;" - Shoulder",Input_Usage[Profile name]&amp;" - "&amp;Input_Usage[Usage type],0),MATCH($D$21,Inputs!$C$140:$Q$140,0))),0)+
(INDEX(OP_TotalRates_RES_1[[Ausnet]:[United Energy]],MATCH("Off peak",OP_TotalRates_RES_1[Rate name],0),MATCH(I$10,OP_TotalRates_RES_1[[#Headers],[Ausnet]:[United Energy]],0))*
INDEX(Input_Usage[],MATCH($D11&amp;" - Off peak",Input_Usage[Profile name]&amp;" - "&amp;Input_Usage[Usage type],0),MATCH($D$21,Inputs!$C$140:$Q$140,0))),0),0,1))</f>
        <v>0</v>
      </c>
      <c r="M15" s="84" cm="1">
        <f t="array" ref="M15">IF($D$21="VDO 2021 - Final",
IF(M11=
ROUNDUP(
(INDEX(OP_TotalRates_SME_1[[Ausnet]:[United Energy]],MATCH("Anytime - supply",OP_TotalRates_SME_1[Rate name],0),MATCH(M$24,OP_TotalRates_SME_1[[#Headers],[Ausnet]:[United Energy]],0))*DiLY)+
(IFERROR((INDEX(OP_TotalRates_SME_1[[Ausnet]:[United Energy]],MATCH("Block 1",OP_TotalRates_SME_1[Rate name],0),MATCH(M$24,OP_TotalRates_SME_1[[#Headers],[Ausnet]:[United Energy]],0))*
INDEX(Input_Usage[],MATCH($L11&amp;" - Block 1",Input_Usage[Profile name]&amp;" - "&amp;Input_Usage[Usage type],0),MATCH($D$21,Inputs!$C$140:$Q$140,0))),0)+
IFERROR((INDEX(OP_TotalRates_SME_1[[Ausnet]:[United Energy]],MATCH("Balance",OP_TotalRates_SME_1[Rate name],0),MATCH(M$24,OP_TotalRates_SME_1[[#Headers],[Ausnet]:[United Energy]],0))*
INDEX(Input_Usage[],MATCH($L11&amp;" - Balance",Input_Usage[Profile name]&amp;" - "&amp;Input_Usage[Usage type],0),MATCH($D$21,Inputs!$C$140:$Q$140,0))),0)+
IFERROR((INDEX(OP_TotalRates_SME_1[[Ausnet]:[United Energy]],MATCH("Single rate",OP_TotalRates_SME_1[Rate name],0),MATCH(M$24,OP_TotalRates_SME_1[[#Headers],[Ausnet]:[United Energy]],0))*
INDEX(Input_Usage[],MATCH($L11&amp;" - Annual",Input_Usage[Profile name]&amp;" - "&amp;Input_Usage[Usage type],0),MATCH($D$21,Inputs!$C$140:$Q$140,0))),0)),0),0,1),
IF(M11=
ROUNDUP(
(INDEX(OP_TotalRates_SME_1[[Ausnet]:[United Energy]],MATCH("TOU - supply",OP_TotalRates_SME_1[Rate name],0),MATCH(M$24,OP_TotalRates_SME_1[[#Headers],[Ausnet]:[United Energy]],0))*DiLY)+
(INDEX(OP_TotalRates_SME_1[[Ausnet]:[United Energy]],MATCH("Peak",OP_TotalRates_SME_1[Rate name],0),MATCH(M$24,OP_TotalRates_SME_1[[#Headers],[Ausnet]:[United Energy]],0))*
INDEX(Input_Usage[],MATCH($L11&amp;" - Peak",Input_Usage[Profile name]&amp;" - "&amp;Input_Usage[Usage type],0),MATCH($D$21,Inputs!$C$140:$Q$140,0)))+
IFERROR((INDEX(OP_TotalRates_SME_1[[Ausnet]:[United Energy]],MATCH("TOU - Shoulder",OP_TotalRates_SME_1[Rate name],0),MATCH(M$24,OP_TotalRates_SME_1[[#Headers],[Ausnet]:[United Energy]],0))*
INDEX(Input_Usage[],MATCH($L11&amp;" - Shoulder",Input_Usage[Profile name]&amp;" - "&amp;Input_Usage[Usage type],0),MATCH($D$21,Inputs!$C$140:$Q$140,0))),0)+
(INDEX(OP_TotalRates_SME_1[[Ausnet]:[United Energy]],MATCH("Off peak",OP_TotalRates_SME_1[Rate name],0),MATCH(M$24,OP_TotalRates_SME_1[[#Headers],[Ausnet]:[United Energy]],0))*
INDEX(Input_Usage[],MATCH($L11&amp;" - Off peak",Input_Usage[Profile name]&amp;" - "&amp;Input_Usage[Usage type],0),MATCH($D$21,Inputs!$C$140:$Q$140,0))),0),0,1))</f>
        <v>0</v>
      </c>
      <c r="N15" s="84" cm="1">
        <f t="array" ref="N15">IF($D$21="VDO 2021 - Final",
IF(N11=
ROUNDUP(
(INDEX(OP_TotalRates_SME_1[[Ausnet]:[United Energy]],MATCH("Anytime - supply",OP_TotalRates_SME_1[Rate name],0),MATCH(N$24,OP_TotalRates_SME_1[[#Headers],[Ausnet]:[United Energy]],0))*DiLY)+
(IFERROR((INDEX(OP_TotalRates_SME_1[[Ausnet]:[United Energy]],MATCH("Block 1",OP_TotalRates_SME_1[Rate name],0),MATCH(N$24,OP_TotalRates_SME_1[[#Headers],[Ausnet]:[United Energy]],0))*
INDEX(Input_Usage[],MATCH($L11&amp;" - Block 1",Input_Usage[Profile name]&amp;" - "&amp;Input_Usage[Usage type],0),MATCH($D$21,Inputs!$C$140:$Q$140,0))),0)+
IFERROR((INDEX(OP_TotalRates_SME_1[[Ausnet]:[United Energy]],MATCH("Balance",OP_TotalRates_SME_1[Rate name],0),MATCH(N$24,OP_TotalRates_SME_1[[#Headers],[Ausnet]:[United Energy]],0))*
INDEX(Input_Usage[],MATCH($L11&amp;" - Balance",Input_Usage[Profile name]&amp;" - "&amp;Input_Usage[Usage type],0),MATCH($D$21,Inputs!$C$140:$Q$140,0))),0)+
IFERROR((INDEX(OP_TotalRates_SME_1[[Ausnet]:[United Energy]],MATCH("Single rate",OP_TotalRates_SME_1[Rate name],0),MATCH(N$24,OP_TotalRates_SME_1[[#Headers],[Ausnet]:[United Energy]],0))*
INDEX(Input_Usage[],MATCH($L11&amp;" - Annual",Input_Usage[Profile name]&amp;" - "&amp;Input_Usage[Usage type],0),MATCH($D$21,Inputs!$C$140:$Q$140,0))),0)),0),0,1),
IF(N11=
ROUNDUP(
(INDEX(OP_TotalRates_SME_1[[Ausnet]:[United Energy]],MATCH("TOU - supply",OP_TotalRates_SME_1[Rate name],0),MATCH(N$24,OP_TotalRates_SME_1[[#Headers],[Ausnet]:[United Energy]],0))*DiLY)+
(INDEX(OP_TotalRates_SME_1[[Ausnet]:[United Energy]],MATCH("Peak",OP_TotalRates_SME_1[Rate name],0),MATCH(N$24,OP_TotalRates_SME_1[[#Headers],[Ausnet]:[United Energy]],0))*
INDEX(Input_Usage[],MATCH($L11&amp;" - Peak",Input_Usage[Profile name]&amp;" - "&amp;Input_Usage[Usage type],0),MATCH($D$21,Inputs!$C$140:$Q$140,0)))+
IFERROR((INDEX(OP_TotalRates_SME_1[[Ausnet]:[United Energy]],MATCH("TOU - Shoulder",OP_TotalRates_SME_1[Rate name],0),MATCH(N$24,OP_TotalRates_SME_1[[#Headers],[Ausnet]:[United Energy]],0))*
INDEX(Input_Usage[],MATCH($L11&amp;" - Shoulder",Input_Usage[Profile name]&amp;" - "&amp;Input_Usage[Usage type],0),MATCH($D$21,Inputs!$C$140:$Q$140,0))),0)+
(INDEX(OP_TotalRates_SME_1[[Ausnet]:[United Energy]],MATCH("Off peak",OP_TotalRates_SME_1[Rate name],0),MATCH(N$24,OP_TotalRates_SME_1[[#Headers],[Ausnet]:[United Energy]],0))*
INDEX(Input_Usage[],MATCH($L11&amp;" - Off peak",Input_Usage[Profile name]&amp;" - "&amp;Input_Usage[Usage type],0),MATCH($D$21,Inputs!$C$140:$Q$140,0))),0),0,1))</f>
        <v>0</v>
      </c>
      <c r="O15" s="84" cm="1">
        <f t="array" ref="O15">IF($D$21="VDO 2021 - Final",
IF(O11=
ROUNDUP(
(INDEX(OP_TotalRates_SME_1[[Ausnet]:[United Energy]],MATCH("Anytime - supply",OP_TotalRates_SME_1[Rate name],0),MATCH(O$24,OP_TotalRates_SME_1[[#Headers],[Ausnet]:[United Energy]],0))*DiLY)+
(IFERROR((INDEX(OP_TotalRates_SME_1[[Ausnet]:[United Energy]],MATCH("Block 1",OP_TotalRates_SME_1[Rate name],0),MATCH(O$24,OP_TotalRates_SME_1[[#Headers],[Ausnet]:[United Energy]],0))*
INDEX(Input_Usage[],MATCH($L11&amp;" - Block 1",Input_Usage[Profile name]&amp;" - "&amp;Input_Usage[Usage type],0),MATCH($D$21,Inputs!$C$140:$Q$140,0))),0)+
IFERROR((INDEX(OP_TotalRates_SME_1[[Ausnet]:[United Energy]],MATCH("Balance",OP_TotalRates_SME_1[Rate name],0),MATCH(O$24,OP_TotalRates_SME_1[[#Headers],[Ausnet]:[United Energy]],0))*
INDEX(Input_Usage[],MATCH($L11&amp;" - Balance",Input_Usage[Profile name]&amp;" - "&amp;Input_Usage[Usage type],0),MATCH($D$21,Inputs!$C$140:$Q$140,0))),0)+
IFERROR((INDEX(OP_TotalRates_SME_1[[Ausnet]:[United Energy]],MATCH("Single rate",OP_TotalRates_SME_1[Rate name],0),MATCH(O$24,OP_TotalRates_SME_1[[#Headers],[Ausnet]:[United Energy]],0))*
INDEX(Input_Usage[],MATCH($L11&amp;" - Annual",Input_Usage[Profile name]&amp;" - "&amp;Input_Usage[Usage type],0),MATCH($D$21,Inputs!$C$140:$Q$140,0))),0)),0),0,1),
IF(O11=
ROUNDUP(
(INDEX(OP_TotalRates_SME_1[[Ausnet]:[United Energy]],MATCH("TOU - supply",OP_TotalRates_SME_1[Rate name],0),MATCH(O$24,OP_TotalRates_SME_1[[#Headers],[Ausnet]:[United Energy]],0))*DiLY)+
(INDEX(OP_TotalRates_SME_1[[Ausnet]:[United Energy]],MATCH("Peak",OP_TotalRates_SME_1[Rate name],0),MATCH(O$24,OP_TotalRates_SME_1[[#Headers],[Ausnet]:[United Energy]],0))*
INDEX(Input_Usage[],MATCH($L11&amp;" - Peak",Input_Usage[Profile name]&amp;" - "&amp;Input_Usage[Usage type],0),MATCH($D$21,Inputs!$C$140:$Q$140,0)))+
IFERROR((INDEX(OP_TotalRates_SME_1[[Ausnet]:[United Energy]],MATCH("TOU - Shoulder",OP_TotalRates_SME_1[Rate name],0),MATCH(O$24,OP_TotalRates_SME_1[[#Headers],[Ausnet]:[United Energy]],0))*
INDEX(Input_Usage[],MATCH($L11&amp;" - Shoulder",Input_Usage[Profile name]&amp;" - "&amp;Input_Usage[Usage type],0),MATCH($D$21,Inputs!$C$140:$Q$140,0))),0)+
(INDEX(OP_TotalRates_SME_1[[Ausnet]:[United Energy]],MATCH("Off peak",OP_TotalRates_SME_1[Rate name],0),MATCH(O$24,OP_TotalRates_SME_1[[#Headers],[Ausnet]:[United Energy]],0))*
INDEX(Input_Usage[],MATCH($L11&amp;" - Off peak",Input_Usage[Profile name]&amp;" - "&amp;Input_Usage[Usage type],0),MATCH($D$21,Inputs!$C$140:$Q$140,0))),0),0,1))</f>
        <v>0</v>
      </c>
      <c r="P15" s="84" cm="1">
        <f t="array" ref="P15">IF($D$21="VDO 2021 - Final",
IF(P11=
ROUNDUP(
(INDEX(OP_TotalRates_SME_1[[Ausnet]:[United Energy]],MATCH("Anytime - supply",OP_TotalRates_SME_1[Rate name],0),MATCH(P$24,OP_TotalRates_SME_1[[#Headers],[Ausnet]:[United Energy]],0))*DiLY)+
(IFERROR((INDEX(OP_TotalRates_SME_1[[Ausnet]:[United Energy]],MATCH("Block 1",OP_TotalRates_SME_1[Rate name],0),MATCH(P$24,OP_TotalRates_SME_1[[#Headers],[Ausnet]:[United Energy]],0))*
INDEX(Input_Usage[],MATCH($L11&amp;" - Block 1",Input_Usage[Profile name]&amp;" - "&amp;Input_Usage[Usage type],0),MATCH($D$21,Inputs!$C$140:$Q$140,0))),0)+
IFERROR((INDEX(OP_TotalRates_SME_1[[Ausnet]:[United Energy]],MATCH("Balance",OP_TotalRates_SME_1[Rate name],0),MATCH(P$24,OP_TotalRates_SME_1[[#Headers],[Ausnet]:[United Energy]],0))*
INDEX(Input_Usage[],MATCH($L11&amp;" - Balance",Input_Usage[Profile name]&amp;" - "&amp;Input_Usage[Usage type],0),MATCH($D$21,Inputs!$C$140:$Q$140,0))),0)+
IFERROR((INDEX(OP_TotalRates_SME_1[[Ausnet]:[United Energy]],MATCH("Single rate",OP_TotalRates_SME_1[Rate name],0),MATCH(P$24,OP_TotalRates_SME_1[[#Headers],[Ausnet]:[United Energy]],0))*
INDEX(Input_Usage[],MATCH($L11&amp;" - Annual",Input_Usage[Profile name]&amp;" - "&amp;Input_Usage[Usage type],0),MATCH($D$21,Inputs!$C$140:$Q$140,0))),0)),0),0,1),
IF(P11=
ROUNDUP(
(INDEX(OP_TotalRates_SME_1[[Ausnet]:[United Energy]],MATCH("TOU - supply",OP_TotalRates_SME_1[Rate name],0),MATCH(P$24,OP_TotalRates_SME_1[[#Headers],[Ausnet]:[United Energy]],0))*DiLY)+
(INDEX(OP_TotalRates_SME_1[[Ausnet]:[United Energy]],MATCH("Peak",OP_TotalRates_SME_1[Rate name],0),MATCH(P$24,OP_TotalRates_SME_1[[#Headers],[Ausnet]:[United Energy]],0))*
INDEX(Input_Usage[],MATCH($L11&amp;" - Peak",Input_Usage[Profile name]&amp;" - "&amp;Input_Usage[Usage type],0),MATCH($D$21,Inputs!$C$140:$Q$140,0)))+
IFERROR((INDEX(OP_TotalRates_SME_1[[Ausnet]:[United Energy]],MATCH("TOU - Shoulder",OP_TotalRates_SME_1[Rate name],0),MATCH(P$24,OP_TotalRates_SME_1[[#Headers],[Ausnet]:[United Energy]],0))*
INDEX(Input_Usage[],MATCH($L11&amp;" - Shoulder",Input_Usage[Profile name]&amp;" - "&amp;Input_Usage[Usage type],0),MATCH($D$21,Inputs!$C$140:$Q$140,0))),0)+
(INDEX(OP_TotalRates_SME_1[[Ausnet]:[United Energy]],MATCH("Off peak",OP_TotalRates_SME_1[Rate name],0),MATCH(P$24,OP_TotalRates_SME_1[[#Headers],[Ausnet]:[United Energy]],0))*
INDEX(Input_Usage[],MATCH($L11&amp;" - Off peak",Input_Usage[Profile name]&amp;" - "&amp;Input_Usage[Usage type],0),MATCH($D$21,Inputs!$C$140:$Q$140,0))),0),0,1))</f>
        <v>0</v>
      </c>
      <c r="Q15" s="84" cm="1">
        <f t="array" ref="Q15">IF($D$21="VDO 2021 - Final",
IF(Q11=
ROUNDUP(
(INDEX(OP_TotalRates_SME_1[[Ausnet]:[United Energy]],MATCH("Anytime - supply",OP_TotalRates_SME_1[Rate name],0),MATCH(Q$24,OP_TotalRates_SME_1[[#Headers],[Ausnet]:[United Energy]],0))*DiLY)+
(IFERROR((INDEX(OP_TotalRates_SME_1[[Ausnet]:[United Energy]],MATCH("Block 1",OP_TotalRates_SME_1[Rate name],0),MATCH(Q$24,OP_TotalRates_SME_1[[#Headers],[Ausnet]:[United Energy]],0))*
INDEX(Input_Usage[],MATCH($L11&amp;" - Block 1",Input_Usage[Profile name]&amp;" - "&amp;Input_Usage[Usage type],0),MATCH($D$21,Inputs!$C$140:$Q$140,0))),0)+
IFERROR((INDEX(OP_TotalRates_SME_1[[Ausnet]:[United Energy]],MATCH("Balance",OP_TotalRates_SME_1[Rate name],0),MATCH(Q$24,OP_TotalRates_SME_1[[#Headers],[Ausnet]:[United Energy]],0))*
INDEX(Input_Usage[],MATCH($L11&amp;" - Balance",Input_Usage[Profile name]&amp;" - "&amp;Input_Usage[Usage type],0),MATCH($D$21,Inputs!$C$140:$Q$140,0))),0)+
IFERROR((INDEX(OP_TotalRates_SME_1[[Ausnet]:[United Energy]],MATCH("Single rate",OP_TotalRates_SME_1[Rate name],0),MATCH(Q$24,OP_TotalRates_SME_1[[#Headers],[Ausnet]:[United Energy]],0))*
INDEX(Input_Usage[],MATCH($L11&amp;" - Annual",Input_Usage[Profile name]&amp;" - "&amp;Input_Usage[Usage type],0),MATCH($D$21,Inputs!$C$140:$Q$140,0))),0)),0),0,1),
IF(Q11=
ROUNDUP(
(INDEX(OP_TotalRates_SME_1[[Ausnet]:[United Energy]],MATCH("TOU - supply",OP_TotalRates_SME_1[Rate name],0),MATCH(Q$24,OP_TotalRates_SME_1[[#Headers],[Ausnet]:[United Energy]],0))*DiLY)+
(INDEX(OP_TotalRates_SME_1[[Ausnet]:[United Energy]],MATCH("Peak",OP_TotalRates_SME_1[Rate name],0),MATCH(Q$24,OP_TotalRates_SME_1[[#Headers],[Ausnet]:[United Energy]],0))*
INDEX(Input_Usage[],MATCH($L11&amp;" - Peak",Input_Usage[Profile name]&amp;" - "&amp;Input_Usage[Usage type],0),MATCH($D$21,Inputs!$C$140:$Q$140,0)))+
IFERROR((INDEX(OP_TotalRates_SME_1[[Ausnet]:[United Energy]],MATCH("TOU - Shoulder",OP_TotalRates_SME_1[Rate name],0),MATCH(Q$24,OP_TotalRates_SME_1[[#Headers],[Ausnet]:[United Energy]],0))*
INDEX(Input_Usage[],MATCH($L11&amp;" - Shoulder",Input_Usage[Profile name]&amp;" - "&amp;Input_Usage[Usage type],0),MATCH($D$21,Inputs!$C$140:$Q$140,0))),0)+
(INDEX(OP_TotalRates_SME_1[[Ausnet]:[United Energy]],MATCH("Off peak",OP_TotalRates_SME_1[Rate name],0),MATCH(Q$24,OP_TotalRates_SME_1[[#Headers],[Ausnet]:[United Energy]],0))*
INDEX(Input_Usage[],MATCH($L11&amp;" - Off peak",Input_Usage[Profile name]&amp;" - "&amp;Input_Usage[Usage type],0),MATCH($D$21,Inputs!$C$140:$Q$140,0))),0),0,1))</f>
        <v>0</v>
      </c>
    </row>
    <row r="16" spans="1:18" ht="15.5" hidden="1">
      <c r="E16" s="84" cm="1">
        <f t="array" ref="E16">IF($D$21="VDO 2021 - Final",
IF(E12=
ROUNDUP(
(INDEX(OP_TotalRates_RES_1[[Ausnet]:[United Energy]],MATCH("Anytime - supply",OP_TotalRates_RES_1[Rate name],0),MATCH(E$10,OP_TotalRates_RES_1[[#Headers],[Ausnet]:[United Energy]],0))*DiLY)+
(IFERROR((INDEX(OP_TotalRates_RES_1[[Ausnet]:[United Energy]],MATCH("Block 1",OP_TotalRates_RES_1[Rate name],0),MATCH(E$10,OP_TotalRates_RES_1[[#Headers],[Ausnet]:[United Energy]],0))*
INDEX(Input_Usage[],MATCH($D12&amp;" - Block 1",Input_Usage[Ref],0),MATCH($D$21,Inputs!$C$140:$Q$140,0))),0)+
IFERROR((INDEX(OP_TotalRates_RES_1[[Ausnet]:[United Energy]],MATCH("Balance",OP_TotalRates_RES_1[Rate name],0),MATCH(E$10,OP_TotalRates_RES_1[[#Headers],[Ausnet]:[United Energy]],0))*
INDEX(Input_Usage[],MATCH($D12&amp;" - Balance",Input_Usage[Ref],0),MATCH($D$21,Inputs!$C$140:$Q$140,0))),0)+
IFERROR((INDEX(OP_TotalRates_RES_1[[Ausnet]:[United Energy]],MATCH("Single rate",OP_TotalRates_RES_1[Rate name],0),MATCH(E$10,OP_TotalRates_RES_1[[#Headers],[Ausnet]:[United Energy]],0))*
INDEX(Input_Usage[],MATCH($D12&amp;" - Annual",Input_Usage[Ref],0),MATCH($D$21,Inputs!$C$140:$Q$140,0))),0)),0),0,1),
IF(E12=
ROUNDUP(
(INDEX(OP_TotalRates_RES_1[[Ausnet]:[United Energy]],MATCH("TOU - supply",OP_TotalRates_RES_1[Rate name],0),MATCH(E$10,OP_TotalRates_RES_1[[#Headers],[Ausnet]:[United Energy]],0))*DiLY)+
(INDEX(OP_TotalRates_RES_1[[Ausnet]:[United Energy]],MATCH("Peak",OP_TotalRates_RES_1[Rate name],0),MATCH(E$10,OP_TotalRates_RES_1[[#Headers],[Ausnet]:[United Energy]],0))*
INDEX(Input_Usage[],MATCH($D12&amp;" - Peak",Input_Usage[Profile name]&amp;" - "&amp;Input_Usage[Usage type],0),MATCH($D$21,Inputs!$C$140:$Q$140,0)))+
IFERROR((INDEX(OP_TotalRates_RES_1[[Ausnet]:[United Energy]],MATCH("TOU - Shoulder",OP_TotalRates_RES_1[Rate name],0),MATCH(E$10,OP_TotalRates_RES_1[[#Headers],[Ausnet]:[United Energy]],0))*
INDEX(Input_Usage[],MATCH($D12&amp;" - Shoulder",Input_Usage[Profile name]&amp;" - "&amp;Input_Usage[Usage type],0),MATCH($D$21,Inputs!$C$140:$Q$140,0))),0)+
(INDEX(OP_TotalRates_RES_1[[Ausnet]:[United Energy]],MATCH("Off peak",OP_TotalRates_RES_1[Rate name],0),MATCH(E$10,OP_TotalRates_RES_1[[#Headers],[Ausnet]:[United Energy]],0))*
INDEX(Input_Usage[],MATCH($D12&amp;" - Off peak",Input_Usage[Profile name]&amp;" - "&amp;Input_Usage[Usage type],0),MATCH($D$21,Inputs!$C$140:$Q$140,0))),0),0,1))</f>
        <v>0</v>
      </c>
      <c r="F16" s="84" cm="1">
        <f t="array" ref="F16">IF($D$21="VDO 2021 - Final",
IF(F12=
ROUNDUP(
(INDEX(OP_TotalRates_RES_1[[Ausnet]:[United Energy]],MATCH("Anytime - supply",OP_TotalRates_RES_1[Rate name],0),MATCH(F$10,OP_TotalRates_RES_1[[#Headers],[Ausnet]:[United Energy]],0))*DiLY)+
(IFERROR((INDEX(OP_TotalRates_RES_1[[Ausnet]:[United Energy]],MATCH("Block 1",OP_TotalRates_RES_1[Rate name],0),MATCH(F$10,OP_TotalRates_RES_1[[#Headers],[Ausnet]:[United Energy]],0))*
INDEX(Input_Usage[],MATCH($D12&amp;" - Block 1",Input_Usage[Ref],0),MATCH($D$21,Inputs!$C$140:$Q$140,0))),0)+
IFERROR((INDEX(OP_TotalRates_RES_1[[Ausnet]:[United Energy]],MATCH("Balance",OP_TotalRates_RES_1[Rate name],0),MATCH(F$10,OP_TotalRates_RES_1[[#Headers],[Ausnet]:[United Energy]],0))*
INDEX(Input_Usage[],MATCH($D12&amp;" - Balance",Input_Usage[Ref],0),MATCH($D$21,Inputs!$C$140:$Q$140,0))),0)+
IFERROR((INDEX(OP_TotalRates_RES_1[[Ausnet]:[United Energy]],MATCH("Single rate",OP_TotalRates_RES_1[Rate name],0),MATCH(F$10,OP_TotalRates_RES_1[[#Headers],[Ausnet]:[United Energy]],0))*
INDEX(Input_Usage[],MATCH($D12&amp;" - Annual",Input_Usage[Ref],0),MATCH($D$21,Inputs!$C$140:$Q$140,0))),0)),0),0,1),
IF(F12=
ROUNDUP(
(INDEX(OP_TotalRates_RES_1[[Ausnet]:[United Energy]],MATCH("TOU - supply",OP_TotalRates_RES_1[Rate name],0),MATCH(F$10,OP_TotalRates_RES_1[[#Headers],[Ausnet]:[United Energy]],0))*DiLY)+
(INDEX(OP_TotalRates_RES_1[[Ausnet]:[United Energy]],MATCH("Peak",OP_TotalRates_RES_1[Rate name],0),MATCH(F$10,OP_TotalRates_RES_1[[#Headers],[Ausnet]:[United Energy]],0))*
INDEX(Input_Usage[],MATCH($D12&amp;" - Peak",Input_Usage[Profile name]&amp;" - "&amp;Input_Usage[Usage type],0),MATCH($D$21,Inputs!$C$140:$Q$140,0)))+
IFERROR((INDEX(OP_TotalRates_RES_1[[Ausnet]:[United Energy]],MATCH("TOU - Shoulder",OP_TotalRates_RES_1[Rate name],0),MATCH(F$10,OP_TotalRates_RES_1[[#Headers],[Ausnet]:[United Energy]],0))*
INDEX(Input_Usage[],MATCH($D12&amp;" - Shoulder",Input_Usage[Profile name]&amp;" - "&amp;Input_Usage[Usage type],0),MATCH($D$21,Inputs!$C$140:$Q$140,0))),0)+
(INDEX(OP_TotalRates_RES_1[[Ausnet]:[United Energy]],MATCH("Off peak",OP_TotalRates_RES_1[Rate name],0),MATCH(F$10,OP_TotalRates_RES_1[[#Headers],[Ausnet]:[United Energy]],0))*
INDEX(Input_Usage[],MATCH($D12&amp;" - Off peak",Input_Usage[Profile name]&amp;" - "&amp;Input_Usage[Usage type],0),MATCH($D$21,Inputs!$C$140:$Q$140,0))),0),0,1))</f>
        <v>0</v>
      </c>
      <c r="G16" s="84" cm="1">
        <f t="array" ref="G16">IF($D$21="VDO 2021 - Final",
IF(G12=
ROUNDUP(
(INDEX(OP_TotalRates_RES_1[[Ausnet]:[United Energy]],MATCH("Anytime - supply",OP_TotalRates_RES_1[Rate name],0),MATCH(G$10,OP_TotalRates_RES_1[[#Headers],[Ausnet]:[United Energy]],0))*DiLY)+
(IFERROR((INDEX(OP_TotalRates_RES_1[[Ausnet]:[United Energy]],MATCH("Block 1",OP_TotalRates_RES_1[Rate name],0),MATCH(G$10,OP_TotalRates_RES_1[[#Headers],[Ausnet]:[United Energy]],0))*
INDEX(Input_Usage[],MATCH($D12&amp;" - Block 1",Input_Usage[Ref],0),MATCH($D$21,Inputs!$C$140:$Q$140,0))),0)+
IFERROR((INDEX(OP_TotalRates_RES_1[[Ausnet]:[United Energy]],MATCH("Balance",OP_TotalRates_RES_1[Rate name],0),MATCH(G$10,OP_TotalRates_RES_1[[#Headers],[Ausnet]:[United Energy]],0))*
INDEX(Input_Usage[],MATCH($D12&amp;" - Balance",Input_Usage[Ref],0),MATCH($D$21,Inputs!$C$140:$Q$140,0))),0)+
IFERROR((INDEX(OP_TotalRates_RES_1[[Ausnet]:[United Energy]],MATCH("Single rate",OP_TotalRates_RES_1[Rate name],0),MATCH(G$10,OP_TotalRates_RES_1[[#Headers],[Ausnet]:[United Energy]],0))*
INDEX(Input_Usage[],MATCH($D12&amp;" - Annual",Input_Usage[Ref],0),MATCH($D$21,Inputs!$C$140:$Q$140,0))),0)),0),0,1),
IF(G12=
ROUNDUP(
(INDEX(OP_TotalRates_RES_1[[Ausnet]:[United Energy]],MATCH("TOU - supply",OP_TotalRates_RES_1[Rate name],0),MATCH(G$10,OP_TotalRates_RES_1[[#Headers],[Ausnet]:[United Energy]],0))*DiLY)+
(INDEX(OP_TotalRates_RES_1[[Ausnet]:[United Energy]],MATCH("Peak",OP_TotalRates_RES_1[Rate name],0),MATCH(G$10,OP_TotalRates_RES_1[[#Headers],[Ausnet]:[United Energy]],0))*
INDEX(Input_Usage[],MATCH($D12&amp;" - Peak",Input_Usage[Profile name]&amp;" - "&amp;Input_Usage[Usage type],0),MATCH($D$21,Inputs!$C$140:$Q$140,0)))+
IFERROR((INDEX(OP_TotalRates_RES_1[[Ausnet]:[United Energy]],MATCH("TOU - Shoulder",OP_TotalRates_RES_1[Rate name],0),MATCH(G$10,OP_TotalRates_RES_1[[#Headers],[Ausnet]:[United Energy]],0))*
INDEX(Input_Usage[],MATCH($D12&amp;" - Shoulder",Input_Usage[Profile name]&amp;" - "&amp;Input_Usage[Usage type],0),MATCH($D$21,Inputs!$C$140:$Q$140,0))),0)+
(INDEX(OP_TotalRates_RES_1[[Ausnet]:[United Energy]],MATCH("Off peak",OP_TotalRates_RES_1[Rate name],0),MATCH(G$10,OP_TotalRates_RES_1[[#Headers],[Ausnet]:[United Energy]],0))*
INDEX(Input_Usage[],MATCH($D12&amp;" - Off peak",Input_Usage[Profile name]&amp;" - "&amp;Input_Usage[Usage type],0),MATCH($D$21,Inputs!$C$140:$Q$140,0))),0),0,1))</f>
        <v>0</v>
      </c>
      <c r="H16" s="84" cm="1">
        <f t="array" ref="H16">IF($D$21="VDO 2021 - Final",
IF(H12=
ROUNDUP(
(INDEX(OP_TotalRates_RES_1[[Ausnet]:[United Energy]],MATCH("Anytime - supply",OP_TotalRates_RES_1[Rate name],0),MATCH(H$10,OP_TotalRates_RES_1[[#Headers],[Ausnet]:[United Energy]],0))*DiLY)+
(IFERROR((INDEX(OP_TotalRates_RES_1[[Ausnet]:[United Energy]],MATCH("Block 1",OP_TotalRates_RES_1[Rate name],0),MATCH(H$10,OP_TotalRates_RES_1[[#Headers],[Ausnet]:[United Energy]],0))*
INDEX(Input_Usage[],MATCH($D12&amp;" - Block 1",Input_Usage[Ref],0),MATCH($D$21,Inputs!$C$140:$Q$140,0))),0)+
IFERROR((INDEX(OP_TotalRates_RES_1[[Ausnet]:[United Energy]],MATCH("Balance",OP_TotalRates_RES_1[Rate name],0),MATCH(H$10,OP_TotalRates_RES_1[[#Headers],[Ausnet]:[United Energy]],0))*
INDEX(Input_Usage[],MATCH($D12&amp;" - Balance",Input_Usage[Ref],0),MATCH($D$21,Inputs!$C$140:$Q$140,0))),0)+
IFERROR((INDEX(OP_TotalRates_RES_1[[Ausnet]:[United Energy]],MATCH("Single rate",OP_TotalRates_RES_1[Rate name],0),MATCH(H$10,OP_TotalRates_RES_1[[#Headers],[Ausnet]:[United Energy]],0))*
INDEX(Input_Usage[],MATCH($D12&amp;" - Annual",Input_Usage[Ref],0),MATCH($D$21,Inputs!$C$140:$Q$140,0))),0)),0),0,1),
IF(H12=
ROUNDUP(
(INDEX(OP_TotalRates_RES_1[[Ausnet]:[United Energy]],MATCH("TOU - supply",OP_TotalRates_RES_1[Rate name],0),MATCH(H$10,OP_TotalRates_RES_1[[#Headers],[Ausnet]:[United Energy]],0))*DiLY)+
(INDEX(OP_TotalRates_RES_1[[Ausnet]:[United Energy]],MATCH("Peak",OP_TotalRates_RES_1[Rate name],0),MATCH(H$10,OP_TotalRates_RES_1[[#Headers],[Ausnet]:[United Energy]],0))*
INDEX(Input_Usage[],MATCH($D12&amp;" - Peak",Input_Usage[Profile name]&amp;" - "&amp;Input_Usage[Usage type],0),MATCH($D$21,Inputs!$C$140:$Q$140,0)))+
IFERROR((INDEX(OP_TotalRates_RES_1[[Ausnet]:[United Energy]],MATCH("TOU - Shoulder",OP_TotalRates_RES_1[Rate name],0),MATCH(H$10,OP_TotalRates_RES_1[[#Headers],[Ausnet]:[United Energy]],0))*
INDEX(Input_Usage[],MATCH($D12&amp;" - Shoulder",Input_Usage[Profile name]&amp;" - "&amp;Input_Usage[Usage type],0),MATCH($D$21,Inputs!$C$140:$Q$140,0))),0)+
(INDEX(OP_TotalRates_RES_1[[Ausnet]:[United Energy]],MATCH("Off peak",OP_TotalRates_RES_1[Rate name],0),MATCH(H$10,OP_TotalRates_RES_1[[#Headers],[Ausnet]:[United Energy]],0))*
INDEX(Input_Usage[],MATCH($D12&amp;" - Off peak",Input_Usage[Profile name]&amp;" - "&amp;Input_Usage[Usage type],0),MATCH($D$21,Inputs!$C$140:$Q$140,0))),0),0,1))</f>
        <v>0</v>
      </c>
      <c r="I16" s="84" cm="1">
        <f t="array" ref="I16">IF($D$21="VDO 2021 - Final",
IF(I12=
ROUNDUP(
(INDEX(OP_TotalRates_RES_1[[Ausnet]:[United Energy]],MATCH("Anytime - supply",OP_TotalRates_RES_1[Rate name],0),MATCH(I$10,OP_TotalRates_RES_1[[#Headers],[Ausnet]:[United Energy]],0))*DiLY)+
(IFERROR((INDEX(OP_TotalRates_RES_1[[Ausnet]:[United Energy]],MATCH("Block 1",OP_TotalRates_RES_1[Rate name],0),MATCH(I$10,OP_TotalRates_RES_1[[#Headers],[Ausnet]:[United Energy]],0))*
INDEX(Input_Usage[],MATCH($D12&amp;" - Block 1",Input_Usage[Ref],0),MATCH($D$21,Inputs!$C$140:$Q$140,0))),0)+
IFERROR((INDEX(OP_TotalRates_RES_1[[Ausnet]:[United Energy]],MATCH("Balance",OP_TotalRates_RES_1[Rate name],0),MATCH(I$10,OP_TotalRates_RES_1[[#Headers],[Ausnet]:[United Energy]],0))*
INDEX(Input_Usage[],MATCH($D12&amp;" - Balance",Input_Usage[Ref],0),MATCH($D$21,Inputs!$C$140:$Q$140,0))),0)+
IFERROR((INDEX(OP_TotalRates_RES_1[[Ausnet]:[United Energy]],MATCH("Single rate",OP_TotalRates_RES_1[Rate name],0),MATCH(I$10,OP_TotalRates_RES_1[[#Headers],[Ausnet]:[United Energy]],0))*
INDEX(Input_Usage[],MATCH($D12&amp;" - Annual",Input_Usage[Ref],0),MATCH($D$21,Inputs!$C$140:$Q$140,0))),0)),0),0,1),
IF(I12=
ROUNDUP(
(INDEX(OP_TotalRates_RES_1[[Ausnet]:[United Energy]],MATCH("TOU - supply",OP_TotalRates_RES_1[Rate name],0),MATCH(I$10,OP_TotalRates_RES_1[[#Headers],[Ausnet]:[United Energy]],0))*DiLY)+
(INDEX(OP_TotalRates_RES_1[[Ausnet]:[United Energy]],MATCH("Peak",OP_TotalRates_RES_1[Rate name],0),MATCH(I$10,OP_TotalRates_RES_1[[#Headers],[Ausnet]:[United Energy]],0))*
INDEX(Input_Usage[],MATCH($D12&amp;" - Peak",Input_Usage[Profile name]&amp;" - "&amp;Input_Usage[Usage type],0),MATCH($D$21,Inputs!$C$140:$Q$140,0)))+
IFERROR((INDEX(OP_TotalRates_RES_1[[Ausnet]:[United Energy]],MATCH("TOU - Shoulder",OP_TotalRates_RES_1[Rate name],0),MATCH(I$10,OP_TotalRates_RES_1[[#Headers],[Ausnet]:[United Energy]],0))*
INDEX(Input_Usage[],MATCH($D12&amp;" - Shoulder",Input_Usage[Profile name]&amp;" - "&amp;Input_Usage[Usage type],0),MATCH($D$21,Inputs!$C$140:$Q$140,0))),0)+
(INDEX(OP_TotalRates_RES_1[[Ausnet]:[United Energy]],MATCH("Off peak",OP_TotalRates_RES_1[Rate name],0),MATCH(I$10,OP_TotalRates_RES_1[[#Headers],[Ausnet]:[United Energy]],0))*
INDEX(Input_Usage[],MATCH($D12&amp;" - Off peak",Input_Usage[Profile name]&amp;" - "&amp;Input_Usage[Usage type],0),MATCH($D$21,Inputs!$C$140:$Q$140,0))),0),0,1))</f>
        <v>0</v>
      </c>
      <c r="M16" s="84" cm="1">
        <f t="array" ref="M16">IF($D$21="VDO 2021 - Final",
IF(M12=
ROUNDUP(
(INDEX(OP_TotalRates_SME_1[[Ausnet]:[United Energy]],MATCH("Anytime - supply",OP_TotalRates_SME_1[Rate name],0),MATCH(M$24,OP_TotalRates_SME_1[[#Headers],[Ausnet]:[United Energy]],0))*DiLY)+
(IFERROR((INDEX(OP_TotalRates_SME_1[[Ausnet]:[United Energy]],MATCH("Block 1",OP_TotalRates_SME_1[Rate name],0),MATCH(M$24,OP_TotalRates_SME_1[[#Headers],[Ausnet]:[United Energy]],0))*
INDEX(Input_Usage[],MATCH($L12&amp;" - Block 1",Input_Usage[Profile name]&amp;" - "&amp;Input_Usage[Usage type],0),MATCH($D$21,Inputs!$C$140:$Q$140,0))),0)+
IFERROR((INDEX(OP_TotalRates_SME_1[[Ausnet]:[United Energy]],MATCH("Balance",OP_TotalRates_SME_1[Rate name],0),MATCH(M$24,OP_TotalRates_SME_1[[#Headers],[Ausnet]:[United Energy]],0))*
INDEX(Input_Usage[],MATCH($L12&amp;" - Balance",Input_Usage[Profile name]&amp;" - "&amp;Input_Usage[Usage type],0),MATCH($D$21,Inputs!$C$140:$Q$140,0))),0)+
IFERROR((INDEX(OP_TotalRates_SME_1[[Ausnet]:[United Energy]],MATCH("Single rate",OP_TotalRates_SME_1[Rate name],0),MATCH(M$24,OP_TotalRates_SME_1[[#Headers],[Ausnet]:[United Energy]],0))*
INDEX(Input_Usage[],MATCH($L12&amp;" - Annual",Input_Usage[Profile name]&amp;" - "&amp;Input_Usage[Usage type],0),MATCH($D$21,Inputs!$C$140:$Q$140,0))),0)),0),0,1),
IF(M12=
ROUNDUP(
(INDEX(OP_TotalRates_SME_1[[Ausnet]:[United Energy]],MATCH("TOU - supply",OP_TotalRates_SME_1[Rate name],0),MATCH(M$24,OP_TotalRates_SME_1[[#Headers],[Ausnet]:[United Energy]],0))*DiLY)+
(INDEX(OP_TotalRates_SME_1[[Ausnet]:[United Energy]],MATCH("Peak",OP_TotalRates_SME_1[Rate name],0),MATCH(M$24,OP_TotalRates_SME_1[[#Headers],[Ausnet]:[United Energy]],0))*
INDEX(Input_Usage[],MATCH($L12&amp;" - Peak",Input_Usage[Profile name]&amp;" - "&amp;Input_Usage[Usage type],0),MATCH($D$21,Inputs!$C$140:$Q$140,0)))+
IFERROR((INDEX(OP_TotalRates_SME_1[[Ausnet]:[United Energy]],MATCH("TOU - Shoulder",OP_TotalRates_SME_1[Rate name],0),MATCH(M$24,OP_TotalRates_SME_1[[#Headers],[Ausnet]:[United Energy]],0))*
INDEX(Input_Usage[],MATCH($L12&amp;" - Shoulder",Input_Usage[Profile name]&amp;" - "&amp;Input_Usage[Usage type],0),MATCH($D$21,Inputs!$C$140:$Q$140,0))),0)+
(INDEX(OP_TotalRates_SME_1[[Ausnet]:[United Energy]],MATCH("Off peak",OP_TotalRates_SME_1[Rate name],0),MATCH(M$24,OP_TotalRates_SME_1[[#Headers],[Ausnet]:[United Energy]],0))*
INDEX(Input_Usage[],MATCH($L12&amp;" - Off peak",Input_Usage[Profile name]&amp;" - "&amp;Input_Usage[Usage type],0),MATCH($D$21,Inputs!$C$140:$Q$140,0))),0),0,1))</f>
        <v>0</v>
      </c>
      <c r="N16" s="84" cm="1">
        <f t="array" ref="N16">IF($D$21="VDO 2021 - Final",
IF(N12=
ROUNDUP(
(INDEX(OP_TotalRates_SME_1[[Ausnet]:[United Energy]],MATCH("Anytime - supply",OP_TotalRates_SME_1[Rate name],0),MATCH(N$24,OP_TotalRates_SME_1[[#Headers],[Ausnet]:[United Energy]],0))*DiLY)+
(IFERROR((INDEX(OP_TotalRates_SME_1[[Ausnet]:[United Energy]],MATCH("Block 1",OP_TotalRates_SME_1[Rate name],0),MATCH(N$24,OP_TotalRates_SME_1[[#Headers],[Ausnet]:[United Energy]],0))*
INDEX(Input_Usage[],MATCH($L12&amp;" - Block 1",Input_Usage[Profile name]&amp;" - "&amp;Input_Usage[Usage type],0),MATCH($D$21,Inputs!$C$140:$Q$140,0))),0)+
IFERROR((INDEX(OP_TotalRates_SME_1[[Ausnet]:[United Energy]],MATCH("Balance",OP_TotalRates_SME_1[Rate name],0),MATCH(N$24,OP_TotalRates_SME_1[[#Headers],[Ausnet]:[United Energy]],0))*
INDEX(Input_Usage[],MATCH($L12&amp;" - Balance",Input_Usage[Profile name]&amp;" - "&amp;Input_Usage[Usage type],0),MATCH($D$21,Inputs!$C$140:$Q$140,0))),0)+
IFERROR((INDEX(OP_TotalRates_SME_1[[Ausnet]:[United Energy]],MATCH("Single rate",OP_TotalRates_SME_1[Rate name],0),MATCH(N$24,OP_TotalRates_SME_1[[#Headers],[Ausnet]:[United Energy]],0))*
INDEX(Input_Usage[],MATCH($L12&amp;" - Annual",Input_Usage[Profile name]&amp;" - "&amp;Input_Usage[Usage type],0),MATCH($D$21,Inputs!$C$140:$Q$140,0))),0)),0),0,1),
IF(N12=
ROUNDUP(
(INDEX(OP_TotalRates_SME_1[[Ausnet]:[United Energy]],MATCH("TOU - supply",OP_TotalRates_SME_1[Rate name],0),MATCH(N$24,OP_TotalRates_SME_1[[#Headers],[Ausnet]:[United Energy]],0))*DiLY)+
(INDEX(OP_TotalRates_SME_1[[Ausnet]:[United Energy]],MATCH("Peak",OP_TotalRates_SME_1[Rate name],0),MATCH(N$24,OP_TotalRates_SME_1[[#Headers],[Ausnet]:[United Energy]],0))*
INDEX(Input_Usage[],MATCH($L12&amp;" - Peak",Input_Usage[Profile name]&amp;" - "&amp;Input_Usage[Usage type],0),MATCH($D$21,Inputs!$C$140:$Q$140,0)))+
IFERROR((INDEX(OP_TotalRates_SME_1[[Ausnet]:[United Energy]],MATCH("TOU - Shoulder",OP_TotalRates_SME_1[Rate name],0),MATCH(N$24,OP_TotalRates_SME_1[[#Headers],[Ausnet]:[United Energy]],0))*
INDEX(Input_Usage[],MATCH($L12&amp;" - Shoulder",Input_Usage[Profile name]&amp;" - "&amp;Input_Usage[Usage type],0),MATCH($D$21,Inputs!$C$140:$Q$140,0))),0)+
(INDEX(OP_TotalRates_SME_1[[Ausnet]:[United Energy]],MATCH("Off peak",OP_TotalRates_SME_1[Rate name],0),MATCH(N$24,OP_TotalRates_SME_1[[#Headers],[Ausnet]:[United Energy]],0))*
INDEX(Input_Usage[],MATCH($L12&amp;" - Off peak",Input_Usage[Profile name]&amp;" - "&amp;Input_Usage[Usage type],0),MATCH($D$21,Inputs!$C$140:$Q$140,0))),0),0,1))</f>
        <v>0</v>
      </c>
      <c r="O16" s="84" cm="1">
        <f t="array" ref="O16">IF($D$21="VDO 2021 - Final",
IF(O12=
ROUNDUP(
(INDEX(OP_TotalRates_SME_1[[Ausnet]:[United Energy]],MATCH("Anytime - supply",OP_TotalRates_SME_1[Rate name],0),MATCH(O$24,OP_TotalRates_SME_1[[#Headers],[Ausnet]:[United Energy]],0))*DiLY)+
(IFERROR((INDEX(OP_TotalRates_SME_1[[Ausnet]:[United Energy]],MATCH("Block 1",OP_TotalRates_SME_1[Rate name],0),MATCH(O$24,OP_TotalRates_SME_1[[#Headers],[Ausnet]:[United Energy]],0))*
INDEX(Input_Usage[],MATCH($L12&amp;" - Block 1",Input_Usage[Profile name]&amp;" - "&amp;Input_Usage[Usage type],0),MATCH($D$21,Inputs!$C$140:$Q$140,0))),0)+
IFERROR((INDEX(OP_TotalRates_SME_1[[Ausnet]:[United Energy]],MATCH("Balance",OP_TotalRates_SME_1[Rate name],0),MATCH(O$24,OP_TotalRates_SME_1[[#Headers],[Ausnet]:[United Energy]],0))*
INDEX(Input_Usage[],MATCH($L12&amp;" - Balance",Input_Usage[Profile name]&amp;" - "&amp;Input_Usage[Usage type],0),MATCH($D$21,Inputs!$C$140:$Q$140,0))),0)+
IFERROR((INDEX(OP_TotalRates_SME_1[[Ausnet]:[United Energy]],MATCH("Single rate",OP_TotalRates_SME_1[Rate name],0),MATCH(O$24,OP_TotalRates_SME_1[[#Headers],[Ausnet]:[United Energy]],0))*
INDEX(Input_Usage[],MATCH($L12&amp;" - Annual",Input_Usage[Profile name]&amp;" - "&amp;Input_Usage[Usage type],0),MATCH($D$21,Inputs!$C$140:$Q$140,0))),0)),0),0,1),
IF(O12=
ROUNDUP(
(INDEX(OP_TotalRates_SME_1[[Ausnet]:[United Energy]],MATCH("TOU - supply",OP_TotalRates_SME_1[Rate name],0),MATCH(O$24,OP_TotalRates_SME_1[[#Headers],[Ausnet]:[United Energy]],0))*DiLY)+
(INDEX(OP_TotalRates_SME_1[[Ausnet]:[United Energy]],MATCH("Peak",OP_TotalRates_SME_1[Rate name],0),MATCH(O$24,OP_TotalRates_SME_1[[#Headers],[Ausnet]:[United Energy]],0))*
INDEX(Input_Usage[],MATCH($L12&amp;" - Peak",Input_Usage[Profile name]&amp;" - "&amp;Input_Usage[Usage type],0),MATCH($D$21,Inputs!$C$140:$Q$140,0)))+
IFERROR((INDEX(OP_TotalRates_SME_1[[Ausnet]:[United Energy]],MATCH("TOU - Shoulder",OP_TotalRates_SME_1[Rate name],0),MATCH(O$24,OP_TotalRates_SME_1[[#Headers],[Ausnet]:[United Energy]],0))*
INDEX(Input_Usage[],MATCH($L12&amp;" - Shoulder",Input_Usage[Profile name]&amp;" - "&amp;Input_Usage[Usage type],0),MATCH($D$21,Inputs!$C$140:$Q$140,0))),0)+
(INDEX(OP_TotalRates_SME_1[[Ausnet]:[United Energy]],MATCH("Off peak",OP_TotalRates_SME_1[Rate name],0),MATCH(O$24,OP_TotalRates_SME_1[[#Headers],[Ausnet]:[United Energy]],0))*
INDEX(Input_Usage[],MATCH($L12&amp;" - Off peak",Input_Usage[Profile name]&amp;" - "&amp;Input_Usage[Usage type],0),MATCH($D$21,Inputs!$C$140:$Q$140,0))),0),0,1))</f>
        <v>0</v>
      </c>
      <c r="P16" s="84" cm="1">
        <f t="array" ref="P16">IF($D$21="VDO 2021 - Final",
IF(P12=
ROUNDUP(
(INDEX(OP_TotalRates_SME_1[[Ausnet]:[United Energy]],MATCH("Anytime - supply",OP_TotalRates_SME_1[Rate name],0),MATCH(P$24,OP_TotalRates_SME_1[[#Headers],[Ausnet]:[United Energy]],0))*DiLY)+
(IFERROR((INDEX(OP_TotalRates_SME_1[[Ausnet]:[United Energy]],MATCH("Block 1",OP_TotalRates_SME_1[Rate name],0),MATCH(P$24,OP_TotalRates_SME_1[[#Headers],[Ausnet]:[United Energy]],0))*
INDEX(Input_Usage[],MATCH($L12&amp;" - Block 1",Input_Usage[Profile name]&amp;" - "&amp;Input_Usage[Usage type],0),MATCH($D$21,Inputs!$C$140:$Q$140,0))),0)+
IFERROR((INDEX(OP_TotalRates_SME_1[[Ausnet]:[United Energy]],MATCH("Balance",OP_TotalRates_SME_1[Rate name],0),MATCH(P$24,OP_TotalRates_SME_1[[#Headers],[Ausnet]:[United Energy]],0))*
INDEX(Input_Usage[],MATCH($L12&amp;" - Balance",Input_Usage[Profile name]&amp;" - "&amp;Input_Usage[Usage type],0),MATCH($D$21,Inputs!$C$140:$Q$140,0))),0)+
IFERROR((INDEX(OP_TotalRates_SME_1[[Ausnet]:[United Energy]],MATCH("Single rate",OP_TotalRates_SME_1[Rate name],0),MATCH(P$24,OP_TotalRates_SME_1[[#Headers],[Ausnet]:[United Energy]],0))*
INDEX(Input_Usage[],MATCH($L12&amp;" - Annual",Input_Usage[Profile name]&amp;" - "&amp;Input_Usage[Usage type],0),MATCH($D$21,Inputs!$C$140:$Q$140,0))),0)),0),0,1),
IF(P12=
ROUNDUP(
(INDEX(OP_TotalRates_SME_1[[Ausnet]:[United Energy]],MATCH("TOU - supply",OP_TotalRates_SME_1[Rate name],0),MATCH(P$24,OP_TotalRates_SME_1[[#Headers],[Ausnet]:[United Energy]],0))*DiLY)+
(INDEX(OP_TotalRates_SME_1[[Ausnet]:[United Energy]],MATCH("Peak",OP_TotalRates_SME_1[Rate name],0),MATCH(P$24,OP_TotalRates_SME_1[[#Headers],[Ausnet]:[United Energy]],0))*
INDEX(Input_Usage[],MATCH($L12&amp;" - Peak",Input_Usage[Profile name]&amp;" - "&amp;Input_Usage[Usage type],0),MATCH($D$21,Inputs!$C$140:$Q$140,0)))+
IFERROR((INDEX(OP_TotalRates_SME_1[[Ausnet]:[United Energy]],MATCH("TOU - Shoulder",OP_TotalRates_SME_1[Rate name],0),MATCH(P$24,OP_TotalRates_SME_1[[#Headers],[Ausnet]:[United Energy]],0))*
INDEX(Input_Usage[],MATCH($L12&amp;" - Shoulder",Input_Usage[Profile name]&amp;" - "&amp;Input_Usage[Usage type],0),MATCH($D$21,Inputs!$C$140:$Q$140,0))),0)+
(INDEX(OP_TotalRates_SME_1[[Ausnet]:[United Energy]],MATCH("Off peak",OP_TotalRates_SME_1[Rate name],0),MATCH(P$24,OP_TotalRates_SME_1[[#Headers],[Ausnet]:[United Energy]],0))*
INDEX(Input_Usage[],MATCH($L12&amp;" - Off peak",Input_Usage[Profile name]&amp;" - "&amp;Input_Usage[Usage type],0),MATCH($D$21,Inputs!$C$140:$Q$140,0))),0),0,1))</f>
        <v>0</v>
      </c>
      <c r="Q16" s="84" cm="1">
        <f t="array" ref="Q16">IF($D$21="VDO 2021 - Final",
IF(Q12=
ROUNDUP(
(INDEX(OP_TotalRates_SME_1[[Ausnet]:[United Energy]],MATCH("Anytime - supply",OP_TotalRates_SME_1[Rate name],0),MATCH(Q$24,OP_TotalRates_SME_1[[#Headers],[Ausnet]:[United Energy]],0))*DiLY)+
(IFERROR((INDEX(OP_TotalRates_SME_1[[Ausnet]:[United Energy]],MATCH("Block 1",OP_TotalRates_SME_1[Rate name],0),MATCH(Q$24,OP_TotalRates_SME_1[[#Headers],[Ausnet]:[United Energy]],0))*
INDEX(Input_Usage[],MATCH($L12&amp;" - Block 1",Input_Usage[Profile name]&amp;" - "&amp;Input_Usage[Usage type],0),MATCH($D$21,Inputs!$C$140:$Q$140,0))),0)+
IFERROR((INDEX(OP_TotalRates_SME_1[[Ausnet]:[United Energy]],MATCH("Balance",OP_TotalRates_SME_1[Rate name],0),MATCH(Q$24,OP_TotalRates_SME_1[[#Headers],[Ausnet]:[United Energy]],0))*
INDEX(Input_Usage[],MATCH($L12&amp;" - Balance",Input_Usage[Profile name]&amp;" - "&amp;Input_Usage[Usage type],0),MATCH($D$21,Inputs!$C$140:$Q$140,0))),0)+
IFERROR((INDEX(OP_TotalRates_SME_1[[Ausnet]:[United Energy]],MATCH("Single rate",OP_TotalRates_SME_1[Rate name],0),MATCH(Q$24,OP_TotalRates_SME_1[[#Headers],[Ausnet]:[United Energy]],0))*
INDEX(Input_Usage[],MATCH($L12&amp;" - Annual",Input_Usage[Profile name]&amp;" - "&amp;Input_Usage[Usage type],0),MATCH($D$21,Inputs!$C$140:$Q$140,0))),0)),0),0,1),
IF(Q12=
ROUNDUP(
(INDEX(OP_TotalRates_SME_1[[Ausnet]:[United Energy]],MATCH("TOU - supply",OP_TotalRates_SME_1[Rate name],0),MATCH(Q$24,OP_TotalRates_SME_1[[#Headers],[Ausnet]:[United Energy]],0))*DiLY)+
(INDEX(OP_TotalRates_SME_1[[Ausnet]:[United Energy]],MATCH("Peak",OP_TotalRates_SME_1[Rate name],0),MATCH(Q$24,OP_TotalRates_SME_1[[#Headers],[Ausnet]:[United Energy]],0))*
INDEX(Input_Usage[],MATCH($L12&amp;" - Peak",Input_Usage[Profile name]&amp;" - "&amp;Input_Usage[Usage type],0),MATCH($D$21,Inputs!$C$140:$Q$140,0)))+
IFERROR((INDEX(OP_TotalRates_SME_1[[Ausnet]:[United Energy]],MATCH("TOU - Shoulder",OP_TotalRates_SME_1[Rate name],0),MATCH(Q$24,OP_TotalRates_SME_1[[#Headers],[Ausnet]:[United Energy]],0))*
INDEX(Input_Usage[],MATCH($L12&amp;" - Shoulder",Input_Usage[Profile name]&amp;" - "&amp;Input_Usage[Usage type],0),MATCH($D$21,Inputs!$C$140:$Q$140,0))),0)+
(INDEX(OP_TotalRates_SME_1[[Ausnet]:[United Energy]],MATCH("Off peak",OP_TotalRates_SME_1[Rate name],0),MATCH(Q$24,OP_TotalRates_SME_1[[#Headers],[Ausnet]:[United Energy]],0))*
INDEX(Input_Usage[],MATCH($L12&amp;" - Off peak",Input_Usage[Profile name]&amp;" - "&amp;Input_Usage[Usage type],0),MATCH($D$21,Inputs!$C$140:$Q$140,0))),0),0,1))</f>
        <v>0</v>
      </c>
    </row>
    <row r="17" spans="1:18" ht="15.5" hidden="1">
      <c r="E17" s="84" cm="1">
        <f t="array" ref="E17">IF($D$21="VDO 2021 - Final",
IF(E13=
ROUNDUP(
(INDEX(OP_TotalRates_RES_1[[Ausnet]:[United Energy]],MATCH("Anytime - supply",OP_TotalRates_RES_1[Rate name],0),MATCH(E$10,OP_TotalRates_RES_1[[#Headers],[Ausnet]:[United Energy]],0))*DiLY)+
(IFERROR((INDEX(OP_TotalRates_RES_1[[Ausnet]:[United Energy]],MATCH("Block 1",OP_TotalRates_RES_1[Rate name],0),MATCH(E$10,OP_TotalRates_RES_1[[#Headers],[Ausnet]:[United Energy]],0))*
INDEX(Input_Usage[],MATCH($D13&amp;" - Block 1",Input_Usage[Ref],0),MATCH($D$21,Inputs!$C$140:$Q$140,0))),0)+
IFERROR((INDEX(OP_TotalRates_RES_1[[Ausnet]:[United Energy]],MATCH("Balance",OP_TotalRates_RES_1[Rate name],0),MATCH(E$10,OP_TotalRates_RES_1[[#Headers],[Ausnet]:[United Energy]],0))*
INDEX(Input_Usage[],MATCH($D13&amp;" - Balance",Input_Usage[Ref],0),MATCH($D$21,Inputs!$C$140:$Q$140,0))),0)+
IFERROR((INDEX(OP_TotalRates_RES_1[[Ausnet]:[United Energy]],MATCH("Single rate",OP_TotalRates_RES_1[Rate name],0),MATCH(E$10,OP_TotalRates_RES_1[[#Headers],[Ausnet]:[United Energy]],0))*
INDEX(Input_Usage[],MATCH($D13&amp;" - Annual",Input_Usage[Ref],0),MATCH($D$21,Inputs!$C$140:$Q$140,0))),0)),0),0,1),
IF(E13=
ROUNDUP(
(INDEX(OP_TotalRates_RES_1[[Ausnet]:[United Energy]],MATCH("TOU - supply",OP_TotalRates_RES_1[Rate name],0),MATCH(E$10,OP_TotalRates_RES_1[[#Headers],[Ausnet]:[United Energy]],0))*DiLY)+
(INDEX(OP_TotalRates_RES_1[[Ausnet]:[United Energy]],MATCH("Peak",OP_TotalRates_RES_1[Rate name],0),MATCH(E$10,OP_TotalRates_RES_1[[#Headers],[Ausnet]:[United Energy]],0))*
INDEX(Input_Usage[],MATCH($D13&amp;" - Peak",Input_Usage[Profile name]&amp;" - "&amp;Input_Usage[Usage type],0),MATCH($D$21,Inputs!$C$140:$Q$140,0)))+
IFERROR((INDEX(OP_TotalRates_RES_1[[Ausnet]:[United Energy]],MATCH("TOU - Shoulder",OP_TotalRates_RES_1[Rate name],0),MATCH(E$10,OP_TotalRates_RES_1[[#Headers],[Ausnet]:[United Energy]],0))*
INDEX(Input_Usage[],MATCH($D13&amp;" - Shoulder",Input_Usage[Profile name]&amp;" - "&amp;Input_Usage[Usage type],0),MATCH($D$21,Inputs!$C$140:$Q$140,0))),0)+
(INDEX(OP_TotalRates_RES_1[[Ausnet]:[United Energy]],MATCH("Off peak",OP_TotalRates_RES_1[Rate name],0),MATCH(E$10,OP_TotalRates_RES_1[[#Headers],[Ausnet]:[United Energy]],0))*
INDEX(Input_Usage[],MATCH($D13&amp;" - Off peak",Input_Usage[Profile name]&amp;" - "&amp;Input_Usage[Usage type],0),MATCH($D$21,Inputs!$C$140:$Q$140,0))),0),0,1))</f>
        <v>0</v>
      </c>
      <c r="F17" s="84" cm="1">
        <f t="array" ref="F17">IF($D$21="VDO 2021 - Final",
IF(F13=
ROUNDUP(
(INDEX(OP_TotalRates_RES_1[[Ausnet]:[United Energy]],MATCH("Anytime - supply",OP_TotalRates_RES_1[Rate name],0),MATCH(F$10,OP_TotalRates_RES_1[[#Headers],[Ausnet]:[United Energy]],0))*DiLY)+
(IFERROR((INDEX(OP_TotalRates_RES_1[[Ausnet]:[United Energy]],MATCH("Block 1",OP_TotalRates_RES_1[Rate name],0),MATCH(F$10,OP_TotalRates_RES_1[[#Headers],[Ausnet]:[United Energy]],0))*
INDEX(Input_Usage[],MATCH($D13&amp;" - Block 1",Input_Usage[Ref],0),MATCH($D$21,Inputs!$C$140:$Q$140,0))),0)+
IFERROR((INDEX(OP_TotalRates_RES_1[[Ausnet]:[United Energy]],MATCH("Balance",OP_TotalRates_RES_1[Rate name],0),MATCH(F$10,OP_TotalRates_RES_1[[#Headers],[Ausnet]:[United Energy]],0))*
INDEX(Input_Usage[],MATCH($D13&amp;" - Balance",Input_Usage[Ref],0),MATCH($D$21,Inputs!$C$140:$Q$140,0))),0)+
IFERROR((INDEX(OP_TotalRates_RES_1[[Ausnet]:[United Energy]],MATCH("Single rate",OP_TotalRates_RES_1[Rate name],0),MATCH(F$10,OP_TotalRates_RES_1[[#Headers],[Ausnet]:[United Energy]],0))*
INDEX(Input_Usage[],MATCH($D13&amp;" - Annual",Input_Usage[Ref],0),MATCH($D$21,Inputs!$C$140:$Q$140,0))),0)),0),0,1),
IF(F13=
ROUNDUP(
(INDEX(OP_TotalRates_RES_1[[Ausnet]:[United Energy]],MATCH("TOU - supply",OP_TotalRates_RES_1[Rate name],0),MATCH(F$10,OP_TotalRates_RES_1[[#Headers],[Ausnet]:[United Energy]],0))*DiLY)+
(INDEX(OP_TotalRates_RES_1[[Ausnet]:[United Energy]],MATCH("Peak",OP_TotalRates_RES_1[Rate name],0),MATCH(F$10,OP_TotalRates_RES_1[[#Headers],[Ausnet]:[United Energy]],0))*
INDEX(Input_Usage[],MATCH($D13&amp;" - Peak",Input_Usage[Profile name]&amp;" - "&amp;Input_Usage[Usage type],0),MATCH($D$21,Inputs!$C$140:$Q$140,0)))+
IFERROR((INDEX(OP_TotalRates_RES_1[[Ausnet]:[United Energy]],MATCH("TOU - Shoulder",OP_TotalRates_RES_1[Rate name],0),MATCH(F$10,OP_TotalRates_RES_1[[#Headers],[Ausnet]:[United Energy]],0))*
INDEX(Input_Usage[],MATCH($D13&amp;" - Shoulder",Input_Usage[Profile name]&amp;" - "&amp;Input_Usage[Usage type],0),MATCH($D$21,Inputs!$C$140:$Q$140,0))),0)+
(INDEX(OP_TotalRates_RES_1[[Ausnet]:[United Energy]],MATCH("Off peak",OP_TotalRates_RES_1[Rate name],0),MATCH(F$10,OP_TotalRates_RES_1[[#Headers],[Ausnet]:[United Energy]],0))*
INDEX(Input_Usage[],MATCH($D13&amp;" - Off peak",Input_Usage[Profile name]&amp;" - "&amp;Input_Usage[Usage type],0),MATCH($D$21,Inputs!$C$140:$Q$140,0))),0),0,1))</f>
        <v>0</v>
      </c>
      <c r="G17" s="84" cm="1">
        <f t="array" ref="G17">IF($D$21="VDO 2021 - Final",
IF(G13=
ROUNDUP(
(INDEX(OP_TotalRates_RES_1[[Ausnet]:[United Energy]],MATCH("Anytime - supply",OP_TotalRates_RES_1[Rate name],0),MATCH(G$10,OP_TotalRates_RES_1[[#Headers],[Ausnet]:[United Energy]],0))*DiLY)+
(IFERROR((INDEX(OP_TotalRates_RES_1[[Ausnet]:[United Energy]],MATCH("Block 1",OP_TotalRates_RES_1[Rate name],0),MATCH(G$10,OP_TotalRates_RES_1[[#Headers],[Ausnet]:[United Energy]],0))*
INDEX(Input_Usage[],MATCH($D13&amp;" - Block 1",Input_Usage[Ref],0),MATCH($D$21,Inputs!$C$140:$Q$140,0))),0)+
IFERROR((INDEX(OP_TotalRates_RES_1[[Ausnet]:[United Energy]],MATCH("Balance",OP_TotalRates_RES_1[Rate name],0),MATCH(G$10,OP_TotalRates_RES_1[[#Headers],[Ausnet]:[United Energy]],0))*
INDEX(Input_Usage[],MATCH($D13&amp;" - Balance",Input_Usage[Ref],0),MATCH($D$21,Inputs!$C$140:$Q$140,0))),0)+
IFERROR((INDEX(OP_TotalRates_RES_1[[Ausnet]:[United Energy]],MATCH("Single rate",OP_TotalRates_RES_1[Rate name],0),MATCH(G$10,OP_TotalRates_RES_1[[#Headers],[Ausnet]:[United Energy]],0))*
INDEX(Input_Usage[],MATCH($D13&amp;" - Annual",Input_Usage[Ref],0),MATCH($D$21,Inputs!$C$140:$Q$140,0))),0)),0),0,1),
IF(G13=
ROUNDUP(
(INDEX(OP_TotalRates_RES_1[[Ausnet]:[United Energy]],MATCH("TOU - supply",OP_TotalRates_RES_1[Rate name],0),MATCH(G$10,OP_TotalRates_RES_1[[#Headers],[Ausnet]:[United Energy]],0))*DiLY)+
(INDEX(OP_TotalRates_RES_1[[Ausnet]:[United Energy]],MATCH("Peak",OP_TotalRates_RES_1[Rate name],0),MATCH(G$10,OP_TotalRates_RES_1[[#Headers],[Ausnet]:[United Energy]],0))*
INDEX(Input_Usage[],MATCH($D13&amp;" - Peak",Input_Usage[Profile name]&amp;" - "&amp;Input_Usage[Usage type],0),MATCH($D$21,Inputs!$C$140:$Q$140,0)))+
IFERROR((INDEX(OP_TotalRates_RES_1[[Ausnet]:[United Energy]],MATCH("TOU - Shoulder",OP_TotalRates_RES_1[Rate name],0),MATCH(G$10,OP_TotalRates_RES_1[[#Headers],[Ausnet]:[United Energy]],0))*
INDEX(Input_Usage[],MATCH($D13&amp;" - Shoulder",Input_Usage[Profile name]&amp;" - "&amp;Input_Usage[Usage type],0),MATCH($D$21,Inputs!$C$140:$Q$140,0))),0)+
(INDEX(OP_TotalRates_RES_1[[Ausnet]:[United Energy]],MATCH("Off peak",OP_TotalRates_RES_1[Rate name],0),MATCH(G$10,OP_TotalRates_RES_1[[#Headers],[Ausnet]:[United Energy]],0))*
INDEX(Input_Usage[],MATCH($D13&amp;" - Off peak",Input_Usage[Profile name]&amp;" - "&amp;Input_Usage[Usage type],0),MATCH($D$21,Inputs!$C$140:$Q$140,0))),0),0,1))</f>
        <v>0</v>
      </c>
      <c r="H17" s="84" cm="1">
        <f t="array" ref="H17">IF($D$21="VDO 2021 - Final",
IF(H13=
ROUNDUP(
(INDEX(OP_TotalRates_RES_1[[Ausnet]:[United Energy]],MATCH("Anytime - supply",OP_TotalRates_RES_1[Rate name],0),MATCH(H$10,OP_TotalRates_RES_1[[#Headers],[Ausnet]:[United Energy]],0))*DiLY)+
(IFERROR((INDEX(OP_TotalRates_RES_1[[Ausnet]:[United Energy]],MATCH("Block 1",OP_TotalRates_RES_1[Rate name],0),MATCH(H$10,OP_TotalRates_RES_1[[#Headers],[Ausnet]:[United Energy]],0))*
INDEX(Input_Usage[],MATCH($D13&amp;" - Block 1",Input_Usage[Ref],0),MATCH($D$21,Inputs!$C$140:$Q$140,0))),0)+
IFERROR((INDEX(OP_TotalRates_RES_1[[Ausnet]:[United Energy]],MATCH("Balance",OP_TotalRates_RES_1[Rate name],0),MATCH(H$10,OP_TotalRates_RES_1[[#Headers],[Ausnet]:[United Energy]],0))*
INDEX(Input_Usage[],MATCH($D13&amp;" - Balance",Input_Usage[Ref],0),MATCH($D$21,Inputs!$C$140:$Q$140,0))),0)+
IFERROR((INDEX(OP_TotalRates_RES_1[[Ausnet]:[United Energy]],MATCH("Single rate",OP_TotalRates_RES_1[Rate name],0),MATCH(H$10,OP_TotalRates_RES_1[[#Headers],[Ausnet]:[United Energy]],0))*
INDEX(Input_Usage[],MATCH($D13&amp;" - Annual",Input_Usage[Ref],0),MATCH($D$21,Inputs!$C$140:$Q$140,0))),0)),0),0,1),
IF(H13=
ROUNDUP(
(INDEX(OP_TotalRates_RES_1[[Ausnet]:[United Energy]],MATCH("TOU - supply",OP_TotalRates_RES_1[Rate name],0),MATCH(H$10,OP_TotalRates_RES_1[[#Headers],[Ausnet]:[United Energy]],0))*DiLY)+
(INDEX(OP_TotalRates_RES_1[[Ausnet]:[United Energy]],MATCH("Peak",OP_TotalRates_RES_1[Rate name],0),MATCH(H$10,OP_TotalRates_RES_1[[#Headers],[Ausnet]:[United Energy]],0))*
INDEX(Input_Usage[],MATCH($D13&amp;" - Peak",Input_Usage[Profile name]&amp;" - "&amp;Input_Usage[Usage type],0),MATCH($D$21,Inputs!$C$140:$Q$140,0)))+
IFERROR((INDEX(OP_TotalRates_RES_1[[Ausnet]:[United Energy]],MATCH("TOU - Shoulder",OP_TotalRates_RES_1[Rate name],0),MATCH(H$10,OP_TotalRates_RES_1[[#Headers],[Ausnet]:[United Energy]],0))*
INDEX(Input_Usage[],MATCH($D13&amp;" - Shoulder",Input_Usage[Profile name]&amp;" - "&amp;Input_Usage[Usage type],0),MATCH($D$21,Inputs!$C$140:$Q$140,0))),0)+
(INDEX(OP_TotalRates_RES_1[[Ausnet]:[United Energy]],MATCH("Off peak",OP_TotalRates_RES_1[Rate name],0),MATCH(H$10,OP_TotalRates_RES_1[[#Headers],[Ausnet]:[United Energy]],0))*
INDEX(Input_Usage[],MATCH($D13&amp;" - Off peak",Input_Usage[Profile name]&amp;" - "&amp;Input_Usage[Usage type],0),MATCH($D$21,Inputs!$C$140:$Q$140,0))),0),0,1))</f>
        <v>0</v>
      </c>
      <c r="I17" s="84" cm="1">
        <f t="array" ref="I17">IF($D$21="VDO 2021 - Final",
IF(I13=
ROUNDUP(
(INDEX(OP_TotalRates_RES_1[[Ausnet]:[United Energy]],MATCH("Anytime - supply",OP_TotalRates_RES_1[Rate name],0),MATCH(I$10,OP_TotalRates_RES_1[[#Headers],[Ausnet]:[United Energy]],0))*DiLY)+
(IFERROR((INDEX(OP_TotalRates_RES_1[[Ausnet]:[United Energy]],MATCH("Block 1",OP_TotalRates_RES_1[Rate name],0),MATCH(I$10,OP_TotalRates_RES_1[[#Headers],[Ausnet]:[United Energy]],0))*
INDEX(Input_Usage[],MATCH($D13&amp;" - Block 1",Input_Usage[Ref],0),MATCH($D$21,Inputs!$C$140:$Q$140,0))),0)+
IFERROR((INDEX(OP_TotalRates_RES_1[[Ausnet]:[United Energy]],MATCH("Balance",OP_TotalRates_RES_1[Rate name],0),MATCH(I$10,OP_TotalRates_RES_1[[#Headers],[Ausnet]:[United Energy]],0))*
INDEX(Input_Usage[],MATCH($D13&amp;" - Balance",Input_Usage[Ref],0),MATCH($D$21,Inputs!$C$140:$Q$140,0))),0)+
IFERROR((INDEX(OP_TotalRates_RES_1[[Ausnet]:[United Energy]],MATCH("Single rate",OP_TotalRates_RES_1[Rate name],0),MATCH(I$10,OP_TotalRates_RES_1[[#Headers],[Ausnet]:[United Energy]],0))*
INDEX(Input_Usage[],MATCH($D13&amp;" - Annual",Input_Usage[Ref],0),MATCH($D$21,Inputs!$C$140:$Q$140,0))),0)),0),0,1),
IF(I13=
ROUNDUP(
(INDEX(OP_TotalRates_RES_1[[Ausnet]:[United Energy]],MATCH("TOU - supply",OP_TotalRates_RES_1[Rate name],0),MATCH(I$10,OP_TotalRates_RES_1[[#Headers],[Ausnet]:[United Energy]],0))*DiLY)+
(INDEX(OP_TotalRates_RES_1[[Ausnet]:[United Energy]],MATCH("Peak",OP_TotalRates_RES_1[Rate name],0),MATCH(I$10,OP_TotalRates_RES_1[[#Headers],[Ausnet]:[United Energy]],0))*
INDEX(Input_Usage[],MATCH($D13&amp;" - Peak",Input_Usage[Profile name]&amp;" - "&amp;Input_Usage[Usage type],0),MATCH($D$21,Inputs!$C$140:$Q$140,0)))+
IFERROR((INDEX(OP_TotalRates_RES_1[[Ausnet]:[United Energy]],MATCH("TOU - Shoulder",OP_TotalRates_RES_1[Rate name],0),MATCH(I$10,OP_TotalRates_RES_1[[#Headers],[Ausnet]:[United Energy]],0))*
INDEX(Input_Usage[],MATCH($D13&amp;" - Shoulder",Input_Usage[Profile name]&amp;" - "&amp;Input_Usage[Usage type],0),MATCH($D$21,Inputs!$C$140:$Q$140,0))),0)+
(INDEX(OP_TotalRates_RES_1[[Ausnet]:[United Energy]],MATCH("Off peak",OP_TotalRates_RES_1[Rate name],0),MATCH(I$10,OP_TotalRates_RES_1[[#Headers],[Ausnet]:[United Energy]],0))*
INDEX(Input_Usage[],MATCH($D13&amp;" - Off peak",Input_Usage[Profile name]&amp;" - "&amp;Input_Usage[Usage type],0),MATCH($D$21,Inputs!$C$140:$Q$140,0))),0),0,1))</f>
        <v>0</v>
      </c>
      <c r="M17" s="84" cm="1">
        <f t="array" ref="M17">IF($D$21="VDO 2021 - Final",
IF(M13=
ROUNDUP(
(INDEX(OP_TotalRates_SME_1[[Ausnet]:[United Energy]],MATCH("Anytime - supply",OP_TotalRates_SME_1[Rate name],0),MATCH(M$24,OP_TotalRates_SME_1[[#Headers],[Ausnet]:[United Energy]],0))*DiLY)+
(IFERROR((INDEX(OP_TotalRates_SME_1[[Ausnet]:[United Energy]],MATCH("Block 1",OP_TotalRates_SME_1[Rate name],0),MATCH(M$24,OP_TotalRates_SME_1[[#Headers],[Ausnet]:[United Energy]],0))*
INDEX(Input_Usage[],MATCH($L13&amp;" - Block 1",Input_Usage[Profile name]&amp;" - "&amp;Input_Usage[Usage type],0),MATCH($D$21,Inputs!$C$140:$Q$140,0))),0)+
IFERROR((INDEX(OP_TotalRates_SME_1[[Ausnet]:[United Energy]],MATCH("Balance",OP_TotalRates_SME_1[Rate name],0),MATCH(M$24,OP_TotalRates_SME_1[[#Headers],[Ausnet]:[United Energy]],0))*
INDEX(Input_Usage[],MATCH($L13&amp;" - Balance",Input_Usage[Profile name]&amp;" - "&amp;Input_Usage[Usage type],0),MATCH($D$21,Inputs!$C$140:$Q$140,0))),0)+
IFERROR((INDEX(OP_TotalRates_SME_1[[Ausnet]:[United Energy]],MATCH("Single rate",OP_TotalRates_SME_1[Rate name],0),MATCH(M$24,OP_TotalRates_SME_1[[#Headers],[Ausnet]:[United Energy]],0))*
INDEX(Input_Usage[],MATCH($L13&amp;" - Annual",Input_Usage[Profile name]&amp;" - "&amp;Input_Usage[Usage type],0),MATCH($D$21,Inputs!$C$140:$Q$140,0))),0)),0),0,1),
IF(M13=
ROUNDUP(
(INDEX(OP_TotalRates_SME_1[[Ausnet]:[United Energy]],MATCH("TOU - supply",OP_TotalRates_SME_1[Rate name],0),MATCH(M$24,OP_TotalRates_SME_1[[#Headers],[Ausnet]:[United Energy]],0))*DiLY)+
(INDEX(OP_TotalRates_SME_1[[Ausnet]:[United Energy]],MATCH("Peak",OP_TotalRates_SME_1[Rate name],0),MATCH(M$24,OP_TotalRates_SME_1[[#Headers],[Ausnet]:[United Energy]],0))*
INDEX(Input_Usage[],MATCH($L13&amp;" - Peak",Input_Usage[Profile name]&amp;" - "&amp;Input_Usage[Usage type],0),MATCH($D$21,Inputs!$C$140:$Q$140,0)))+
IFERROR((INDEX(OP_TotalRates_SME_1[[Ausnet]:[United Energy]],MATCH("TOU - Shoulder",OP_TotalRates_SME_1[Rate name],0),MATCH(M$24,OP_TotalRates_SME_1[[#Headers],[Ausnet]:[United Energy]],0))*
INDEX(Input_Usage[],MATCH($L13&amp;" - Shoulder",Input_Usage[Profile name]&amp;" - "&amp;Input_Usage[Usage type],0),MATCH($D$21,Inputs!$C$140:$Q$140,0))),0)+
(INDEX(OP_TotalRates_SME_1[[Ausnet]:[United Energy]],MATCH("Off peak",OP_TotalRates_SME_1[Rate name],0),MATCH(M$24,OP_TotalRates_SME_1[[#Headers],[Ausnet]:[United Energy]],0))*
INDEX(Input_Usage[],MATCH($L13&amp;" - Off peak",Input_Usage[Profile name]&amp;" - "&amp;Input_Usage[Usage type],0),MATCH($D$21,Inputs!$C$140:$Q$140,0))),0),0,1))</f>
        <v>0</v>
      </c>
      <c r="N17" s="84" cm="1">
        <f t="array" ref="N17">IF($D$21="VDO 2021 - Final",
IF(N13=
ROUNDUP(
(INDEX(OP_TotalRates_SME_1[[Ausnet]:[United Energy]],MATCH("Anytime - supply",OP_TotalRates_SME_1[Rate name],0),MATCH(N$24,OP_TotalRates_SME_1[[#Headers],[Ausnet]:[United Energy]],0))*DiLY)+
(IFERROR((INDEX(OP_TotalRates_SME_1[[Ausnet]:[United Energy]],MATCH("Block 1",OP_TotalRates_SME_1[Rate name],0),MATCH(N$24,OP_TotalRates_SME_1[[#Headers],[Ausnet]:[United Energy]],0))*
INDEX(Input_Usage[],MATCH($L13&amp;" - Block 1",Input_Usage[Profile name]&amp;" - "&amp;Input_Usage[Usage type],0),MATCH($D$21,Inputs!$C$140:$Q$140,0))),0)+
IFERROR((INDEX(OP_TotalRates_SME_1[[Ausnet]:[United Energy]],MATCH("Balance",OP_TotalRates_SME_1[Rate name],0),MATCH(N$24,OP_TotalRates_SME_1[[#Headers],[Ausnet]:[United Energy]],0))*
INDEX(Input_Usage[],MATCH($L13&amp;" - Balance",Input_Usage[Profile name]&amp;" - "&amp;Input_Usage[Usage type],0),MATCH($D$21,Inputs!$C$140:$Q$140,0))),0)+
IFERROR((INDEX(OP_TotalRates_SME_1[[Ausnet]:[United Energy]],MATCH("Single rate",OP_TotalRates_SME_1[Rate name],0),MATCH(N$24,OP_TotalRates_SME_1[[#Headers],[Ausnet]:[United Energy]],0))*
INDEX(Input_Usage[],MATCH($L13&amp;" - Annual",Input_Usage[Profile name]&amp;" - "&amp;Input_Usage[Usage type],0),MATCH($D$21,Inputs!$C$140:$Q$140,0))),0)),0),0,1),
IF(N13=
ROUNDUP(
(INDEX(OP_TotalRates_SME_1[[Ausnet]:[United Energy]],MATCH("TOU - supply",OP_TotalRates_SME_1[Rate name],0),MATCH(N$24,OP_TotalRates_SME_1[[#Headers],[Ausnet]:[United Energy]],0))*DiLY)+
(INDEX(OP_TotalRates_SME_1[[Ausnet]:[United Energy]],MATCH("Peak",OP_TotalRates_SME_1[Rate name],0),MATCH(N$24,OP_TotalRates_SME_1[[#Headers],[Ausnet]:[United Energy]],0))*
INDEX(Input_Usage[],MATCH($L13&amp;" - Peak",Input_Usage[Profile name]&amp;" - "&amp;Input_Usage[Usage type],0),MATCH($D$21,Inputs!$C$140:$Q$140,0)))+
IFERROR((INDEX(OP_TotalRates_SME_1[[Ausnet]:[United Energy]],MATCH("TOU - Shoulder",OP_TotalRates_SME_1[Rate name],0),MATCH(N$24,OP_TotalRates_SME_1[[#Headers],[Ausnet]:[United Energy]],0))*
INDEX(Input_Usage[],MATCH($L13&amp;" - Shoulder",Input_Usage[Profile name]&amp;" - "&amp;Input_Usage[Usage type],0),MATCH($D$21,Inputs!$C$140:$Q$140,0))),0)+
(INDEX(OP_TotalRates_SME_1[[Ausnet]:[United Energy]],MATCH("Off peak",OP_TotalRates_SME_1[Rate name],0),MATCH(N$24,OP_TotalRates_SME_1[[#Headers],[Ausnet]:[United Energy]],0))*
INDEX(Input_Usage[],MATCH($L13&amp;" - Off peak",Input_Usage[Profile name]&amp;" - "&amp;Input_Usage[Usage type],0),MATCH($D$21,Inputs!$C$140:$Q$140,0))),0),0,1))</f>
        <v>0</v>
      </c>
      <c r="O17" s="84" cm="1">
        <f t="array" ref="O17">IF($D$21="VDO 2021 - Final",
IF(O13=
ROUNDUP(
(INDEX(OP_TotalRates_SME_1[[Ausnet]:[United Energy]],MATCH("Anytime - supply",OP_TotalRates_SME_1[Rate name],0),MATCH(O$24,OP_TotalRates_SME_1[[#Headers],[Ausnet]:[United Energy]],0))*DiLY)+
(IFERROR((INDEX(OP_TotalRates_SME_1[[Ausnet]:[United Energy]],MATCH("Block 1",OP_TotalRates_SME_1[Rate name],0),MATCH(O$24,OP_TotalRates_SME_1[[#Headers],[Ausnet]:[United Energy]],0))*
INDEX(Input_Usage[],MATCH($L13&amp;" - Block 1",Input_Usage[Profile name]&amp;" - "&amp;Input_Usage[Usage type],0),MATCH($D$21,Inputs!$C$140:$Q$140,0))),0)+
IFERROR((INDEX(OP_TotalRates_SME_1[[Ausnet]:[United Energy]],MATCH("Balance",OP_TotalRates_SME_1[Rate name],0),MATCH(O$24,OP_TotalRates_SME_1[[#Headers],[Ausnet]:[United Energy]],0))*
INDEX(Input_Usage[],MATCH($L13&amp;" - Balance",Input_Usage[Profile name]&amp;" - "&amp;Input_Usage[Usage type],0),MATCH($D$21,Inputs!$C$140:$Q$140,0))),0)+
IFERROR((INDEX(OP_TotalRates_SME_1[[Ausnet]:[United Energy]],MATCH("Single rate",OP_TotalRates_SME_1[Rate name],0),MATCH(O$24,OP_TotalRates_SME_1[[#Headers],[Ausnet]:[United Energy]],0))*
INDEX(Input_Usage[],MATCH($L13&amp;" - Annual",Input_Usage[Profile name]&amp;" - "&amp;Input_Usage[Usage type],0),MATCH($D$21,Inputs!$C$140:$Q$140,0))),0)),0),0,1),
IF(O13=
ROUNDUP(
(INDEX(OP_TotalRates_SME_1[[Ausnet]:[United Energy]],MATCH("TOU - supply",OP_TotalRates_SME_1[Rate name],0),MATCH(O$24,OP_TotalRates_SME_1[[#Headers],[Ausnet]:[United Energy]],0))*DiLY)+
(INDEX(OP_TotalRates_SME_1[[Ausnet]:[United Energy]],MATCH("Peak",OP_TotalRates_SME_1[Rate name],0),MATCH(O$24,OP_TotalRates_SME_1[[#Headers],[Ausnet]:[United Energy]],0))*
INDEX(Input_Usage[],MATCH($L13&amp;" - Peak",Input_Usage[Profile name]&amp;" - "&amp;Input_Usage[Usage type],0),MATCH($D$21,Inputs!$C$140:$Q$140,0)))+
IFERROR((INDEX(OP_TotalRates_SME_1[[Ausnet]:[United Energy]],MATCH("TOU - Shoulder",OP_TotalRates_SME_1[Rate name],0),MATCH(O$24,OP_TotalRates_SME_1[[#Headers],[Ausnet]:[United Energy]],0))*
INDEX(Input_Usage[],MATCH($L13&amp;" - Shoulder",Input_Usage[Profile name]&amp;" - "&amp;Input_Usage[Usage type],0),MATCH($D$21,Inputs!$C$140:$Q$140,0))),0)+
(INDEX(OP_TotalRates_SME_1[[Ausnet]:[United Energy]],MATCH("Off peak",OP_TotalRates_SME_1[Rate name],0),MATCH(O$24,OP_TotalRates_SME_1[[#Headers],[Ausnet]:[United Energy]],0))*
INDEX(Input_Usage[],MATCH($L13&amp;" - Off peak",Input_Usage[Profile name]&amp;" - "&amp;Input_Usage[Usage type],0),MATCH($D$21,Inputs!$C$140:$Q$140,0))),0),0,1))</f>
        <v>0</v>
      </c>
      <c r="P17" s="84" cm="1">
        <f t="array" ref="P17">IF($D$21="VDO 2021 - Final",
IF(P13=
ROUNDUP(
(INDEX(OP_TotalRates_SME_1[[Ausnet]:[United Energy]],MATCH("Anytime - supply",OP_TotalRates_SME_1[Rate name],0),MATCH(P$24,OP_TotalRates_SME_1[[#Headers],[Ausnet]:[United Energy]],0))*DiLY)+
(IFERROR((INDEX(OP_TotalRates_SME_1[[Ausnet]:[United Energy]],MATCH("Block 1",OP_TotalRates_SME_1[Rate name],0),MATCH(P$24,OP_TotalRates_SME_1[[#Headers],[Ausnet]:[United Energy]],0))*
INDEX(Input_Usage[],MATCH($L13&amp;" - Block 1",Input_Usage[Profile name]&amp;" - "&amp;Input_Usage[Usage type],0),MATCH($D$21,Inputs!$C$140:$Q$140,0))),0)+
IFERROR((INDEX(OP_TotalRates_SME_1[[Ausnet]:[United Energy]],MATCH("Balance",OP_TotalRates_SME_1[Rate name],0),MATCH(P$24,OP_TotalRates_SME_1[[#Headers],[Ausnet]:[United Energy]],0))*
INDEX(Input_Usage[],MATCH($L13&amp;" - Balance",Input_Usage[Profile name]&amp;" - "&amp;Input_Usage[Usage type],0),MATCH($D$21,Inputs!$C$140:$Q$140,0))),0)+
IFERROR((INDEX(OP_TotalRates_SME_1[[Ausnet]:[United Energy]],MATCH("Single rate",OP_TotalRates_SME_1[Rate name],0),MATCH(P$24,OP_TotalRates_SME_1[[#Headers],[Ausnet]:[United Energy]],0))*
INDEX(Input_Usage[],MATCH($L13&amp;" - Annual",Input_Usage[Profile name]&amp;" - "&amp;Input_Usage[Usage type],0),MATCH($D$21,Inputs!$C$140:$Q$140,0))),0)),0),0,1),
IF(P13=
ROUNDUP(
(INDEX(OP_TotalRates_SME_1[[Ausnet]:[United Energy]],MATCH("TOU - supply",OP_TotalRates_SME_1[Rate name],0),MATCH(P$24,OP_TotalRates_SME_1[[#Headers],[Ausnet]:[United Energy]],0))*DiLY)+
(INDEX(OP_TotalRates_SME_1[[Ausnet]:[United Energy]],MATCH("Peak",OP_TotalRates_SME_1[Rate name],0),MATCH(P$24,OP_TotalRates_SME_1[[#Headers],[Ausnet]:[United Energy]],0))*
INDEX(Input_Usage[],MATCH($L13&amp;" - Peak",Input_Usage[Profile name]&amp;" - "&amp;Input_Usage[Usage type],0),MATCH($D$21,Inputs!$C$140:$Q$140,0)))+
IFERROR((INDEX(OP_TotalRates_SME_1[[Ausnet]:[United Energy]],MATCH("TOU - Shoulder",OP_TotalRates_SME_1[Rate name],0),MATCH(P$24,OP_TotalRates_SME_1[[#Headers],[Ausnet]:[United Energy]],0))*
INDEX(Input_Usage[],MATCH($L13&amp;" - Shoulder",Input_Usage[Profile name]&amp;" - "&amp;Input_Usage[Usage type],0),MATCH($D$21,Inputs!$C$140:$Q$140,0))),0)+
(INDEX(OP_TotalRates_SME_1[[Ausnet]:[United Energy]],MATCH("Off peak",OP_TotalRates_SME_1[Rate name],0),MATCH(P$24,OP_TotalRates_SME_1[[#Headers],[Ausnet]:[United Energy]],0))*
INDEX(Input_Usage[],MATCH($L13&amp;" - Off peak",Input_Usage[Profile name]&amp;" - "&amp;Input_Usage[Usage type],0),MATCH($D$21,Inputs!$C$140:$Q$140,0))),0),0,1))</f>
        <v>0</v>
      </c>
      <c r="Q17" s="84" cm="1">
        <f t="array" ref="Q17">IF($D$21="VDO 2021 - Final",
IF(Q13=
ROUNDUP(
(INDEX(OP_TotalRates_SME_1[[Ausnet]:[United Energy]],MATCH("Anytime - supply",OP_TotalRates_SME_1[Rate name],0),MATCH(Q$24,OP_TotalRates_SME_1[[#Headers],[Ausnet]:[United Energy]],0))*DiLY)+
(IFERROR((INDEX(OP_TotalRates_SME_1[[Ausnet]:[United Energy]],MATCH("Block 1",OP_TotalRates_SME_1[Rate name],0),MATCH(Q$24,OP_TotalRates_SME_1[[#Headers],[Ausnet]:[United Energy]],0))*
INDEX(Input_Usage[],MATCH($L13&amp;" - Block 1",Input_Usage[Profile name]&amp;" - "&amp;Input_Usage[Usage type],0),MATCH($D$21,Inputs!$C$140:$Q$140,0))),0)+
IFERROR((INDEX(OP_TotalRates_SME_1[[Ausnet]:[United Energy]],MATCH("Balance",OP_TotalRates_SME_1[Rate name],0),MATCH(Q$24,OP_TotalRates_SME_1[[#Headers],[Ausnet]:[United Energy]],0))*
INDEX(Input_Usage[],MATCH($L13&amp;" - Balance",Input_Usage[Profile name]&amp;" - "&amp;Input_Usage[Usage type],0),MATCH($D$21,Inputs!$C$140:$Q$140,0))),0)+
IFERROR((INDEX(OP_TotalRates_SME_1[[Ausnet]:[United Energy]],MATCH("Single rate",OP_TotalRates_SME_1[Rate name],0),MATCH(Q$24,OP_TotalRates_SME_1[[#Headers],[Ausnet]:[United Energy]],0))*
INDEX(Input_Usage[],MATCH($L13&amp;" - Annual",Input_Usage[Profile name]&amp;" - "&amp;Input_Usage[Usage type],0),MATCH($D$21,Inputs!$C$140:$Q$140,0))),0)),0),0,1),
IF(Q13=
ROUNDUP(
(INDEX(OP_TotalRates_SME_1[[Ausnet]:[United Energy]],MATCH("TOU - supply",OP_TotalRates_SME_1[Rate name],0),MATCH(Q$24,OP_TotalRates_SME_1[[#Headers],[Ausnet]:[United Energy]],0))*DiLY)+
(INDEX(OP_TotalRates_SME_1[[Ausnet]:[United Energy]],MATCH("Peak",OP_TotalRates_SME_1[Rate name],0),MATCH(Q$24,OP_TotalRates_SME_1[[#Headers],[Ausnet]:[United Energy]],0))*
INDEX(Input_Usage[],MATCH($L13&amp;" - Peak",Input_Usage[Profile name]&amp;" - "&amp;Input_Usage[Usage type],0),MATCH($D$21,Inputs!$C$140:$Q$140,0)))+
IFERROR((INDEX(OP_TotalRates_SME_1[[Ausnet]:[United Energy]],MATCH("TOU - Shoulder",OP_TotalRates_SME_1[Rate name],0),MATCH(Q$24,OP_TotalRates_SME_1[[#Headers],[Ausnet]:[United Energy]],0))*
INDEX(Input_Usage[],MATCH($L13&amp;" - Shoulder",Input_Usage[Profile name]&amp;" - "&amp;Input_Usage[Usage type],0),MATCH($D$21,Inputs!$C$140:$Q$140,0))),0)+
(INDEX(OP_TotalRates_SME_1[[Ausnet]:[United Energy]],MATCH("Off peak",OP_TotalRates_SME_1[Rate name],0),MATCH(Q$24,OP_TotalRates_SME_1[[#Headers],[Ausnet]:[United Energy]],0))*
INDEX(Input_Usage[],MATCH($L13&amp;" - Off peak",Input_Usage[Profile name]&amp;" - "&amp;Input_Usage[Usage type],0),MATCH($D$21,Inputs!$C$140:$Q$140,0))),0),0,1))</f>
        <v>0</v>
      </c>
    </row>
    <row r="18" spans="1:18">
      <c r="E18" s="8"/>
      <c r="F18" s="8"/>
      <c r="G18" s="8"/>
      <c r="H18" s="8"/>
      <c r="I18" s="8"/>
    </row>
    <row r="19" spans="1:18" ht="16" thickBot="1">
      <c r="A19" s="1" t="s">
        <v>18</v>
      </c>
      <c r="B19" s="216">
        <f ca="1">MAX(B$3:B18)+0.01</f>
        <v>6.02</v>
      </c>
      <c r="C19" s="25" t="str">
        <f>"CMAB amounts - "&amp;Calc_Rates!$D$266</f>
        <v>CMAB amounts - VDO 2022-23 - Final</v>
      </c>
      <c r="D19" s="25"/>
      <c r="E19" s="25"/>
      <c r="F19" s="25"/>
      <c r="G19" s="25"/>
      <c r="H19" s="25"/>
      <c r="I19" s="25"/>
      <c r="J19" s="25"/>
      <c r="K19" s="25"/>
      <c r="L19" s="25"/>
      <c r="M19" s="25"/>
      <c r="N19" s="25"/>
      <c r="O19" s="25"/>
      <c r="P19" s="25"/>
      <c r="Q19" s="25"/>
      <c r="R19" s="25"/>
    </row>
    <row r="21" spans="1:18" ht="15.5">
      <c r="C21" s="49" t="s">
        <v>31</v>
      </c>
      <c r="D21" s="37" t="str">
        <f>Calc_Rates!$D$266</f>
        <v>VDO 2022-23 - Final</v>
      </c>
    </row>
    <row r="23" spans="1:18" ht="15.5">
      <c r="C23" s="26" t="s">
        <v>65</v>
      </c>
      <c r="K23" s="26" t="s">
        <v>66</v>
      </c>
    </row>
    <row r="24" spans="1:18" ht="15.5">
      <c r="C24" s="39" t="s">
        <v>57</v>
      </c>
      <c r="D24" s="39" t="s">
        <v>165</v>
      </c>
      <c r="E24" s="54" t="s">
        <v>58</v>
      </c>
      <c r="F24" s="54" t="s">
        <v>59</v>
      </c>
      <c r="G24" s="54" t="s">
        <v>60</v>
      </c>
      <c r="H24" s="54" t="s">
        <v>61</v>
      </c>
      <c r="I24" s="54" t="s">
        <v>62</v>
      </c>
      <c r="K24" s="39" t="s">
        <v>57</v>
      </c>
      <c r="L24" s="39" t="s">
        <v>165</v>
      </c>
      <c r="M24" s="54" t="s">
        <v>58</v>
      </c>
      <c r="N24" s="54" t="s">
        <v>59</v>
      </c>
      <c r="O24" s="54" t="s">
        <v>60</v>
      </c>
      <c r="P24" s="54" t="s">
        <v>61</v>
      </c>
      <c r="Q24" s="54" t="s">
        <v>62</v>
      </c>
    </row>
    <row r="25" spans="1:18" hidden="1">
      <c r="C25" s="20" t="s">
        <v>65</v>
      </c>
      <c r="D25" s="20" t="s">
        <v>166</v>
      </c>
      <c r="E25" s="99">
        <f>IFERROR(
IF($D$7="VDO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INDEX(Input_Usage[],MATCH($D25&amp;" - Block 1",Input_Usage[[Ref]:[Ref]],0),MATCH($D$7,Inputs!$C$140:$Q$140,0))),0)+
IFERROR((INDEX(OP_TotalRates_RES_2[[Ausnet]:[United Energy]],MATCH("Balance",OP_TotalRates_RES_2[[Rate name]:[Rate name]],0),MATCH(E$24,OP_TotalRates_RES_2[[#Headers],[Ausnet]:[United Energy]],0))*
INDEX(Input_Usage[],MATCH($D25&amp;" - Balance",Input_Usage[[Ref]:[Ref]],0),MATCH($D$7,Inputs!$C$140:$Q$140,0))),0)+
IFERROR((INDEX(OP_TotalRates_RES_2[[Ausnet]:[United Energy]],MATCH("Single rate",OP_TotalRates_RES_2[[Rate name]:[Rate name]],0),MATCH(E$24,OP_TotalRates_RES_2[[#Headers],[Ausnet]:[United Energy]],0))*
INDEX(Input_Usage[],MATCH($D25&amp;" - Annual",Input_Usage[[Ref]:[Ref]],0),MATCH($D$7,Inputs!$C$140:$Q$140,0))),0)),0),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INDEX(Input_Usage[],MATCH($D25&amp;" - Peak",Input_Usage[[Ref]:[Ref]],0),MATCH($D$7,Inputs!$C$140:$Q$140,0)))+
IFERROR((INDEX(OP_TotalRates_RES_2[[Ausnet]:[United Energy]],MATCH("TOU - Shoulder",OP_TotalRates_RES_2[[Rate name]:[Rate name]],0),MATCH(E$24,OP_TotalRates_RES_2[[#Headers],[Ausnet]:[United Energy]],0))*
INDEX(Input_Usage[],MATCH($D25&amp;" - Shoulder",Input_Usage[[Ref]:[Ref]],0),MATCH($D$7,Inputs!$C$140:$Q$140,0))),0)+
(INDEX(OP_TotalRates_RES_2[[Ausnet]:[United Energy]],MATCH("Off peak",OP_TotalRates_RES_2[[Rate name]:[Rate name]],0),MATCH(E$24,OP_TotalRates_RES_2[[#Headers],[Ausnet]:[United Energy]],0))*
INDEX(Input_Usage[],MATCH($D25&amp;" - Off peak",Input_Usage[[Ref]:[Ref]],0),MATCH($D$7,Inputs!$C$140:$Q$140,0))),0)),"-")</f>
        <v>1007</v>
      </c>
      <c r="F25" s="99">
        <f>IFERROR(
IF($D$7="VDO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INDEX(Input_Usage[],MATCH($D25&amp;" - Block 1",Input_Usage[[Ref]:[Ref]],0),MATCH($D$7,Inputs!$C$140:$Q$140,0))),0)+
IFERROR((INDEX(OP_TotalRates_RES_2[[Ausnet]:[United Energy]],MATCH("Balance",OP_TotalRates_RES_2[[Rate name]:[Rate name]],0),MATCH(F$24,OP_TotalRates_RES_2[[#Headers],[Ausnet]:[United Energy]],0))*
INDEX(Input_Usage[],MATCH($D25&amp;" - Balance",Input_Usage[[Ref]:[Ref]],0),MATCH($D$7,Inputs!$C$140:$Q$140,0))),0)+
IFERROR((INDEX(OP_TotalRates_RES_2[[Ausnet]:[United Energy]],MATCH("Single rate",OP_TotalRates_RES_2[[Rate name]:[Rate name]],0),MATCH(F$24,OP_TotalRates_RES_2[[#Headers],[Ausnet]:[United Energy]],0))*
INDEX(Input_Usage[],MATCH($D25&amp;" - Annual",Input_Usage[[Ref]:[Ref]],0),MATCH($D$7,Inputs!$C$140:$Q$140,0))),0)),0),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INDEX(Input_Usage[],MATCH($D25&amp;" - Peak",Input_Usage[[Ref]:[Ref]],0),MATCH($D$7,Inputs!$C$140:$Q$140,0)))+
IFERROR((INDEX(OP_TotalRates_RES_2[[Ausnet]:[United Energy]],MATCH("TOU - Shoulder",OP_TotalRates_RES_2[[Rate name]:[Rate name]],0),MATCH(F$24,OP_TotalRates_RES_2[[#Headers],[Ausnet]:[United Energy]],0))*
INDEX(Input_Usage[],MATCH($D25&amp;" - Shoulder",Input_Usage[[Ref]:[Ref]],0),MATCH($D$7,Inputs!$C$140:$Q$140,0))),0)+
(INDEX(OP_TotalRates_RES_2[[Ausnet]:[United Energy]],MATCH("Off peak",OP_TotalRates_RES_2[[Rate name]:[Rate name]],0),MATCH(F$24,OP_TotalRates_RES_2[[#Headers],[Ausnet]:[United Energy]],0))*
INDEX(Input_Usage[],MATCH($D25&amp;" - Off peak",Input_Usage[[Ref]:[Ref]],0),MATCH($D$7,Inputs!$C$140:$Q$140,0))),0)),"-")</f>
        <v>857</v>
      </c>
      <c r="G25" s="99">
        <f>IFERROR(
IF($D$7="VDO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INDEX(Input_Usage[],MATCH($D25&amp;" - Block 1",Input_Usage[[Ref]:[Ref]],0),MATCH($D$7,Inputs!$C$140:$Q$140,0))),0)+
IFERROR((INDEX(OP_TotalRates_RES_2[[Ausnet]:[United Energy]],MATCH("Balance",OP_TotalRates_RES_2[[Rate name]:[Rate name]],0),MATCH(G$24,OP_TotalRates_RES_2[[#Headers],[Ausnet]:[United Energy]],0))*
INDEX(Input_Usage[],MATCH($D25&amp;" - Balance",Input_Usage[[Ref]:[Ref]],0),MATCH($D$7,Inputs!$C$140:$Q$140,0))),0)+
IFERROR((INDEX(OP_TotalRates_RES_2[[Ausnet]:[United Energy]],MATCH("Single rate",OP_TotalRates_RES_2[[Rate name]:[Rate name]],0),MATCH(G$24,OP_TotalRates_RES_2[[#Headers],[Ausnet]:[United Energy]],0))*
INDEX(Input_Usage[],MATCH($D25&amp;" - Annual",Input_Usage[[Ref]:[Ref]],0),MATCH($D$7,Inputs!$C$140:$Q$140,0))),0)),0),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INDEX(Input_Usage[],MATCH($D25&amp;" - Peak",Input_Usage[[Ref]:[Ref]],0),MATCH($D$7,Inputs!$C$140:$Q$140,0)))+
IFERROR((INDEX(OP_TotalRates_RES_2[[Ausnet]:[United Energy]],MATCH("TOU - Shoulder",OP_TotalRates_RES_2[[Rate name]:[Rate name]],0),MATCH(G$24,OP_TotalRates_RES_2[[#Headers],[Ausnet]:[United Energy]],0))*
INDEX(Input_Usage[],MATCH($D25&amp;" - Shoulder",Input_Usage[[Ref]:[Ref]],0),MATCH($D$7,Inputs!$C$140:$Q$140,0))),0)+
(INDEX(OP_TotalRates_RES_2[[Ausnet]:[United Energy]],MATCH("Off peak",OP_TotalRates_RES_2[[Rate name]:[Rate name]],0),MATCH(G$24,OP_TotalRates_RES_2[[#Headers],[Ausnet]:[United Energy]],0))*
INDEX(Input_Usage[],MATCH($D25&amp;" - Off peak",Input_Usage[[Ref]:[Ref]],0),MATCH($D$7,Inputs!$C$140:$Q$140,0))),0)),"-")</f>
        <v>863</v>
      </c>
      <c r="H25" s="99">
        <f>IFERROR(
IF($D$7="VDO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INDEX(Input_Usage[],MATCH($D25&amp;" - Block 1",Input_Usage[[Ref]:[Ref]],0),MATCH($D$7,Inputs!$C$140:$Q$140,0))),0)+
IFERROR((INDEX(OP_TotalRates_RES_2[[Ausnet]:[United Energy]],MATCH("Balance",OP_TotalRates_RES_2[[Rate name]:[Rate name]],0),MATCH(H$24,OP_TotalRates_RES_2[[#Headers],[Ausnet]:[United Energy]],0))*
INDEX(Input_Usage[],MATCH($D25&amp;" - Balance",Input_Usage[[Ref]:[Ref]],0),MATCH($D$7,Inputs!$C$140:$Q$140,0))),0)+
IFERROR((INDEX(OP_TotalRates_RES_2[[Ausnet]:[United Energy]],MATCH("Single rate",OP_TotalRates_RES_2[[Rate name]:[Rate name]],0),MATCH(H$24,OP_TotalRates_RES_2[[#Headers],[Ausnet]:[United Energy]],0))*
INDEX(Input_Usage[],MATCH($D25&amp;" - Annual",Input_Usage[[Ref]:[Ref]],0),MATCH($D$7,Inputs!$C$140:$Q$140,0))),0)),0),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INDEX(Input_Usage[],MATCH($D25&amp;" - Peak",Input_Usage[[Ref]:[Ref]],0),MATCH($D$7,Inputs!$C$140:$Q$140,0)))+
IFERROR((INDEX(OP_TotalRates_RES_2[[Ausnet]:[United Energy]],MATCH("TOU - Shoulder",OP_TotalRates_RES_2[[Rate name]:[Rate name]],0),MATCH(H$24,OP_TotalRates_RES_2[[#Headers],[Ausnet]:[United Energy]],0))*
INDEX(Input_Usage[],MATCH($D25&amp;" - Shoulder",Input_Usage[[Ref]:[Ref]],0),MATCH($D$7,Inputs!$C$140:$Q$140,0))),0)+
(INDEX(OP_TotalRates_RES_2[[Ausnet]:[United Energy]],MATCH("Off peak",OP_TotalRates_RES_2[[Rate name]:[Rate name]],0),MATCH(H$24,OP_TotalRates_RES_2[[#Headers],[Ausnet]:[United Energy]],0))*
INDEX(Input_Usage[],MATCH($D25&amp;" - Off peak",Input_Usage[[Ref]:[Ref]],0),MATCH($D$7,Inputs!$C$140:$Q$140,0))),0)),"-")</f>
        <v>943</v>
      </c>
      <c r="I25" s="99">
        <f>IFERROR(
IF($D$7="VDO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INDEX(Input_Usage[],MATCH($D25&amp;" - Block 1",Input_Usage[[Ref]:[Ref]],0),MATCH($D$7,Inputs!$C$140:$Q$140,0))),0)+
IFERROR((INDEX(OP_TotalRates_RES_2[[Ausnet]:[United Energy]],MATCH("Balance",OP_TotalRates_RES_2[[Rate name]:[Rate name]],0),MATCH(I$24,OP_TotalRates_RES_2[[#Headers],[Ausnet]:[United Energy]],0))*
INDEX(Input_Usage[],MATCH($D25&amp;" - Balance",Input_Usage[[Ref]:[Ref]],0),MATCH($D$7,Inputs!$C$140:$Q$140,0))),0)+
IFERROR((INDEX(OP_TotalRates_RES_2[[Ausnet]:[United Energy]],MATCH("Single rate",OP_TotalRates_RES_2[[Rate name]:[Rate name]],0),MATCH(I$24,OP_TotalRates_RES_2[[#Headers],[Ausnet]:[United Energy]],0))*
INDEX(Input_Usage[],MATCH($D25&amp;" - Annual",Input_Usage[[Ref]:[Ref]],0),MATCH($D$7,Inputs!$C$140:$Q$140,0))),0)),0),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INDEX(Input_Usage[],MATCH($D25&amp;" - Peak",Input_Usage[[Ref]:[Ref]],0),MATCH($D$7,Inputs!$C$140:$Q$140,0)))+
IFERROR((INDEX(OP_TotalRates_RES_2[[Ausnet]:[United Energy]],MATCH("TOU - Shoulder",OP_TotalRates_RES_2[[Rate name]:[Rate name]],0),MATCH(I$24,OP_TotalRates_RES_2[[#Headers],[Ausnet]:[United Energy]],0))*
INDEX(Input_Usage[],MATCH($D25&amp;" - Shoulder",Input_Usage[[Ref]:[Ref]],0),MATCH($D$7,Inputs!$C$140:$Q$140,0))),0)+
(INDEX(OP_TotalRates_RES_2[[Ausnet]:[United Energy]],MATCH("Off peak",OP_TotalRates_RES_2[[Rate name]:[Rate name]],0),MATCH(I$24,OP_TotalRates_RES_2[[#Headers],[Ausnet]:[United Energy]],0))*
INDEX(Input_Usage[],MATCH($D25&amp;" - Off peak",Input_Usage[[Ref]:[Ref]],0),MATCH($D$7,Inputs!$C$140:$Q$140,0))),0)),"-")</f>
        <v>853</v>
      </c>
      <c r="K25" s="20" t="s">
        <v>66</v>
      </c>
      <c r="L25" s="20" t="s">
        <v>167</v>
      </c>
      <c r="M25" s="99">
        <f>IFERROR(
IF($D$7="VDO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INDEX(Input_Usage[],MATCH($L25&amp;" - Block 1",Input_Usage[[Ref]:[Ref]],0),MATCH($D$7,Inputs!$C$140:$Q$140,0))),0)+
IFERROR((INDEX(OP_TotalRates_SME_2[[Ausnet]:[United Energy]],MATCH("Balance",OP_TotalRates_SME_2[[Rate name]:[Rate name]],0),MATCH(M$24,OP_TotalRates_SME_2[[#Headers],[Ausnet]:[United Energy]],0))*
INDEX(Input_Usage[],MATCH($L25&amp;" - Balance",Input_Usage[[Ref]:[Ref]],0),MATCH($D$7,Inputs!$C$140:$Q$140,0))),0)+
IFERROR((INDEX(OP_TotalRates_SME_2[[Ausnet]:[United Energy]],MATCH("Single rate",OP_TotalRates_SME_2[[Rate name]:[Rate name]],0),MATCH(M$24,OP_TotalRates_SME_2[[#Headers],[Ausnet]:[United Energy]],0))*
INDEX(Input_Usage[],MATCH($L25&amp;" - Annual",Input_Usage[[Ref]:[Ref]],0),MATCH($D$7,Inputs!$C$140:$Q$140,0))),0)),0),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INDEX(Input_Usage[],MATCH($L25&amp;" - Peak",Input_Usage[[Ref]:[Ref]],0),MATCH($D$7,Inputs!$C$140:$Q$140,0)))+
IFERROR((INDEX(OP_TotalRates_SME_2[[Ausnet]:[United Energy]],MATCH("TOU - Shoulder",OP_TotalRates_SME_2[[Rate name]:[Rate name]],0),MATCH(M$24,OP_TotalRates_SME_2[[#Headers],[Ausnet]:[United Energy]],0))*
INDEX(Input_Usage[],MATCH($L25&amp;" - Shoulder",Input_Usage[[Ref]:[Ref]],0),MATCH($D$7,Inputs!$C$140:$Q$140,0))),0)+
(INDEX(OP_TotalRates_SME_2[[Ausnet]:[United Energy]],MATCH("Off peak",OP_TotalRates_SME_2[[Rate name]:[Rate name]],0),MATCH(M$24,OP_TotalRates_SME_2[[#Headers],[Ausnet]:[United Energy]],0))*
INDEX(Input_Usage[],MATCH($L25&amp;" - Off peak",Input_Usage[[Ref]:[Ref]],0),MATCH($D$7,Inputs!$C$140:$Q$140,0))),0)),"-")</f>
        <v>3127</v>
      </c>
      <c r="N25" s="99">
        <f>IFERROR(
IF($D$7="VDO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INDEX(Input_Usage[],MATCH($L25&amp;" - Block 1",Input_Usage[[Ref]:[Ref]],0),MATCH($D$7,Inputs!$C$140:$Q$140,0))),0)+
IFERROR((INDEX(OP_TotalRates_SME_2[[Ausnet]:[United Energy]],MATCH("Balance",OP_TotalRates_SME_2[[Rate name]:[Rate name]],0),MATCH(N$24,OP_TotalRates_SME_2[[#Headers],[Ausnet]:[United Energy]],0))*
INDEX(Input_Usage[],MATCH($L25&amp;" - Balance",Input_Usage[[Ref]:[Ref]],0),MATCH($D$7,Inputs!$C$140:$Q$140,0))),0)+
IFERROR((INDEX(OP_TotalRates_SME_2[[Ausnet]:[United Energy]],MATCH("Single rate",OP_TotalRates_SME_2[[Rate name]:[Rate name]],0),MATCH(N$24,OP_TotalRates_SME_2[[#Headers],[Ausnet]:[United Energy]],0))*
INDEX(Input_Usage[],MATCH($L25&amp;" - Annual",Input_Usage[[Ref]:[Ref]],0),MATCH($D$7,Inputs!$C$140:$Q$140,0))),0)),0),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INDEX(Input_Usage[],MATCH($L25&amp;" - Peak",Input_Usage[[Ref]:[Ref]],0),MATCH($D$7,Inputs!$C$140:$Q$140,0)))+
IFERROR((INDEX(OP_TotalRates_SME_2[[Ausnet]:[United Energy]],MATCH("TOU - Shoulder",OP_TotalRates_SME_2[[Rate name]:[Rate name]],0),MATCH(N$24,OP_TotalRates_SME_2[[#Headers],[Ausnet]:[United Energy]],0))*
INDEX(Input_Usage[],MATCH($L25&amp;" - Shoulder",Input_Usage[[Ref]:[Ref]],0),MATCH($D$7,Inputs!$C$140:$Q$140,0))),0)+
(INDEX(OP_TotalRates_SME_2[[Ausnet]:[United Energy]],MATCH("Off peak",OP_TotalRates_SME_2[[Rate name]:[Rate name]],0),MATCH(N$24,OP_TotalRates_SME_2[[#Headers],[Ausnet]:[United Energy]],0))*
INDEX(Input_Usage[],MATCH($L25&amp;" - Off peak",Input_Usage[[Ref]:[Ref]],0),MATCH($D$7,Inputs!$C$140:$Q$140,0))),0)),"-")</f>
        <v>2674</v>
      </c>
      <c r="O25" s="99">
        <f>IFERROR(
IF($D$7="VDO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INDEX(Input_Usage[],MATCH($L25&amp;" - Block 1",Input_Usage[[Ref]:[Ref]],0),MATCH($D$7,Inputs!$C$140:$Q$140,0))),0)+
IFERROR((INDEX(OP_TotalRates_SME_2[[Ausnet]:[United Energy]],MATCH("Balance",OP_TotalRates_SME_2[[Rate name]:[Rate name]],0),MATCH(O$24,OP_TotalRates_SME_2[[#Headers],[Ausnet]:[United Energy]],0))*
INDEX(Input_Usage[],MATCH($L25&amp;" - Balance",Input_Usage[[Ref]:[Ref]],0),MATCH($D$7,Inputs!$C$140:$Q$140,0))),0)+
IFERROR((INDEX(OP_TotalRates_SME_2[[Ausnet]:[United Energy]],MATCH("Single rate",OP_TotalRates_SME_2[[Rate name]:[Rate name]],0),MATCH(O$24,OP_TotalRates_SME_2[[#Headers],[Ausnet]:[United Energy]],0))*
INDEX(Input_Usage[],MATCH($L25&amp;" - Annual",Input_Usage[[Ref]:[Ref]],0),MATCH($D$7,Inputs!$C$140:$Q$140,0))),0)),0),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INDEX(Input_Usage[],MATCH($L25&amp;" - Peak",Input_Usage[[Ref]:[Ref]],0),MATCH($D$7,Inputs!$C$140:$Q$140,0)))+
IFERROR((INDEX(OP_TotalRates_SME_2[[Ausnet]:[United Energy]],MATCH("TOU - Shoulder",OP_TotalRates_SME_2[[Rate name]:[Rate name]],0),MATCH(O$24,OP_TotalRates_SME_2[[#Headers],[Ausnet]:[United Energy]],0))*
INDEX(Input_Usage[],MATCH($L25&amp;" - Shoulder",Input_Usage[[Ref]:[Ref]],0),MATCH($D$7,Inputs!$C$140:$Q$140,0))),0)+
(INDEX(OP_TotalRates_SME_2[[Ausnet]:[United Energy]],MATCH("Off peak",OP_TotalRates_SME_2[[Rate name]:[Rate name]],0),MATCH(O$24,OP_TotalRates_SME_2[[#Headers],[Ausnet]:[United Energy]],0))*
INDEX(Input_Usage[],MATCH($L25&amp;" - Off peak",Input_Usage[[Ref]:[Ref]],0),MATCH($D$7,Inputs!$C$140:$Q$140,0))),0)),"-")</f>
        <v>2788</v>
      </c>
      <c r="P25" s="99">
        <f>IFERROR(
IF($D$7="VDO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INDEX(Input_Usage[],MATCH($L25&amp;" - Block 1",Input_Usage[[Ref]:[Ref]],0),MATCH($D$7,Inputs!$C$140:$Q$140,0))),0)+
IFERROR((INDEX(OP_TotalRates_SME_2[[Ausnet]:[United Energy]],MATCH("Balance",OP_TotalRates_SME_2[[Rate name]:[Rate name]],0),MATCH(P$24,OP_TotalRates_SME_2[[#Headers],[Ausnet]:[United Energy]],0))*
INDEX(Input_Usage[],MATCH($L25&amp;" - Balance",Input_Usage[[Ref]:[Ref]],0),MATCH($D$7,Inputs!$C$140:$Q$140,0))),0)+
IFERROR((INDEX(OP_TotalRates_SME_2[[Ausnet]:[United Energy]],MATCH("Single rate",OP_TotalRates_SME_2[[Rate name]:[Rate name]],0),MATCH(P$24,OP_TotalRates_SME_2[[#Headers],[Ausnet]:[United Energy]],0))*
INDEX(Input_Usage[],MATCH($L25&amp;" - Annual",Input_Usage[[Ref]:[Ref]],0),MATCH($D$7,Inputs!$C$140:$Q$140,0))),0)),0),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INDEX(Input_Usage[],MATCH($L25&amp;" - Peak",Input_Usage[[Ref]:[Ref]],0),MATCH($D$7,Inputs!$C$140:$Q$140,0)))+
IFERROR((INDEX(OP_TotalRates_SME_2[[Ausnet]:[United Energy]],MATCH("TOU - Shoulder",OP_TotalRates_SME_2[[Rate name]:[Rate name]],0),MATCH(P$24,OP_TotalRates_SME_2[[#Headers],[Ausnet]:[United Energy]],0))*
INDEX(Input_Usage[],MATCH($L25&amp;" - Shoulder",Input_Usage[[Ref]:[Ref]],0),MATCH($D$7,Inputs!$C$140:$Q$140,0))),0)+
(INDEX(OP_TotalRates_SME_2[[Ausnet]:[United Energy]],MATCH("Off peak",OP_TotalRates_SME_2[[Rate name]:[Rate name]],0),MATCH(P$24,OP_TotalRates_SME_2[[#Headers],[Ausnet]:[United Energy]],0))*
INDEX(Input_Usage[],MATCH($L25&amp;" - Off peak",Input_Usage[[Ref]:[Ref]],0),MATCH($D$7,Inputs!$C$140:$Q$140,0))),0)),"-")</f>
        <v>2914</v>
      </c>
      <c r="Q25" s="99">
        <f>IFERROR(
IF($D$7="VDO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INDEX(Input_Usage[],MATCH($L25&amp;" - Block 1",Input_Usage[[Ref]:[Ref]],0),MATCH($D$7,Inputs!$C$140:$Q$140,0))),0)+
IFERROR((INDEX(OP_TotalRates_SME_2[[Ausnet]:[United Energy]],MATCH("Balance",OP_TotalRates_SME_2[[Rate name]:[Rate name]],0),MATCH(Q$24,OP_TotalRates_SME_2[[#Headers],[Ausnet]:[United Energy]],0))*
INDEX(Input_Usage[],MATCH($L25&amp;" - Balance",Input_Usage[[Ref]:[Ref]],0),MATCH($D$7,Inputs!$C$140:$Q$140,0))),0)+
IFERROR((INDEX(OP_TotalRates_SME_2[[Ausnet]:[United Energy]],MATCH("Single rate",OP_TotalRates_SME_2[[Rate name]:[Rate name]],0),MATCH(Q$24,OP_TotalRates_SME_2[[#Headers],[Ausnet]:[United Energy]],0))*
INDEX(Input_Usage[],MATCH($L25&amp;" - Annual",Input_Usage[[Ref]:[Ref]],0),MATCH($D$7,Inputs!$C$140:$Q$140,0))),0)),0),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INDEX(Input_Usage[],MATCH($L25&amp;" - Peak",Input_Usage[[Ref]:[Ref]],0),MATCH($D$7,Inputs!$C$140:$Q$140,0)))+
IFERROR((INDEX(OP_TotalRates_SME_2[[Ausnet]:[United Energy]],MATCH("TOU - Shoulder",OP_TotalRates_SME_2[[Rate name]:[Rate name]],0),MATCH(Q$24,OP_TotalRates_SME_2[[#Headers],[Ausnet]:[United Energy]],0))*
INDEX(Input_Usage[],MATCH($L25&amp;" - Shoulder",Input_Usage[[Ref]:[Ref]],0),MATCH($D$7,Inputs!$C$140:$Q$140,0))),0)+
(INDEX(OP_TotalRates_SME_2[[Ausnet]:[United Energy]],MATCH("Off peak",OP_TotalRates_SME_2[[Rate name]:[Rate name]],0),MATCH(Q$24,OP_TotalRates_SME_2[[#Headers],[Ausnet]:[United Energy]],0))*
INDEX(Input_Usage[],MATCH($L25&amp;" - Off peak",Input_Usage[[Ref]:[Ref]],0),MATCH($D$7,Inputs!$C$140:$Q$140,0))),0)),"-")</f>
        <v>2712</v>
      </c>
    </row>
    <row r="26" spans="1:18">
      <c r="C26" s="20" t="s">
        <v>65</v>
      </c>
      <c r="D26" s="20" t="s">
        <v>168</v>
      </c>
      <c r="E26" s="99">
        <f>IFERROR(
IF($D$7="VDO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INDEX(Input_Usage[],MATCH($D26&amp;" - Block 1",Input_Usage[[Ref]:[Ref]],0),MATCH($D$7,Inputs!$C$140:$Q$140,0))),0)+
IFERROR((INDEX(OP_TotalRates_RES_2[[Ausnet]:[United Energy]],MATCH("Balance",OP_TotalRates_RES_2[[Rate name]:[Rate name]],0),MATCH(E$24,OP_TotalRates_RES_2[[#Headers],[Ausnet]:[United Energy]],0))*
INDEX(Input_Usage[],MATCH($D26&amp;" - Balance",Input_Usage[[Ref]:[Ref]],0),MATCH($D$7,Inputs!$C$140:$Q$140,0))),0)+
IFERROR((INDEX(OP_TotalRates_RES_2[[Ausnet]:[United Energy]],MATCH("Single rate",OP_TotalRates_RES_2[[Rate name]:[Rate name]],0),MATCH(E$24,OP_TotalRates_RES_2[[#Headers],[Ausnet]:[United Energy]],0))*
INDEX(Input_Usage[],MATCH($D26&amp;" - Annual",Input_Usage[[Ref]:[Ref]],0),MATCH($D$7,Inputs!$C$140:$Q$140,0))),0)),0),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INDEX(Input_Usage[],MATCH($D26&amp;" - Peak",Input_Usage[[Ref]:[Ref]],0),MATCH($D$7,Inputs!$C$140:$Q$140,0)))+
IFERROR((INDEX(OP_TotalRates_RES_2[[Ausnet]:[United Energy]],MATCH("TOU - Shoulder",OP_TotalRates_RES_2[[Rate name]:[Rate name]],0),MATCH(E$24,OP_TotalRates_RES_2[[#Headers],[Ausnet]:[United Energy]],0))*
INDEX(Input_Usage[],MATCH($D26&amp;" - Shoulder",Input_Usage[[Ref]:[Ref]],0),MATCH($D$7,Inputs!$C$140:$Q$140,0))),0)+
(INDEX(OP_TotalRates_RES_2[[Ausnet]:[United Energy]],MATCH("Off peak",OP_TotalRates_RES_2[[Rate name]:[Rate name]],0),MATCH(E$24,OP_TotalRates_RES_2[[#Headers],[Ausnet]:[United Energy]],0))*
INDEX(Input_Usage[],MATCH($D26&amp;" - Off peak",Input_Usage[[Ref]:[Ref]],0),MATCH($D$7,Inputs!$C$140:$Q$140,0))),0)),"-")</f>
        <v>1540</v>
      </c>
      <c r="F26" s="99">
        <f>IFERROR(
IF($D$7="VDO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INDEX(Input_Usage[],MATCH($D26&amp;" - Block 1",Input_Usage[[Ref]:[Ref]],0),MATCH($D$7,Inputs!$C$140:$Q$140,0))),0)+
IFERROR((INDEX(OP_TotalRates_RES_2[[Ausnet]:[United Energy]],MATCH("Balance",OP_TotalRates_RES_2[[Rate name]:[Rate name]],0),MATCH(F$24,OP_TotalRates_RES_2[[#Headers],[Ausnet]:[United Energy]],0))*
INDEX(Input_Usage[],MATCH($D26&amp;" - Balance",Input_Usage[[Ref]:[Ref]],0),MATCH($D$7,Inputs!$C$140:$Q$140,0))),0)+
IFERROR((INDEX(OP_TotalRates_RES_2[[Ausnet]:[United Energy]],MATCH("Single rate",OP_TotalRates_RES_2[[Rate name]:[Rate name]],0),MATCH(F$24,OP_TotalRates_RES_2[[#Headers],[Ausnet]:[United Energy]],0))*
INDEX(Input_Usage[],MATCH($D26&amp;" - Annual",Input_Usage[[Ref]:[Ref]],0),MATCH($D$7,Inputs!$C$140:$Q$140,0))),0)),0),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INDEX(Input_Usage[],MATCH($D26&amp;" - Peak",Input_Usage[[Ref]:[Ref]],0),MATCH($D$7,Inputs!$C$140:$Q$140,0)))+
IFERROR((INDEX(OP_TotalRates_RES_2[[Ausnet]:[United Energy]],MATCH("TOU - Shoulder",OP_TotalRates_RES_2[[Rate name]:[Rate name]],0),MATCH(F$24,OP_TotalRates_RES_2[[#Headers],[Ausnet]:[United Energy]],0))*
INDEX(Input_Usage[],MATCH($D26&amp;" - Shoulder",Input_Usage[[Ref]:[Ref]],0),MATCH($D$7,Inputs!$C$140:$Q$140,0))),0)+
(INDEX(OP_TotalRates_RES_2[[Ausnet]:[United Energy]],MATCH("Off peak",OP_TotalRates_RES_2[[Rate name]:[Rate name]],0),MATCH(F$24,OP_TotalRates_RES_2[[#Headers],[Ausnet]:[United Energy]],0))*
INDEX(Input_Usage[],MATCH($D26&amp;" - Off peak",Input_Usage[[Ref]:[Ref]],0),MATCH($D$7,Inputs!$C$140:$Q$140,0))),0)),"-")</f>
        <v>1288</v>
      </c>
      <c r="G26" s="99">
        <f>IFERROR(
IF($D$7="VDO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INDEX(Input_Usage[],MATCH($D26&amp;" - Block 1",Input_Usage[[Ref]:[Ref]],0),MATCH($D$7,Inputs!$C$140:$Q$140,0))),0)+
IFERROR((INDEX(OP_TotalRates_RES_2[[Ausnet]:[United Energy]],MATCH("Balance",OP_TotalRates_RES_2[[Rate name]:[Rate name]],0),MATCH(G$24,OP_TotalRates_RES_2[[#Headers],[Ausnet]:[United Energy]],0))*
INDEX(Input_Usage[],MATCH($D26&amp;" - Balance",Input_Usage[[Ref]:[Ref]],0),MATCH($D$7,Inputs!$C$140:$Q$140,0))),0)+
IFERROR((INDEX(OP_TotalRates_RES_2[[Ausnet]:[United Energy]],MATCH("Single rate",OP_TotalRates_RES_2[[Rate name]:[Rate name]],0),MATCH(G$24,OP_TotalRates_RES_2[[#Headers],[Ausnet]:[United Energy]],0))*
INDEX(Input_Usage[],MATCH($D26&amp;" - Annual",Input_Usage[[Ref]:[Ref]],0),MATCH($D$7,Inputs!$C$140:$Q$140,0))),0)),0),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INDEX(Input_Usage[],MATCH($D26&amp;" - Peak",Input_Usage[[Ref]:[Ref]],0),MATCH($D$7,Inputs!$C$140:$Q$140,0)))+
IFERROR((INDEX(OP_TotalRates_RES_2[[Ausnet]:[United Energy]],MATCH("TOU - Shoulder",OP_TotalRates_RES_2[[Rate name]:[Rate name]],0),MATCH(G$24,OP_TotalRates_RES_2[[#Headers],[Ausnet]:[United Energy]],0))*
INDEX(Input_Usage[],MATCH($D26&amp;" - Shoulder",Input_Usage[[Ref]:[Ref]],0),MATCH($D$7,Inputs!$C$140:$Q$140,0))),0)+
(INDEX(OP_TotalRates_RES_2[[Ausnet]:[United Energy]],MATCH("Off peak",OP_TotalRates_RES_2[[Rate name]:[Rate name]],0),MATCH(G$24,OP_TotalRates_RES_2[[#Headers],[Ausnet]:[United Energy]],0))*
INDEX(Input_Usage[],MATCH($D26&amp;" - Off peak",Input_Usage[[Ref]:[Ref]],0),MATCH($D$7,Inputs!$C$140:$Q$140,0))),0)),"-")</f>
        <v>1303</v>
      </c>
      <c r="H26" s="99">
        <f>IFERROR(
IF($D$7="VDO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INDEX(Input_Usage[],MATCH($D26&amp;" - Block 1",Input_Usage[[Ref]:[Ref]],0),MATCH($D$7,Inputs!$C$140:$Q$140,0))),0)+
IFERROR((INDEX(OP_TotalRates_RES_2[[Ausnet]:[United Energy]],MATCH("Balance",OP_TotalRates_RES_2[[Rate name]:[Rate name]],0),MATCH(H$24,OP_TotalRates_RES_2[[#Headers],[Ausnet]:[United Energy]],0))*
INDEX(Input_Usage[],MATCH($D26&amp;" - Balance",Input_Usage[[Ref]:[Ref]],0),MATCH($D$7,Inputs!$C$140:$Q$140,0))),0)+
IFERROR((INDEX(OP_TotalRates_RES_2[[Ausnet]:[United Energy]],MATCH("Single rate",OP_TotalRates_RES_2[[Rate name]:[Rate name]],0),MATCH(H$24,OP_TotalRates_RES_2[[#Headers],[Ausnet]:[United Energy]],0))*
INDEX(Input_Usage[],MATCH($D26&amp;" - Annual",Input_Usage[[Ref]:[Ref]],0),MATCH($D$7,Inputs!$C$140:$Q$140,0))),0)),0),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INDEX(Input_Usage[],MATCH($D26&amp;" - Peak",Input_Usage[[Ref]:[Ref]],0),MATCH($D$7,Inputs!$C$140:$Q$140,0)))+
IFERROR((INDEX(OP_TotalRates_RES_2[[Ausnet]:[United Energy]],MATCH("TOU - Shoulder",OP_TotalRates_RES_2[[Rate name]:[Rate name]],0),MATCH(H$24,OP_TotalRates_RES_2[[#Headers],[Ausnet]:[United Energy]],0))*
INDEX(Input_Usage[],MATCH($D26&amp;" - Shoulder",Input_Usage[[Ref]:[Ref]],0),MATCH($D$7,Inputs!$C$140:$Q$140,0))),0)+
(INDEX(OP_TotalRates_RES_2[[Ausnet]:[United Energy]],MATCH("Off peak",OP_TotalRates_RES_2[[Rate name]:[Rate name]],0),MATCH(H$24,OP_TotalRates_RES_2[[#Headers],[Ausnet]:[United Energy]],0))*
INDEX(Input_Usage[],MATCH($D26&amp;" - Off peak",Input_Usage[[Ref]:[Ref]],0),MATCH($D$7,Inputs!$C$140:$Q$140,0))),0)),"-")</f>
        <v>1407</v>
      </c>
      <c r="I26" s="99">
        <f>IFERROR(
IF($D$7="VDO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INDEX(Input_Usage[],MATCH($D26&amp;" - Block 1",Input_Usage[[Ref]:[Ref]],0),MATCH($D$7,Inputs!$C$140:$Q$140,0))),0)+
IFERROR((INDEX(OP_TotalRates_RES_2[[Ausnet]:[United Energy]],MATCH("Balance",OP_TotalRates_RES_2[[Rate name]:[Rate name]],0),MATCH(I$24,OP_TotalRates_RES_2[[#Headers],[Ausnet]:[United Energy]],0))*
INDEX(Input_Usage[],MATCH($D26&amp;" - Balance",Input_Usage[[Ref]:[Ref]],0),MATCH($D$7,Inputs!$C$140:$Q$140,0))),0)+
IFERROR((INDEX(OP_TotalRates_RES_2[[Ausnet]:[United Energy]],MATCH("Single rate",OP_TotalRates_RES_2[[Rate name]:[Rate name]],0),MATCH(I$24,OP_TotalRates_RES_2[[#Headers],[Ausnet]:[United Energy]],0))*
INDEX(Input_Usage[],MATCH($D26&amp;" - Annual",Input_Usage[[Ref]:[Ref]],0),MATCH($D$7,Inputs!$C$140:$Q$140,0))),0)),0),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INDEX(Input_Usage[],MATCH($D26&amp;" - Peak",Input_Usage[[Ref]:[Ref]],0),MATCH($D$7,Inputs!$C$140:$Q$140,0)))+
IFERROR((INDEX(OP_TotalRates_RES_2[[Ausnet]:[United Energy]],MATCH("TOU - Shoulder",OP_TotalRates_RES_2[[Rate name]:[Rate name]],0),MATCH(I$24,OP_TotalRates_RES_2[[#Headers],[Ausnet]:[United Energy]],0))*
INDEX(Input_Usage[],MATCH($D26&amp;" - Shoulder",Input_Usage[[Ref]:[Ref]],0),MATCH($D$7,Inputs!$C$140:$Q$140,0))),0)+
(INDEX(OP_TotalRates_RES_2[[Ausnet]:[United Energy]],MATCH("Off peak",OP_TotalRates_RES_2[[Rate name]:[Rate name]],0),MATCH(I$24,OP_TotalRates_RES_2[[#Headers],[Ausnet]:[United Energy]],0))*
INDEX(Input_Usage[],MATCH($D26&amp;" - Off peak",Input_Usage[[Ref]:[Ref]],0),MATCH($D$7,Inputs!$C$140:$Q$140,0))),0)),"-")</f>
        <v>1313</v>
      </c>
      <c r="K26" s="20" t="s">
        <v>66</v>
      </c>
      <c r="L26" s="20" t="s">
        <v>169</v>
      </c>
      <c r="M26" s="99">
        <f>IFERROR(
IF($D$7="VDO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INDEX(Input_Usage[],MATCH($L26&amp;" - Block 1",Input_Usage[[Ref]:[Ref]],0),MATCH($D$7,Inputs!$C$140:$Q$140,0))),0)+
IFERROR((INDEX(OP_TotalRates_SME_2[[Ausnet]:[United Energy]],MATCH("Balance",OP_TotalRates_SME_2[[Rate name]:[Rate name]],0),MATCH(M$24,OP_TotalRates_SME_2[[#Headers],[Ausnet]:[United Energy]],0))*
INDEX(Input_Usage[],MATCH($L26&amp;" - Balance",Input_Usage[[Ref]:[Ref]],0),MATCH($D$7,Inputs!$C$140:$Q$140,0))),0)+
IFERROR((INDEX(OP_TotalRates_SME_2[[Ausnet]:[United Energy]],MATCH("Single rate",OP_TotalRates_SME_2[[Rate name]:[Rate name]],0),MATCH(M$24,OP_TotalRates_SME_2[[#Headers],[Ausnet]:[United Energy]],0))*
INDEX(Input_Usage[],MATCH($L26&amp;" - Annual",Input_Usage[[Ref]:[Ref]],0),MATCH($D$7,Inputs!$C$140:$Q$140,0))),0)),0),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INDEX(Input_Usage[],MATCH($L26&amp;" - Peak",Input_Usage[[Ref]:[Ref]],0),MATCH($D$7,Inputs!$C$140:$Q$140,0)))+
IFERROR((INDEX(OP_TotalRates_SME_2[[Ausnet]:[United Energy]],MATCH("TOU - Shoulder",OP_TotalRates_SME_2[[Rate name]:[Rate name]],0),MATCH(M$24,OP_TotalRates_SME_2[[#Headers],[Ausnet]:[United Energy]],0))*
INDEX(Input_Usage[],MATCH($L26&amp;" - Shoulder",Input_Usage[[Ref]:[Ref]],0),MATCH($D$7,Inputs!$C$140:$Q$140,0))),0)+
(INDEX(OP_TotalRates_SME_2[[Ausnet]:[United Energy]],MATCH("Off peak",OP_TotalRates_SME_2[[Rate name]:[Rate name]],0),MATCH(M$24,OP_TotalRates_SME_2[[#Headers],[Ausnet]:[United Energy]],0))*
INDEX(Input_Usage[],MATCH($L26&amp;" - Off peak",Input_Usage[[Ref]:[Ref]],0),MATCH($D$7,Inputs!$C$140:$Q$140,0))),0)),"-")</f>
        <v>5779</v>
      </c>
      <c r="N26" s="99">
        <f>IFERROR(
IF($D$7="VDO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INDEX(Input_Usage[],MATCH($L26&amp;" - Block 1",Input_Usage[[Ref]:[Ref]],0),MATCH($D$7,Inputs!$C$140:$Q$140,0))),0)+
IFERROR((INDEX(OP_TotalRates_SME_2[[Ausnet]:[United Energy]],MATCH("Balance",OP_TotalRates_SME_2[[Rate name]:[Rate name]],0),MATCH(N$24,OP_TotalRates_SME_2[[#Headers],[Ausnet]:[United Energy]],0))*
INDEX(Input_Usage[],MATCH($L26&amp;" - Balance",Input_Usage[[Ref]:[Ref]],0),MATCH($D$7,Inputs!$C$140:$Q$140,0))),0)+
IFERROR((INDEX(OP_TotalRates_SME_2[[Ausnet]:[United Energy]],MATCH("Single rate",OP_TotalRates_SME_2[[Rate name]:[Rate name]],0),MATCH(N$24,OP_TotalRates_SME_2[[#Headers],[Ausnet]:[United Energy]],0))*
INDEX(Input_Usage[],MATCH($L26&amp;" - Annual",Input_Usage[[Ref]:[Ref]],0),MATCH($D$7,Inputs!$C$140:$Q$140,0))),0)),0),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INDEX(Input_Usage[],MATCH($L26&amp;" - Peak",Input_Usage[[Ref]:[Ref]],0),MATCH($D$7,Inputs!$C$140:$Q$140,0)))+
IFERROR((INDEX(OP_TotalRates_SME_2[[Ausnet]:[United Energy]],MATCH("TOU - Shoulder",OP_TotalRates_SME_2[[Rate name]:[Rate name]],0),MATCH(N$24,OP_TotalRates_SME_2[[#Headers],[Ausnet]:[United Energy]],0))*
INDEX(Input_Usage[],MATCH($L26&amp;" - Shoulder",Input_Usage[[Ref]:[Ref]],0),MATCH($D$7,Inputs!$C$140:$Q$140,0))),0)+
(INDEX(OP_TotalRates_SME_2[[Ausnet]:[United Energy]],MATCH("Off peak",OP_TotalRates_SME_2[[Rate name]:[Rate name]],0),MATCH(N$24,OP_TotalRates_SME_2[[#Headers],[Ausnet]:[United Energy]],0))*
INDEX(Input_Usage[],MATCH($L26&amp;" - Off peak",Input_Usage[[Ref]:[Ref]],0),MATCH($D$7,Inputs!$C$140:$Q$140,0))),0)),"-")</f>
        <v>4842</v>
      </c>
      <c r="O26" s="99">
        <f>IFERROR(
IF($D$7="VDO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INDEX(Input_Usage[],MATCH($L26&amp;" - Block 1",Input_Usage[[Ref]:[Ref]],0),MATCH($D$7,Inputs!$C$140:$Q$140,0))),0)+
IFERROR((INDEX(OP_TotalRates_SME_2[[Ausnet]:[United Energy]],MATCH("Balance",OP_TotalRates_SME_2[[Rate name]:[Rate name]],0),MATCH(O$24,OP_TotalRates_SME_2[[#Headers],[Ausnet]:[United Energy]],0))*
INDEX(Input_Usage[],MATCH($L26&amp;" - Balance",Input_Usage[[Ref]:[Ref]],0),MATCH($D$7,Inputs!$C$140:$Q$140,0))),0)+
IFERROR((INDEX(OP_TotalRates_SME_2[[Ausnet]:[United Energy]],MATCH("Single rate",OP_TotalRates_SME_2[[Rate name]:[Rate name]],0),MATCH(O$24,OP_TotalRates_SME_2[[#Headers],[Ausnet]:[United Energy]],0))*
INDEX(Input_Usage[],MATCH($L26&amp;" - Annual",Input_Usage[[Ref]:[Ref]],0),MATCH($D$7,Inputs!$C$140:$Q$140,0))),0)),0),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INDEX(Input_Usage[],MATCH($L26&amp;" - Peak",Input_Usage[[Ref]:[Ref]],0),MATCH($D$7,Inputs!$C$140:$Q$140,0)))+
IFERROR((INDEX(OP_TotalRates_SME_2[[Ausnet]:[United Energy]],MATCH("TOU - Shoulder",OP_TotalRates_SME_2[[Rate name]:[Rate name]],0),MATCH(O$24,OP_TotalRates_SME_2[[#Headers],[Ausnet]:[United Energy]],0))*
INDEX(Input_Usage[],MATCH($L26&amp;" - Shoulder",Input_Usage[[Ref]:[Ref]],0),MATCH($D$7,Inputs!$C$140:$Q$140,0))),0)+
(INDEX(OP_TotalRates_SME_2[[Ausnet]:[United Energy]],MATCH("Off peak",OP_TotalRates_SME_2[[Rate name]:[Rate name]],0),MATCH(O$24,OP_TotalRates_SME_2[[#Headers],[Ausnet]:[United Energy]],0))*
INDEX(Input_Usage[],MATCH($L26&amp;" - Off peak",Input_Usage[[Ref]:[Ref]],0),MATCH($D$7,Inputs!$C$140:$Q$140,0))),0)),"-")</f>
        <v>4973</v>
      </c>
      <c r="P26" s="99">
        <f>IFERROR(
IF($D$7="VDO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INDEX(Input_Usage[],MATCH($L26&amp;" - Block 1",Input_Usage[[Ref]:[Ref]],0),MATCH($D$7,Inputs!$C$140:$Q$140,0))),0)+
IFERROR((INDEX(OP_TotalRates_SME_2[[Ausnet]:[United Energy]],MATCH("Balance",OP_TotalRates_SME_2[[Rate name]:[Rate name]],0),MATCH(P$24,OP_TotalRates_SME_2[[#Headers],[Ausnet]:[United Energy]],0))*
INDEX(Input_Usage[],MATCH($L26&amp;" - Balance",Input_Usage[[Ref]:[Ref]],0),MATCH($D$7,Inputs!$C$140:$Q$140,0))),0)+
IFERROR((INDEX(OP_TotalRates_SME_2[[Ausnet]:[United Energy]],MATCH("Single rate",OP_TotalRates_SME_2[[Rate name]:[Rate name]],0),MATCH(P$24,OP_TotalRates_SME_2[[#Headers],[Ausnet]:[United Energy]],0))*
INDEX(Input_Usage[],MATCH($L26&amp;" - Annual",Input_Usage[[Ref]:[Ref]],0),MATCH($D$7,Inputs!$C$140:$Q$140,0))),0)),0),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INDEX(Input_Usage[],MATCH($L26&amp;" - Peak",Input_Usage[[Ref]:[Ref]],0),MATCH($D$7,Inputs!$C$140:$Q$140,0)))+
IFERROR((INDEX(OP_TotalRates_SME_2[[Ausnet]:[United Energy]],MATCH("TOU - Shoulder",OP_TotalRates_SME_2[[Rate name]:[Rate name]],0),MATCH(P$24,OP_TotalRates_SME_2[[#Headers],[Ausnet]:[United Energy]],0))*
INDEX(Input_Usage[],MATCH($L26&amp;" - Shoulder",Input_Usage[[Ref]:[Ref]],0),MATCH($D$7,Inputs!$C$140:$Q$140,0))),0)+
(INDEX(OP_TotalRates_SME_2[[Ausnet]:[United Energy]],MATCH("Off peak",OP_TotalRates_SME_2[[Rate name]:[Rate name]],0),MATCH(P$24,OP_TotalRates_SME_2[[#Headers],[Ausnet]:[United Energy]],0))*
INDEX(Input_Usage[],MATCH($L26&amp;" - Off peak",Input_Usage[[Ref]:[Ref]],0),MATCH($D$7,Inputs!$C$140:$Q$140,0))),0)),"-")</f>
        <v>5302</v>
      </c>
      <c r="Q26" s="99">
        <f>IFERROR(
IF($D$7="VDO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INDEX(Input_Usage[],MATCH($L26&amp;" - Block 1",Input_Usage[[Ref]:[Ref]],0),MATCH($D$7,Inputs!$C$140:$Q$140,0))),0)+
IFERROR((INDEX(OP_TotalRates_SME_2[[Ausnet]:[United Energy]],MATCH("Balance",OP_TotalRates_SME_2[[Rate name]:[Rate name]],0),MATCH(Q$24,OP_TotalRates_SME_2[[#Headers],[Ausnet]:[United Energy]],0))*
INDEX(Input_Usage[],MATCH($L26&amp;" - Balance",Input_Usage[[Ref]:[Ref]],0),MATCH($D$7,Inputs!$C$140:$Q$140,0))),0)+
IFERROR((INDEX(OP_TotalRates_SME_2[[Ausnet]:[United Energy]],MATCH("Single rate",OP_TotalRates_SME_2[[Rate name]:[Rate name]],0),MATCH(Q$24,OP_TotalRates_SME_2[[#Headers],[Ausnet]:[United Energy]],0))*
INDEX(Input_Usage[],MATCH($L26&amp;" - Annual",Input_Usage[[Ref]:[Ref]],0),MATCH($D$7,Inputs!$C$140:$Q$140,0))),0)),0),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INDEX(Input_Usage[],MATCH($L26&amp;" - Peak",Input_Usage[[Ref]:[Ref]],0),MATCH($D$7,Inputs!$C$140:$Q$140,0)))+
IFERROR((INDEX(OP_TotalRates_SME_2[[Ausnet]:[United Energy]],MATCH("TOU - Shoulder",OP_TotalRates_SME_2[[Rate name]:[Rate name]],0),MATCH(Q$24,OP_TotalRates_SME_2[[#Headers],[Ausnet]:[United Energy]],0))*
INDEX(Input_Usage[],MATCH($L26&amp;" - Shoulder",Input_Usage[[Ref]:[Ref]],0),MATCH($D$7,Inputs!$C$140:$Q$140,0))),0)+
(INDEX(OP_TotalRates_SME_2[[Ausnet]:[United Energy]],MATCH("Off peak",OP_TotalRates_SME_2[[Rate name]:[Rate name]],0),MATCH(Q$24,OP_TotalRates_SME_2[[#Headers],[Ausnet]:[United Energy]],0))*
INDEX(Input_Usage[],MATCH($L26&amp;" - Off peak",Input_Usage[[Ref]:[Ref]],0),MATCH($D$7,Inputs!$C$140:$Q$140,0))),0)),"-")</f>
        <v>4979</v>
      </c>
    </row>
    <row r="27" spans="1:18" hidden="1">
      <c r="C27" s="40" t="s">
        <v>65</v>
      </c>
      <c r="D27" s="40" t="s">
        <v>170</v>
      </c>
      <c r="E27" s="99">
        <f>IFERROR(
IF($D$7="VDO 2021 - Final",
ROUNDUP(
(INDEX(OP_TotalRates_RES_2[[Ausnet]:[United Energy]],MATCH("Anytime - supply",OP_TotalRates_RES_2[[Rate name]:[Rate name]],0),MATCH(E$24,OP_TotalRates_RES_2[[#Headers],[Ausnet]:[United Energy]],0))*DiY)+
(IFERROR((INDEX(OP_TotalRates_RES_2[[Ausnet]:[United Energy]],MATCH("Block 1",OP_TotalRates_RES_2[[Rate name]:[Rate name]],0),MATCH(E$24,OP_TotalRates_RES_2[[#Headers],[Ausnet]:[United Energy]],0))*
INDEX(Input_Usage[],MATCH($D27&amp;" - Block 1",Input_Usage[[Ref]:[Ref]],0),MATCH($D$7,Inputs!$C$140:$Q$140,0))),0)+
IFERROR((INDEX(OP_TotalRates_RES_2[[Ausnet]:[United Energy]],MATCH("Balance",OP_TotalRates_RES_2[[Rate name]:[Rate name]],0),MATCH(E$24,OP_TotalRates_RES_2[[#Headers],[Ausnet]:[United Energy]],0))*
INDEX(Input_Usage[],MATCH($D27&amp;" - Balance",Input_Usage[[Ref]:[Ref]],0),MATCH($D$7,Inputs!$C$140:$Q$140,0))),0)+
IFERROR((INDEX(OP_TotalRates_RES_2[[Ausnet]:[United Energy]],MATCH("Single rate",OP_TotalRates_RES_2[[Rate name]:[Rate name]],0),MATCH(E$24,OP_TotalRates_RES_2[[#Headers],[Ausnet]:[United Energy]],0))*
INDEX(Input_Usage[],MATCH($D27&amp;" - Annual",Input_Usage[[Ref]:[Ref]],0),MATCH($D$7,Inputs!$C$140:$Q$140,0))),0)),0),
ROUNDUP(
(INDEX(OP_TotalRates_RES_2[[Ausnet]:[United Energy]],MATCH("TOU - supply",OP_TotalRates_RES_2[[Rate name]:[Rate name]],0),MATCH(E$24,OP_TotalRates_RES_2[[#Headers],[Ausnet]:[United Energy]],0))*DiY)+
(INDEX(OP_TotalRates_RES_2[[Ausnet]:[United Energy]],MATCH("Peak",OP_TotalRates_RES_2[[Rate name]:[Rate name]],0),MATCH(E$24,OP_TotalRates_RES_2[[#Headers],[Ausnet]:[United Energy]],0))*
INDEX(Input_Usage[],MATCH($D27&amp;" - Peak",Input_Usage[[Ref]:[Ref]],0),MATCH($D$7,Inputs!$C$140:$Q$140,0)))+
IFERROR((INDEX(OP_TotalRates_RES_2[[Ausnet]:[United Energy]],MATCH("TOU - Shoulder",OP_TotalRates_RES_2[[Rate name]:[Rate name]],0),MATCH(E$24,OP_TotalRates_RES_2[[#Headers],[Ausnet]:[United Energy]],0))*
INDEX(Input_Usage[],MATCH($D27&amp;" - Shoulder",Input_Usage[[Ref]:[Ref]],0),MATCH($D$7,Inputs!$C$140:$Q$140,0))),0)+
(INDEX(OP_TotalRates_RES_2[[Ausnet]:[United Energy]],MATCH("Off peak",OP_TotalRates_RES_2[[Rate name]:[Rate name]],0),MATCH(E$24,OP_TotalRates_RES_2[[#Headers],[Ausnet]:[United Energy]],0))*
INDEX(Input_Usage[],MATCH($D27&amp;" - Off peak",Input_Usage[[Ref]:[Ref]],0),MATCH($D$7,Inputs!$C$140:$Q$140,0))),0)),"-")</f>
        <v>2605</v>
      </c>
      <c r="F27" s="99">
        <f>IFERROR(
IF($D$7="VDO 2021 - Final",
ROUNDUP(
(INDEX(OP_TotalRates_RES_2[[Ausnet]:[United Energy]],MATCH("Anytime - supply",OP_TotalRates_RES_2[[Rate name]:[Rate name]],0),MATCH(F$24,OP_TotalRates_RES_2[[#Headers],[Ausnet]:[United Energy]],0))*DiY)+
(IFERROR((INDEX(OP_TotalRates_RES_2[[Ausnet]:[United Energy]],MATCH("Block 1",OP_TotalRates_RES_2[[Rate name]:[Rate name]],0),MATCH(F$24,OP_TotalRates_RES_2[[#Headers],[Ausnet]:[United Energy]],0))*
INDEX(Input_Usage[],MATCH($D27&amp;" - Block 1",Input_Usage[[Ref]:[Ref]],0),MATCH($D$7,Inputs!$C$140:$Q$140,0))),0)+
IFERROR((INDEX(OP_TotalRates_RES_2[[Ausnet]:[United Energy]],MATCH("Balance",OP_TotalRates_RES_2[[Rate name]:[Rate name]],0),MATCH(F$24,OP_TotalRates_RES_2[[#Headers],[Ausnet]:[United Energy]],0))*
INDEX(Input_Usage[],MATCH($D27&amp;" - Balance",Input_Usage[[Ref]:[Ref]],0),MATCH($D$7,Inputs!$C$140:$Q$140,0))),0)+
IFERROR((INDEX(OP_TotalRates_RES_2[[Ausnet]:[United Energy]],MATCH("Single rate",OP_TotalRates_RES_2[[Rate name]:[Rate name]],0),MATCH(F$24,OP_TotalRates_RES_2[[#Headers],[Ausnet]:[United Energy]],0))*
INDEX(Input_Usage[],MATCH($D27&amp;" - Annual",Input_Usage[[Ref]:[Ref]],0),MATCH($D$7,Inputs!$C$140:$Q$140,0))),0)),0),
ROUNDUP(
(INDEX(OP_TotalRates_RES_2[[Ausnet]:[United Energy]],MATCH("TOU - supply",OP_TotalRates_RES_2[[Rate name]:[Rate name]],0),MATCH(F$24,OP_TotalRates_RES_2[[#Headers],[Ausnet]:[United Energy]],0))*DiY)+
(INDEX(OP_TotalRates_RES_2[[Ausnet]:[United Energy]],MATCH("Peak",OP_TotalRates_RES_2[[Rate name]:[Rate name]],0),MATCH(F$24,OP_TotalRates_RES_2[[#Headers],[Ausnet]:[United Energy]],0))*
INDEX(Input_Usage[],MATCH($D27&amp;" - Peak",Input_Usage[[Ref]:[Ref]],0),MATCH($D$7,Inputs!$C$140:$Q$140,0)))+
IFERROR((INDEX(OP_TotalRates_RES_2[[Ausnet]:[United Energy]],MATCH("TOU - Shoulder",OP_TotalRates_RES_2[[Rate name]:[Rate name]],0),MATCH(F$24,OP_TotalRates_RES_2[[#Headers],[Ausnet]:[United Energy]],0))*
INDEX(Input_Usage[],MATCH($D27&amp;" - Shoulder",Input_Usage[[Ref]:[Ref]],0),MATCH($D$7,Inputs!$C$140:$Q$140,0))),0)+
(INDEX(OP_TotalRates_RES_2[[Ausnet]:[United Energy]],MATCH("Off peak",OP_TotalRates_RES_2[[Rate name]:[Rate name]],0),MATCH(F$24,OP_TotalRates_RES_2[[#Headers],[Ausnet]:[United Energy]],0))*
INDEX(Input_Usage[],MATCH($D27&amp;" - Off peak",Input_Usage[[Ref]:[Ref]],0),MATCH($D$7,Inputs!$C$140:$Q$140,0))),0)),"-")</f>
        <v>2152</v>
      </c>
      <c r="G27" s="99">
        <f>IFERROR(
IF($D$7="VDO 2021 - Final",
ROUNDUP(
(INDEX(OP_TotalRates_RES_2[[Ausnet]:[United Energy]],MATCH("Anytime - supply",OP_TotalRates_RES_2[[Rate name]:[Rate name]],0),MATCH(G$24,OP_TotalRates_RES_2[[#Headers],[Ausnet]:[United Energy]],0))*DiY)+
(IFERROR((INDEX(OP_TotalRates_RES_2[[Ausnet]:[United Energy]],MATCH("Block 1",OP_TotalRates_RES_2[[Rate name]:[Rate name]],0),MATCH(G$24,OP_TotalRates_RES_2[[#Headers],[Ausnet]:[United Energy]],0))*
INDEX(Input_Usage[],MATCH($D27&amp;" - Block 1",Input_Usage[[Ref]:[Ref]],0),MATCH($D$7,Inputs!$C$140:$Q$140,0))),0)+
IFERROR((INDEX(OP_TotalRates_RES_2[[Ausnet]:[United Energy]],MATCH("Balance",OP_TotalRates_RES_2[[Rate name]:[Rate name]],0),MATCH(G$24,OP_TotalRates_RES_2[[#Headers],[Ausnet]:[United Energy]],0))*
INDEX(Input_Usage[],MATCH($D27&amp;" - Balance",Input_Usage[[Ref]:[Ref]],0),MATCH($D$7,Inputs!$C$140:$Q$140,0))),0)+
IFERROR((INDEX(OP_TotalRates_RES_2[[Ausnet]:[United Energy]],MATCH("Single rate",OP_TotalRates_RES_2[[Rate name]:[Rate name]],0),MATCH(G$24,OP_TotalRates_RES_2[[#Headers],[Ausnet]:[United Energy]],0))*
INDEX(Input_Usage[],MATCH($D27&amp;" - Annual",Input_Usage[[Ref]:[Ref]],0),MATCH($D$7,Inputs!$C$140:$Q$140,0))),0)),0),
ROUNDUP(
(INDEX(OP_TotalRates_RES_2[[Ausnet]:[United Energy]],MATCH("TOU - supply",OP_TotalRates_RES_2[[Rate name]:[Rate name]],0),MATCH(G$24,OP_TotalRates_RES_2[[#Headers],[Ausnet]:[United Energy]],0))*DiY)+
(INDEX(OP_TotalRates_RES_2[[Ausnet]:[United Energy]],MATCH("Peak",OP_TotalRates_RES_2[[Rate name]:[Rate name]],0),MATCH(G$24,OP_TotalRates_RES_2[[#Headers],[Ausnet]:[United Energy]],0))*
INDEX(Input_Usage[],MATCH($D27&amp;" - Peak",Input_Usage[[Ref]:[Ref]],0),MATCH($D$7,Inputs!$C$140:$Q$140,0)))+
IFERROR((INDEX(OP_TotalRates_RES_2[[Ausnet]:[United Energy]],MATCH("TOU - Shoulder",OP_TotalRates_RES_2[[Rate name]:[Rate name]],0),MATCH(G$24,OP_TotalRates_RES_2[[#Headers],[Ausnet]:[United Energy]],0))*
INDEX(Input_Usage[],MATCH($D27&amp;" - Shoulder",Input_Usage[[Ref]:[Ref]],0),MATCH($D$7,Inputs!$C$140:$Q$140,0))),0)+
(INDEX(OP_TotalRates_RES_2[[Ausnet]:[United Energy]],MATCH("Off peak",OP_TotalRates_RES_2[[Rate name]:[Rate name]],0),MATCH(G$24,OP_TotalRates_RES_2[[#Headers],[Ausnet]:[United Energy]],0))*
INDEX(Input_Usage[],MATCH($D27&amp;" - Off peak",Input_Usage[[Ref]:[Ref]],0),MATCH($D$7,Inputs!$C$140:$Q$140,0))),0)),"-")</f>
        <v>2183</v>
      </c>
      <c r="H27" s="99">
        <f>IFERROR(
IF($D$7="VDO 2021 - Final",
ROUNDUP(
(INDEX(OP_TotalRates_RES_2[[Ausnet]:[United Energy]],MATCH("Anytime - supply",OP_TotalRates_RES_2[[Rate name]:[Rate name]],0),MATCH(H$24,OP_TotalRates_RES_2[[#Headers],[Ausnet]:[United Energy]],0))*DiY)+
(IFERROR((INDEX(OP_TotalRates_RES_2[[Ausnet]:[United Energy]],MATCH("Block 1",OP_TotalRates_RES_2[[Rate name]:[Rate name]],0),MATCH(H$24,OP_TotalRates_RES_2[[#Headers],[Ausnet]:[United Energy]],0))*
INDEX(Input_Usage[],MATCH($D27&amp;" - Block 1",Input_Usage[[Ref]:[Ref]],0),MATCH($D$7,Inputs!$C$140:$Q$140,0))),0)+
IFERROR((INDEX(OP_TotalRates_RES_2[[Ausnet]:[United Energy]],MATCH("Balance",OP_TotalRates_RES_2[[Rate name]:[Rate name]],0),MATCH(H$24,OP_TotalRates_RES_2[[#Headers],[Ausnet]:[United Energy]],0))*
INDEX(Input_Usage[],MATCH($D27&amp;" - Balance",Input_Usage[[Ref]:[Ref]],0),MATCH($D$7,Inputs!$C$140:$Q$140,0))),0)+
IFERROR((INDEX(OP_TotalRates_RES_2[[Ausnet]:[United Energy]],MATCH("Single rate",OP_TotalRates_RES_2[[Rate name]:[Rate name]],0),MATCH(H$24,OP_TotalRates_RES_2[[#Headers],[Ausnet]:[United Energy]],0))*
INDEX(Input_Usage[],MATCH($D27&amp;" - Annual",Input_Usage[[Ref]:[Ref]],0),MATCH($D$7,Inputs!$C$140:$Q$140,0))),0)),0),
ROUNDUP(
(INDEX(OP_TotalRates_RES_2[[Ausnet]:[United Energy]],MATCH("TOU - supply",OP_TotalRates_RES_2[[Rate name]:[Rate name]],0),MATCH(H$24,OP_TotalRates_RES_2[[#Headers],[Ausnet]:[United Energy]],0))*DiY)+
(INDEX(OP_TotalRates_RES_2[[Ausnet]:[United Energy]],MATCH("Peak",OP_TotalRates_RES_2[[Rate name]:[Rate name]],0),MATCH(H$24,OP_TotalRates_RES_2[[#Headers],[Ausnet]:[United Energy]],0))*
INDEX(Input_Usage[],MATCH($D27&amp;" - Peak",Input_Usage[[Ref]:[Ref]],0),MATCH($D$7,Inputs!$C$140:$Q$140,0)))+
IFERROR((INDEX(OP_TotalRates_RES_2[[Ausnet]:[United Energy]],MATCH("TOU - Shoulder",OP_TotalRates_RES_2[[Rate name]:[Rate name]],0),MATCH(H$24,OP_TotalRates_RES_2[[#Headers],[Ausnet]:[United Energy]],0))*
INDEX(Input_Usage[],MATCH($D27&amp;" - Shoulder",Input_Usage[[Ref]:[Ref]],0),MATCH($D$7,Inputs!$C$140:$Q$140,0))),0)+
(INDEX(OP_TotalRates_RES_2[[Ausnet]:[United Energy]],MATCH("Off peak",OP_TotalRates_RES_2[[Rate name]:[Rate name]],0),MATCH(H$24,OP_TotalRates_RES_2[[#Headers],[Ausnet]:[United Energy]],0))*
INDEX(Input_Usage[],MATCH($D27&amp;" - Off peak",Input_Usage[[Ref]:[Ref]],0),MATCH($D$7,Inputs!$C$140:$Q$140,0))),0)),"-")</f>
        <v>2336</v>
      </c>
      <c r="I27" s="99">
        <f>IFERROR(
IF($D$7="VDO 2021 - Final",
ROUNDUP(
(INDEX(OP_TotalRates_RES_2[[Ausnet]:[United Energy]],MATCH("Anytime - supply",OP_TotalRates_RES_2[[Rate name]:[Rate name]],0),MATCH(I$24,OP_TotalRates_RES_2[[#Headers],[Ausnet]:[United Energy]],0))*DiY)+
(IFERROR((INDEX(OP_TotalRates_RES_2[[Ausnet]:[United Energy]],MATCH("Block 1",OP_TotalRates_RES_2[[Rate name]:[Rate name]],0),MATCH(I$24,OP_TotalRates_RES_2[[#Headers],[Ausnet]:[United Energy]],0))*
INDEX(Input_Usage[],MATCH($D27&amp;" - Block 1",Input_Usage[[Ref]:[Ref]],0),MATCH($D$7,Inputs!$C$140:$Q$140,0))),0)+
IFERROR((INDEX(OP_TotalRates_RES_2[[Ausnet]:[United Energy]],MATCH("Balance",OP_TotalRates_RES_2[[Rate name]:[Rate name]],0),MATCH(I$24,OP_TotalRates_RES_2[[#Headers],[Ausnet]:[United Energy]],0))*
INDEX(Input_Usage[],MATCH($D27&amp;" - Balance",Input_Usage[[Ref]:[Ref]],0),MATCH($D$7,Inputs!$C$140:$Q$140,0))),0)+
IFERROR((INDEX(OP_TotalRates_RES_2[[Ausnet]:[United Energy]],MATCH("Single rate",OP_TotalRates_RES_2[[Rate name]:[Rate name]],0),MATCH(I$24,OP_TotalRates_RES_2[[#Headers],[Ausnet]:[United Energy]],0))*
INDEX(Input_Usage[],MATCH($D27&amp;" - Annual",Input_Usage[[Ref]:[Ref]],0),MATCH($D$7,Inputs!$C$140:$Q$140,0))),0)),0),
ROUNDUP(
(INDEX(OP_TotalRates_RES_2[[Ausnet]:[United Energy]],MATCH("TOU - supply",OP_TotalRates_RES_2[[Rate name]:[Rate name]],0),MATCH(I$24,OP_TotalRates_RES_2[[#Headers],[Ausnet]:[United Energy]],0))*DiY)+
(INDEX(OP_TotalRates_RES_2[[Ausnet]:[United Energy]],MATCH("Peak",OP_TotalRates_RES_2[[Rate name]:[Rate name]],0),MATCH(I$24,OP_TotalRates_RES_2[[#Headers],[Ausnet]:[United Energy]],0))*
INDEX(Input_Usage[],MATCH($D27&amp;" - Peak",Input_Usage[[Ref]:[Ref]],0),MATCH($D$7,Inputs!$C$140:$Q$140,0)))+
IFERROR((INDEX(OP_TotalRates_RES_2[[Ausnet]:[United Energy]],MATCH("TOU - Shoulder",OP_TotalRates_RES_2[[Rate name]:[Rate name]],0),MATCH(I$24,OP_TotalRates_RES_2[[#Headers],[Ausnet]:[United Energy]],0))*
INDEX(Input_Usage[],MATCH($D27&amp;" - Shoulder",Input_Usage[[Ref]:[Ref]],0),MATCH($D$7,Inputs!$C$140:$Q$140,0))),0)+
(INDEX(OP_TotalRates_RES_2[[Ausnet]:[United Energy]],MATCH("Off peak",OP_TotalRates_RES_2[[Rate name]:[Rate name]],0),MATCH(I$24,OP_TotalRates_RES_2[[#Headers],[Ausnet]:[United Energy]],0))*
INDEX(Input_Usage[],MATCH($D27&amp;" - Off peak",Input_Usage[[Ref]:[Ref]],0),MATCH($D$7,Inputs!$C$140:$Q$140,0))),0)),"-")</f>
        <v>2233</v>
      </c>
      <c r="K27" s="40" t="s">
        <v>66</v>
      </c>
      <c r="L27" s="40" t="s">
        <v>171</v>
      </c>
      <c r="M27" s="99">
        <f>IFERROR(
IF($D$7="VDO 2021 - Final",
ROUNDUP(
(INDEX(OP_TotalRates_SME_2[[Ausnet]:[United Energy]],MATCH("Anytime - supply",OP_TotalRates_SME_2[[Rate name]:[Rate name]],0),MATCH(M$24,OP_TotalRates_SME_2[[#Headers],[Ausnet]:[United Energy]],0))*DiY)+
(IFERROR((INDEX(OP_TotalRates_SME_2[[Ausnet]:[United Energy]],MATCH("Block 1",OP_TotalRates_SME_2[[Rate name]:[Rate name]],0),MATCH(M$24,OP_TotalRates_SME_2[[#Headers],[Ausnet]:[United Energy]],0))*
INDEX(Input_Usage[],MATCH($L27&amp;" - Block 1",Input_Usage[[Ref]:[Ref]],0),MATCH($D$7,Inputs!$C$140:$Q$140,0))),0)+
IFERROR((INDEX(OP_TotalRates_SME_2[[Ausnet]:[United Energy]],MATCH("Balance",OP_TotalRates_SME_2[[Rate name]:[Rate name]],0),MATCH(M$24,OP_TotalRates_SME_2[[#Headers],[Ausnet]:[United Energy]],0))*
INDEX(Input_Usage[],MATCH($L27&amp;" - Balance",Input_Usage[[Ref]:[Ref]],0),MATCH($D$7,Inputs!$C$140:$Q$140,0))),0)+
IFERROR((INDEX(OP_TotalRates_SME_2[[Ausnet]:[United Energy]],MATCH("Single rate",OP_TotalRates_SME_2[[Rate name]:[Rate name]],0),MATCH(M$24,OP_TotalRates_SME_2[[#Headers],[Ausnet]:[United Energy]],0))*
INDEX(Input_Usage[],MATCH($L27&amp;" - Annual",Input_Usage[[Ref]:[Ref]],0),MATCH($D$7,Inputs!$C$140:$Q$140,0))),0)),0),
ROUNDUP(
(INDEX(OP_TotalRates_SME_2[[Ausnet]:[United Energy]],MATCH("TOU - supply",OP_TotalRates_SME_2[[Rate name]:[Rate name]],0),MATCH(M$24,OP_TotalRates_SME_2[[#Headers],[Ausnet]:[United Energy]],0))*DiY)+
(INDEX(OP_TotalRates_SME_2[[Ausnet]:[United Energy]],MATCH("Peak",OP_TotalRates_SME_2[[Rate name]:[Rate name]],0),MATCH(M$24,OP_TotalRates_SME_2[[#Headers],[Ausnet]:[United Energy]],0))*
INDEX(Input_Usage[],MATCH($L27&amp;" - Peak",Input_Usage[[Ref]:[Ref]],0),MATCH($D$7,Inputs!$C$140:$Q$140,0)))+
IFERROR((INDEX(OP_TotalRates_SME_2[[Ausnet]:[United Energy]],MATCH("TOU - Shoulder",OP_TotalRates_SME_2[[Rate name]:[Rate name]],0),MATCH(M$24,OP_TotalRates_SME_2[[#Headers],[Ausnet]:[United Energy]],0))*
INDEX(Input_Usage[],MATCH($L27&amp;" - Shoulder",Input_Usage[[Ref]:[Ref]],0),MATCH($D$7,Inputs!$C$140:$Q$140,0))),0)+
(INDEX(OP_TotalRates_SME_2[[Ausnet]:[United Energy]],MATCH("Off peak",OP_TotalRates_SME_2[[Rate name]:[Rate name]],0),MATCH(M$24,OP_TotalRates_SME_2[[#Headers],[Ausnet]:[United Energy]],0))*
INDEX(Input_Usage[],MATCH($L27&amp;" - Off peak",Input_Usage[[Ref]:[Ref]],0),MATCH($D$7,Inputs!$C$140:$Q$140,0))),0)),"-")</f>
        <v>11083</v>
      </c>
      <c r="N27" s="99">
        <f>IFERROR(
IF($D$7="VDO 2021 - Final",
ROUNDUP(
(INDEX(OP_TotalRates_SME_2[[Ausnet]:[United Energy]],MATCH("Anytime - supply",OP_TotalRates_SME_2[[Rate name]:[Rate name]],0),MATCH(N$24,OP_TotalRates_SME_2[[#Headers],[Ausnet]:[United Energy]],0))*DiY)+
(IFERROR((INDEX(OP_TotalRates_SME_2[[Ausnet]:[United Energy]],MATCH("Block 1",OP_TotalRates_SME_2[[Rate name]:[Rate name]],0),MATCH(N$24,OP_TotalRates_SME_2[[#Headers],[Ausnet]:[United Energy]],0))*
INDEX(Input_Usage[],MATCH($L27&amp;" - Block 1",Input_Usage[[Ref]:[Ref]],0),MATCH($D$7,Inputs!$C$140:$Q$140,0))),0)+
IFERROR((INDEX(OP_TotalRates_SME_2[[Ausnet]:[United Energy]],MATCH("Balance",OP_TotalRates_SME_2[[Rate name]:[Rate name]],0),MATCH(N$24,OP_TotalRates_SME_2[[#Headers],[Ausnet]:[United Energy]],0))*
INDEX(Input_Usage[],MATCH($L27&amp;" - Balance",Input_Usage[[Ref]:[Ref]],0),MATCH($D$7,Inputs!$C$140:$Q$140,0))),0)+
IFERROR((INDEX(OP_TotalRates_SME_2[[Ausnet]:[United Energy]],MATCH("Single rate",OP_TotalRates_SME_2[[Rate name]:[Rate name]],0),MATCH(N$24,OP_TotalRates_SME_2[[#Headers],[Ausnet]:[United Energy]],0))*
INDEX(Input_Usage[],MATCH($L27&amp;" - Annual",Input_Usage[[Ref]:[Ref]],0),MATCH($D$7,Inputs!$C$140:$Q$140,0))),0)),0),
ROUNDUP(
(INDEX(OP_TotalRates_SME_2[[Ausnet]:[United Energy]],MATCH("TOU - supply",OP_TotalRates_SME_2[[Rate name]:[Rate name]],0),MATCH(N$24,OP_TotalRates_SME_2[[#Headers],[Ausnet]:[United Energy]],0))*DiY)+
(INDEX(OP_TotalRates_SME_2[[Ausnet]:[United Energy]],MATCH("Peak",OP_TotalRates_SME_2[[Rate name]:[Rate name]],0),MATCH(N$24,OP_TotalRates_SME_2[[#Headers],[Ausnet]:[United Energy]],0))*
INDEX(Input_Usage[],MATCH($L27&amp;" - Peak",Input_Usage[[Ref]:[Ref]],0),MATCH($D$7,Inputs!$C$140:$Q$140,0)))+
IFERROR((INDEX(OP_TotalRates_SME_2[[Ausnet]:[United Energy]],MATCH("TOU - Shoulder",OP_TotalRates_SME_2[[Rate name]:[Rate name]],0),MATCH(N$24,OP_TotalRates_SME_2[[#Headers],[Ausnet]:[United Energy]],0))*
INDEX(Input_Usage[],MATCH($L27&amp;" - Shoulder",Input_Usage[[Ref]:[Ref]],0),MATCH($D$7,Inputs!$C$140:$Q$140,0))),0)+
(INDEX(OP_TotalRates_SME_2[[Ausnet]:[United Energy]],MATCH("Off peak",OP_TotalRates_SME_2[[Rate name]:[Rate name]],0),MATCH(N$24,OP_TotalRates_SME_2[[#Headers],[Ausnet]:[United Energy]],0))*
INDEX(Input_Usage[],MATCH($L27&amp;" - Off peak",Input_Usage[[Ref]:[Ref]],0),MATCH($D$7,Inputs!$C$140:$Q$140,0))),0)),"-")</f>
        <v>9178</v>
      </c>
      <c r="O27" s="99">
        <f>IFERROR(
IF($D$7="VDO 2021 - Final",
ROUNDUP(
(INDEX(OP_TotalRates_SME_2[[Ausnet]:[United Energy]],MATCH("Anytime - supply",OP_TotalRates_SME_2[[Rate name]:[Rate name]],0),MATCH(O$24,OP_TotalRates_SME_2[[#Headers],[Ausnet]:[United Energy]],0))*DiY)+
(IFERROR((INDEX(OP_TotalRates_SME_2[[Ausnet]:[United Energy]],MATCH("Block 1",OP_TotalRates_SME_2[[Rate name]:[Rate name]],0),MATCH(O$24,OP_TotalRates_SME_2[[#Headers],[Ausnet]:[United Energy]],0))*
INDEX(Input_Usage[],MATCH($L27&amp;" - Block 1",Input_Usage[[Ref]:[Ref]],0),MATCH($D$7,Inputs!$C$140:$Q$140,0))),0)+
IFERROR((INDEX(OP_TotalRates_SME_2[[Ausnet]:[United Energy]],MATCH("Balance",OP_TotalRates_SME_2[[Rate name]:[Rate name]],0),MATCH(O$24,OP_TotalRates_SME_2[[#Headers],[Ausnet]:[United Energy]],0))*
INDEX(Input_Usage[],MATCH($L27&amp;" - Balance",Input_Usage[[Ref]:[Ref]],0),MATCH($D$7,Inputs!$C$140:$Q$140,0))),0)+
IFERROR((INDEX(OP_TotalRates_SME_2[[Ausnet]:[United Energy]],MATCH("Single rate",OP_TotalRates_SME_2[[Rate name]:[Rate name]],0),MATCH(O$24,OP_TotalRates_SME_2[[#Headers],[Ausnet]:[United Energy]],0))*
INDEX(Input_Usage[],MATCH($L27&amp;" - Annual",Input_Usage[[Ref]:[Ref]],0),MATCH($D$7,Inputs!$C$140:$Q$140,0))),0)),0),
ROUNDUP(
(INDEX(OP_TotalRates_SME_2[[Ausnet]:[United Energy]],MATCH("TOU - supply",OP_TotalRates_SME_2[[Rate name]:[Rate name]],0),MATCH(O$24,OP_TotalRates_SME_2[[#Headers],[Ausnet]:[United Energy]],0))*DiY)+
(INDEX(OP_TotalRates_SME_2[[Ausnet]:[United Energy]],MATCH("Peak",OP_TotalRates_SME_2[[Rate name]:[Rate name]],0),MATCH(O$24,OP_TotalRates_SME_2[[#Headers],[Ausnet]:[United Energy]],0))*
INDEX(Input_Usage[],MATCH($L27&amp;" - Peak",Input_Usage[[Ref]:[Ref]],0),MATCH($D$7,Inputs!$C$140:$Q$140,0)))+
IFERROR((INDEX(OP_TotalRates_SME_2[[Ausnet]:[United Energy]],MATCH("TOU - Shoulder",OP_TotalRates_SME_2[[Rate name]:[Rate name]],0),MATCH(O$24,OP_TotalRates_SME_2[[#Headers],[Ausnet]:[United Energy]],0))*
INDEX(Input_Usage[],MATCH($L27&amp;" - Shoulder",Input_Usage[[Ref]:[Ref]],0),MATCH($D$7,Inputs!$C$140:$Q$140,0))),0)+
(INDEX(OP_TotalRates_SME_2[[Ausnet]:[United Energy]],MATCH("Off peak",OP_TotalRates_SME_2[[Rate name]:[Rate name]],0),MATCH(O$24,OP_TotalRates_SME_2[[#Headers],[Ausnet]:[United Energy]],0))*
INDEX(Input_Usage[],MATCH($L27&amp;" - Off peak",Input_Usage[[Ref]:[Ref]],0),MATCH($D$7,Inputs!$C$140:$Q$140,0))),0)),"-")</f>
        <v>9343</v>
      </c>
      <c r="P27" s="99">
        <f>IFERROR(
IF($D$7="VDO 2021 - Final",
ROUNDUP(
(INDEX(OP_TotalRates_SME_2[[Ausnet]:[United Energy]],MATCH("Anytime - supply",OP_TotalRates_SME_2[[Rate name]:[Rate name]],0),MATCH(P$24,OP_TotalRates_SME_2[[#Headers],[Ausnet]:[United Energy]],0))*DiY)+
(IFERROR((INDEX(OP_TotalRates_SME_2[[Ausnet]:[United Energy]],MATCH("Block 1",OP_TotalRates_SME_2[[Rate name]:[Rate name]],0),MATCH(P$24,OP_TotalRates_SME_2[[#Headers],[Ausnet]:[United Energy]],0))*
INDEX(Input_Usage[],MATCH($L27&amp;" - Block 1",Input_Usage[[Ref]:[Ref]],0),MATCH($D$7,Inputs!$C$140:$Q$140,0))),0)+
IFERROR((INDEX(OP_TotalRates_SME_2[[Ausnet]:[United Energy]],MATCH("Balance",OP_TotalRates_SME_2[[Rate name]:[Rate name]],0),MATCH(P$24,OP_TotalRates_SME_2[[#Headers],[Ausnet]:[United Energy]],0))*
INDEX(Input_Usage[],MATCH($L27&amp;" - Balance",Input_Usage[[Ref]:[Ref]],0),MATCH($D$7,Inputs!$C$140:$Q$140,0))),0)+
IFERROR((INDEX(OP_TotalRates_SME_2[[Ausnet]:[United Energy]],MATCH("Single rate",OP_TotalRates_SME_2[[Rate name]:[Rate name]],0),MATCH(P$24,OP_TotalRates_SME_2[[#Headers],[Ausnet]:[United Energy]],0))*
INDEX(Input_Usage[],MATCH($L27&amp;" - Annual",Input_Usage[[Ref]:[Ref]],0),MATCH($D$7,Inputs!$C$140:$Q$140,0))),0)),0),
ROUNDUP(
(INDEX(OP_TotalRates_SME_2[[Ausnet]:[United Energy]],MATCH("TOU - supply",OP_TotalRates_SME_2[[Rate name]:[Rate name]],0),MATCH(P$24,OP_TotalRates_SME_2[[#Headers],[Ausnet]:[United Energy]],0))*DiY)+
(INDEX(OP_TotalRates_SME_2[[Ausnet]:[United Energy]],MATCH("Peak",OP_TotalRates_SME_2[[Rate name]:[Rate name]],0),MATCH(P$24,OP_TotalRates_SME_2[[#Headers],[Ausnet]:[United Energy]],0))*
INDEX(Input_Usage[],MATCH($L27&amp;" - Peak",Input_Usage[[Ref]:[Ref]],0),MATCH($D$7,Inputs!$C$140:$Q$140,0)))+
IFERROR((INDEX(OP_TotalRates_SME_2[[Ausnet]:[United Energy]],MATCH("TOU - Shoulder",OP_TotalRates_SME_2[[Rate name]:[Rate name]],0),MATCH(P$24,OP_TotalRates_SME_2[[#Headers],[Ausnet]:[United Energy]],0))*
INDEX(Input_Usage[],MATCH($L27&amp;" - Shoulder",Input_Usage[[Ref]:[Ref]],0),MATCH($D$7,Inputs!$C$140:$Q$140,0))),0)+
(INDEX(OP_TotalRates_SME_2[[Ausnet]:[United Energy]],MATCH("Off peak",OP_TotalRates_SME_2[[Rate name]:[Rate name]],0),MATCH(P$24,OP_TotalRates_SME_2[[#Headers],[Ausnet]:[United Energy]],0))*
INDEX(Input_Usage[],MATCH($L27&amp;" - Off peak",Input_Usage[[Ref]:[Ref]],0),MATCH($D$7,Inputs!$C$140:$Q$140,0))),0)),"-")</f>
        <v>10079</v>
      </c>
      <c r="Q27" s="99">
        <f>IFERROR(
IF($D$7="VDO 2021 - Final",
ROUNDUP(
(INDEX(OP_TotalRates_SME_2[[Ausnet]:[United Energy]],MATCH("Anytime - supply",OP_TotalRates_SME_2[[Rate name]:[Rate name]],0),MATCH(Q$24,OP_TotalRates_SME_2[[#Headers],[Ausnet]:[United Energy]],0))*DiY)+
(IFERROR((INDEX(OP_TotalRates_SME_2[[Ausnet]:[United Energy]],MATCH("Block 1",OP_TotalRates_SME_2[[Rate name]:[Rate name]],0),MATCH(Q$24,OP_TotalRates_SME_2[[#Headers],[Ausnet]:[United Energy]],0))*
INDEX(Input_Usage[],MATCH($L27&amp;" - Block 1",Input_Usage[[Ref]:[Ref]],0),MATCH($D$7,Inputs!$C$140:$Q$140,0))),0)+
IFERROR((INDEX(OP_TotalRates_SME_2[[Ausnet]:[United Energy]],MATCH("Balance",OP_TotalRates_SME_2[[Rate name]:[Rate name]],0),MATCH(Q$24,OP_TotalRates_SME_2[[#Headers],[Ausnet]:[United Energy]],0))*
INDEX(Input_Usage[],MATCH($L27&amp;" - Balance",Input_Usage[[Ref]:[Ref]],0),MATCH($D$7,Inputs!$C$140:$Q$140,0))),0)+
IFERROR((INDEX(OP_TotalRates_SME_2[[Ausnet]:[United Energy]],MATCH("Single rate",OP_TotalRates_SME_2[[Rate name]:[Rate name]],0),MATCH(Q$24,OP_TotalRates_SME_2[[#Headers],[Ausnet]:[United Energy]],0))*
INDEX(Input_Usage[],MATCH($L27&amp;" - Annual",Input_Usage[[Ref]:[Ref]],0),MATCH($D$7,Inputs!$C$140:$Q$140,0))),0)),0),
ROUNDUP(
(INDEX(OP_TotalRates_SME_2[[Ausnet]:[United Energy]],MATCH("TOU - supply",OP_TotalRates_SME_2[[Rate name]:[Rate name]],0),MATCH(Q$24,OP_TotalRates_SME_2[[#Headers],[Ausnet]:[United Energy]],0))*DiY)+
(INDEX(OP_TotalRates_SME_2[[Ausnet]:[United Energy]],MATCH("Peak",OP_TotalRates_SME_2[[Rate name]:[Rate name]],0),MATCH(Q$24,OP_TotalRates_SME_2[[#Headers],[Ausnet]:[United Energy]],0))*
INDEX(Input_Usage[],MATCH($L27&amp;" - Peak",Input_Usage[[Ref]:[Ref]],0),MATCH($D$7,Inputs!$C$140:$Q$140,0)))+
IFERROR((INDEX(OP_TotalRates_SME_2[[Ausnet]:[United Energy]],MATCH("TOU - Shoulder",OP_TotalRates_SME_2[[Rate name]:[Rate name]],0),MATCH(Q$24,OP_TotalRates_SME_2[[#Headers],[Ausnet]:[United Energy]],0))*
INDEX(Input_Usage[],MATCH($L27&amp;" - Shoulder",Input_Usage[[Ref]:[Ref]],0),MATCH($D$7,Inputs!$C$140:$Q$140,0))),0)+
(INDEX(OP_TotalRates_SME_2[[Ausnet]:[United Energy]],MATCH("Off peak",OP_TotalRates_SME_2[[Rate name]:[Rate name]],0),MATCH(Q$24,OP_TotalRates_SME_2[[#Headers],[Ausnet]:[United Energy]],0))*
INDEX(Input_Usage[],MATCH($L27&amp;" - Off peak",Input_Usage[[Ref]:[Ref]],0),MATCH($D$7,Inputs!$C$140:$Q$140,0))),0)),"-")</f>
        <v>9513</v>
      </c>
    </row>
    <row r="29" spans="1:18" ht="15.5" hidden="1">
      <c r="E29" s="84" cm="1">
        <f t="array" ref="E29">IF($D$21="VDO 2021 - Final",
IF(E25=
ROUNDUP(
(INDEX(OP_TotalRates_RES_2[[Ausnet]:[United Energy]],MATCH("Anytime - supply",OP_TotalRates_RES_2[Rate name],0),MATCH(E$24,OP_TotalRates_RES_2[[#Headers],[Ausnet]:[United Energy]],0))*DiY)+
(IFERROR((INDEX(OP_TotalRates_RES_2[[Ausnet]:[United Energy]],MATCH("Block 1",OP_TotalRates_RES_2[Rate name],0),MATCH(E$24,OP_TotalRates_RES_2[[#Headers],[Ausnet]:[United Energy]],0))*
INDEX(Input_Usage[],MATCH($D25&amp;" - Block 1",Input_Usage[Ref],0),MATCH($D$21,Inputs!$C$140:$Q$140,0))),0)+
IFERROR((INDEX(OP_TotalRates_RES_2[[Ausnet]:[United Energy]],MATCH("Balance",OP_TotalRates_RES_2[Rate name],0),MATCH(E$24,OP_TotalRates_RES_2[[#Headers],[Ausnet]:[United Energy]],0))*
INDEX(Input_Usage[],MATCH($D25&amp;" - Balance",Input_Usage[Ref],0),MATCH($D$21,Inputs!$C$140:$Q$140,0))),0)+
IFERROR((INDEX(OP_TotalRates_RES_2[[Ausnet]:[United Energy]],MATCH("Single rate",OP_TotalRates_RES_2[Rate name],0),MATCH(E$24,OP_TotalRates_RES_2[[#Headers],[Ausnet]:[United Energy]],0))*
INDEX(Input_Usage[],MATCH($D25&amp;" - Annual",Input_Usage[Ref],0),MATCH($D$21,Inputs!$C$140:$Q$140,0))),0)),0),0,1),
IF(E25=
ROUNDUP(
(INDEX(OP_TotalRates_RES_2[[Ausnet]:[United Energy]],MATCH("TOU - supply",OP_TotalRates_RES_2[Rate name],0),MATCH(E$24,OP_TotalRates_RES_2[[#Headers],[Ausnet]:[United Energy]],0))*DiY)+
(INDEX(OP_TotalRates_RES_2[[Ausnet]:[United Energy]],MATCH("Peak",OP_TotalRates_RES_2[Rate name],0),MATCH(E$24,OP_TotalRates_RES_2[[#Headers],[Ausnet]:[United Energy]],0))*
INDEX(Input_Usage[],MATCH($D25&amp;" - Peak",Input_Usage[Profile name]&amp;" - "&amp;Input_Usage[Usage type],0),MATCH($D$21,Inputs!$C$140:$Q$140,0)))+
IFERROR((INDEX(OP_TotalRates_RES_2[[Ausnet]:[United Energy]],MATCH("TOU - Shoulder",OP_TotalRates_RES_2[Rate name],0),MATCH(E$24,OP_TotalRates_RES_2[[#Headers],[Ausnet]:[United Energy]],0))*
INDEX(Input_Usage[],MATCH($D25&amp;" - Shoulder",Input_Usage[Profile name]&amp;" - "&amp;Input_Usage[Usage type],0),MATCH($D$21,Inputs!$C$140:$Q$140,0))),0)+
(INDEX(OP_TotalRates_RES_2[[Ausnet]:[United Energy]],MATCH("Off peak",OP_TotalRates_RES_2[Rate name],0),MATCH(E$24,OP_TotalRates_RES_2[[#Headers],[Ausnet]:[United Energy]],0))*
INDEX(Input_Usage[],MATCH($D25&amp;" - Off peak",Input_Usage[Profile name]&amp;" - "&amp;Input_Usage[Usage type],0),MATCH($D$21,Inputs!$C$140:$Q$140,0))),0),0,1))</f>
        <v>0</v>
      </c>
      <c r="F29" s="84" cm="1">
        <f t="array" ref="F29">IF($D$21="VDO 2021 - Final",
IF(F25=
ROUNDUP(
(INDEX(OP_TotalRates_RES_2[[Ausnet]:[United Energy]],MATCH("Anytime - supply",OP_TotalRates_RES_2[Rate name],0),MATCH(F$24,OP_TotalRates_RES_2[[#Headers],[Ausnet]:[United Energy]],0))*DiY)+
(IFERROR((INDEX(OP_TotalRates_RES_2[[Ausnet]:[United Energy]],MATCH("Block 1",OP_TotalRates_RES_2[Rate name],0),MATCH(F$24,OP_TotalRates_RES_2[[#Headers],[Ausnet]:[United Energy]],0))*
INDEX(Input_Usage[],MATCH($D25&amp;" - Block 1",Input_Usage[Ref],0),MATCH($D$21,Inputs!$C$140:$Q$140,0))),0)+
IFERROR((INDEX(OP_TotalRates_RES_2[[Ausnet]:[United Energy]],MATCH("Balance",OP_TotalRates_RES_2[Rate name],0),MATCH(F$24,OP_TotalRates_RES_2[[#Headers],[Ausnet]:[United Energy]],0))*
INDEX(Input_Usage[],MATCH($D25&amp;" - Balance",Input_Usage[Ref],0),MATCH($D$21,Inputs!$C$140:$Q$140,0))),0)+
IFERROR((INDEX(OP_TotalRates_RES_2[[Ausnet]:[United Energy]],MATCH("Single rate",OP_TotalRates_RES_2[Rate name],0),MATCH(F$24,OP_TotalRates_RES_2[[#Headers],[Ausnet]:[United Energy]],0))*
INDEX(Input_Usage[],MATCH($D25&amp;" - Annual",Input_Usage[Ref],0),MATCH($D$21,Inputs!$C$140:$Q$140,0))),0)),0),0,1),
IF(F25=
ROUNDUP(
(INDEX(OP_TotalRates_RES_2[[Ausnet]:[United Energy]],MATCH("TOU - supply",OP_TotalRates_RES_2[Rate name],0),MATCH(F$24,OP_TotalRates_RES_2[[#Headers],[Ausnet]:[United Energy]],0))*DiY)+
(INDEX(OP_TotalRates_RES_2[[Ausnet]:[United Energy]],MATCH("Peak",OP_TotalRates_RES_2[Rate name],0),MATCH(F$24,OP_TotalRates_RES_2[[#Headers],[Ausnet]:[United Energy]],0))*
INDEX(Input_Usage[],MATCH($D25&amp;" - Peak",Input_Usage[Profile name]&amp;" - "&amp;Input_Usage[Usage type],0),MATCH($D$21,Inputs!$C$140:$Q$140,0)))+
IFERROR((INDEX(OP_TotalRates_RES_2[[Ausnet]:[United Energy]],MATCH("TOU - Shoulder",OP_TotalRates_RES_2[Rate name],0),MATCH(F$24,OP_TotalRates_RES_2[[#Headers],[Ausnet]:[United Energy]],0))*
INDEX(Input_Usage[],MATCH($D25&amp;" - Shoulder",Input_Usage[Profile name]&amp;" - "&amp;Input_Usage[Usage type],0),MATCH($D$21,Inputs!$C$140:$Q$140,0))),0)+
(INDEX(OP_TotalRates_RES_2[[Ausnet]:[United Energy]],MATCH("Off peak",OP_TotalRates_RES_2[Rate name],0),MATCH(F$24,OP_TotalRates_RES_2[[#Headers],[Ausnet]:[United Energy]],0))*
INDEX(Input_Usage[],MATCH($D25&amp;" - Off peak",Input_Usage[Profile name]&amp;" - "&amp;Input_Usage[Usage type],0),MATCH($D$21,Inputs!$C$140:$Q$140,0))),0),0,1))</f>
        <v>0</v>
      </c>
      <c r="G29" s="84" cm="1">
        <f t="array" ref="G29">IF($D$21="VDO 2021 - Final",
IF(G25=
ROUNDUP(
(INDEX(OP_TotalRates_RES_2[[Ausnet]:[United Energy]],MATCH("Anytime - supply",OP_TotalRates_RES_2[Rate name],0),MATCH(G$24,OP_TotalRates_RES_2[[#Headers],[Ausnet]:[United Energy]],0))*DiY)+
(IFERROR((INDEX(OP_TotalRates_RES_2[[Ausnet]:[United Energy]],MATCH("Block 1",OP_TotalRates_RES_2[Rate name],0),MATCH(G$24,OP_TotalRates_RES_2[[#Headers],[Ausnet]:[United Energy]],0))*
INDEX(Input_Usage[],MATCH($D25&amp;" - Block 1",Input_Usage[Ref],0),MATCH($D$21,Inputs!$C$140:$Q$140,0))),0)+
IFERROR((INDEX(OP_TotalRates_RES_2[[Ausnet]:[United Energy]],MATCH("Balance",OP_TotalRates_RES_2[Rate name],0),MATCH(G$24,OP_TotalRates_RES_2[[#Headers],[Ausnet]:[United Energy]],0))*
INDEX(Input_Usage[],MATCH($D25&amp;" - Balance",Input_Usage[Ref],0),MATCH($D$21,Inputs!$C$140:$Q$140,0))),0)+
IFERROR((INDEX(OP_TotalRates_RES_2[[Ausnet]:[United Energy]],MATCH("Single rate",OP_TotalRates_RES_2[Rate name],0),MATCH(G$24,OP_TotalRates_RES_2[[#Headers],[Ausnet]:[United Energy]],0))*
INDEX(Input_Usage[],MATCH($D25&amp;" - Annual",Input_Usage[Ref],0),MATCH($D$21,Inputs!$C$140:$Q$140,0))),0)),0),0,1),
IF(G25=
ROUNDUP(
(INDEX(OP_TotalRates_RES_2[[Ausnet]:[United Energy]],MATCH("TOU - supply",OP_TotalRates_RES_2[Rate name],0),MATCH(G$24,OP_TotalRates_RES_2[[#Headers],[Ausnet]:[United Energy]],0))*DiY)+
(INDEX(OP_TotalRates_RES_2[[Ausnet]:[United Energy]],MATCH("Peak",OP_TotalRates_RES_2[Rate name],0),MATCH(G$24,OP_TotalRates_RES_2[[#Headers],[Ausnet]:[United Energy]],0))*
INDEX(Input_Usage[],MATCH($D25&amp;" - Peak",Input_Usage[Profile name]&amp;" - "&amp;Input_Usage[Usage type],0),MATCH($D$21,Inputs!$C$140:$Q$140,0)))+
IFERROR((INDEX(OP_TotalRates_RES_2[[Ausnet]:[United Energy]],MATCH("TOU - Shoulder",OP_TotalRates_RES_2[Rate name],0),MATCH(G$24,OP_TotalRates_RES_2[[#Headers],[Ausnet]:[United Energy]],0))*
INDEX(Input_Usage[],MATCH($D25&amp;" - Shoulder",Input_Usage[Profile name]&amp;" - "&amp;Input_Usage[Usage type],0),MATCH($D$21,Inputs!$C$140:$Q$140,0))),0)+
(INDEX(OP_TotalRates_RES_2[[Ausnet]:[United Energy]],MATCH("Off peak",OP_TotalRates_RES_2[Rate name],0),MATCH(G$24,OP_TotalRates_RES_2[[#Headers],[Ausnet]:[United Energy]],0))*
INDEX(Input_Usage[],MATCH($D25&amp;" - Off peak",Input_Usage[Profile name]&amp;" - "&amp;Input_Usage[Usage type],0),MATCH($D$21,Inputs!$C$140:$Q$140,0))),0),0,1))</f>
        <v>0</v>
      </c>
      <c r="H29" s="84" cm="1">
        <f t="array" ref="H29">IF($D$21="VDO 2021 - Final",
IF(H25=
ROUNDUP(
(INDEX(OP_TotalRates_RES_2[[Ausnet]:[United Energy]],MATCH("Anytime - supply",OP_TotalRates_RES_2[Rate name],0),MATCH(H$24,OP_TotalRates_RES_2[[#Headers],[Ausnet]:[United Energy]],0))*DiY)+
(IFERROR((INDEX(OP_TotalRates_RES_2[[Ausnet]:[United Energy]],MATCH("Block 1",OP_TotalRates_RES_2[Rate name],0),MATCH(H$24,OP_TotalRates_RES_2[[#Headers],[Ausnet]:[United Energy]],0))*
INDEX(Input_Usage[],MATCH($D25&amp;" - Block 1",Input_Usage[Ref],0),MATCH($D$21,Inputs!$C$140:$Q$140,0))),0)+
IFERROR((INDEX(OP_TotalRates_RES_2[[Ausnet]:[United Energy]],MATCH("Balance",OP_TotalRates_RES_2[Rate name],0),MATCH(H$24,OP_TotalRates_RES_2[[#Headers],[Ausnet]:[United Energy]],0))*
INDEX(Input_Usage[],MATCH($D25&amp;" - Balance",Input_Usage[Ref],0),MATCH($D$21,Inputs!$C$140:$Q$140,0))),0)+
IFERROR((INDEX(OP_TotalRates_RES_2[[Ausnet]:[United Energy]],MATCH("Single rate",OP_TotalRates_RES_2[Rate name],0),MATCH(H$24,OP_TotalRates_RES_2[[#Headers],[Ausnet]:[United Energy]],0))*
INDEX(Input_Usage[],MATCH($D25&amp;" - Annual",Input_Usage[Ref],0),MATCH($D$21,Inputs!$C$140:$Q$140,0))),0)),0),0,1),
IF(H25=
ROUNDUP(
(INDEX(OP_TotalRates_RES_2[[Ausnet]:[United Energy]],MATCH("TOU - supply",OP_TotalRates_RES_2[Rate name],0),MATCH(H$24,OP_TotalRates_RES_2[[#Headers],[Ausnet]:[United Energy]],0))*DiY)+
(INDEX(OP_TotalRates_RES_2[[Ausnet]:[United Energy]],MATCH("Peak",OP_TotalRates_RES_2[Rate name],0),MATCH(H$24,OP_TotalRates_RES_2[[#Headers],[Ausnet]:[United Energy]],0))*
INDEX(Input_Usage[],MATCH($D25&amp;" - Peak",Input_Usage[Profile name]&amp;" - "&amp;Input_Usage[Usage type],0),MATCH($D$21,Inputs!$C$140:$Q$140,0)))+
IFERROR((INDEX(OP_TotalRates_RES_2[[Ausnet]:[United Energy]],MATCH("TOU - Shoulder",OP_TotalRates_RES_2[Rate name],0),MATCH(H$24,OP_TotalRates_RES_2[[#Headers],[Ausnet]:[United Energy]],0))*
INDEX(Input_Usage[],MATCH($D25&amp;" - Shoulder",Input_Usage[Profile name]&amp;" - "&amp;Input_Usage[Usage type],0),MATCH($D$21,Inputs!$C$140:$Q$140,0))),0)+
(INDEX(OP_TotalRates_RES_2[[Ausnet]:[United Energy]],MATCH("Off peak",OP_TotalRates_RES_2[Rate name],0),MATCH(H$24,OP_TotalRates_RES_2[[#Headers],[Ausnet]:[United Energy]],0))*
INDEX(Input_Usage[],MATCH($D25&amp;" - Off peak",Input_Usage[Profile name]&amp;" - "&amp;Input_Usage[Usage type],0),MATCH($D$21,Inputs!$C$140:$Q$140,0))),0),0,1))</f>
        <v>0</v>
      </c>
      <c r="I29" s="84" cm="1">
        <f t="array" ref="I29">IF($D$21="VDO 2021 - Final",
IF(I25=
ROUNDUP(
(INDEX(OP_TotalRates_RES_2[[Ausnet]:[United Energy]],MATCH("Anytime - supply",OP_TotalRates_RES_2[Rate name],0),MATCH(I$24,OP_TotalRates_RES_2[[#Headers],[Ausnet]:[United Energy]],0))*DiY)+
(IFERROR((INDEX(OP_TotalRates_RES_2[[Ausnet]:[United Energy]],MATCH("Block 1",OP_TotalRates_RES_2[Rate name],0),MATCH(I$24,OP_TotalRates_RES_2[[#Headers],[Ausnet]:[United Energy]],0))*
INDEX(Input_Usage[],MATCH($D25&amp;" - Block 1",Input_Usage[Ref],0),MATCH($D$21,Inputs!$C$140:$Q$140,0))),0)+
IFERROR((INDEX(OP_TotalRates_RES_2[[Ausnet]:[United Energy]],MATCH("Balance",OP_TotalRates_RES_2[Rate name],0),MATCH(I$24,OP_TotalRates_RES_2[[#Headers],[Ausnet]:[United Energy]],0))*
INDEX(Input_Usage[],MATCH($D25&amp;" - Balance",Input_Usage[Ref],0),MATCH($D$21,Inputs!$C$140:$Q$140,0))),0)+
IFERROR((INDEX(OP_TotalRates_RES_2[[Ausnet]:[United Energy]],MATCH("Single rate",OP_TotalRates_RES_2[Rate name],0),MATCH(I$24,OP_TotalRates_RES_2[[#Headers],[Ausnet]:[United Energy]],0))*
INDEX(Input_Usage[],MATCH($D25&amp;" - Annual",Input_Usage[Ref],0),MATCH($D$21,Inputs!$C$140:$Q$140,0))),0)),0),0,1),
IF(I25=
ROUNDUP(
(INDEX(OP_TotalRates_RES_2[[Ausnet]:[United Energy]],MATCH("TOU - supply",OP_TotalRates_RES_2[Rate name],0),MATCH(I$24,OP_TotalRates_RES_2[[#Headers],[Ausnet]:[United Energy]],0))*DiY)+
(INDEX(OP_TotalRates_RES_2[[Ausnet]:[United Energy]],MATCH("Peak",OP_TotalRates_RES_2[Rate name],0),MATCH(I$24,OP_TotalRates_RES_2[[#Headers],[Ausnet]:[United Energy]],0))*
INDEX(Input_Usage[],MATCH($D25&amp;" - Peak",Input_Usage[Profile name]&amp;" - "&amp;Input_Usage[Usage type],0),MATCH($D$21,Inputs!$C$140:$Q$140,0)))+
IFERROR((INDEX(OP_TotalRates_RES_2[[Ausnet]:[United Energy]],MATCH("TOU - Shoulder",OP_TotalRates_RES_2[Rate name],0),MATCH(I$24,OP_TotalRates_RES_2[[#Headers],[Ausnet]:[United Energy]],0))*
INDEX(Input_Usage[],MATCH($D25&amp;" - Shoulder",Input_Usage[Profile name]&amp;" - "&amp;Input_Usage[Usage type],0),MATCH($D$21,Inputs!$C$140:$Q$140,0))),0)+
(INDEX(OP_TotalRates_RES_2[[Ausnet]:[United Energy]],MATCH("Off peak",OP_TotalRates_RES_2[Rate name],0),MATCH(I$24,OP_TotalRates_RES_2[[#Headers],[Ausnet]:[United Energy]],0))*
INDEX(Input_Usage[],MATCH($D25&amp;" - Off peak",Input_Usage[Profile name]&amp;" - "&amp;Input_Usage[Usage type],0),MATCH($D$21,Inputs!$C$140:$Q$140,0))),0),0,1))</f>
        <v>0</v>
      </c>
      <c r="M29" s="84" cm="1">
        <f t="array" ref="M29">IF($D$21="VDO 2021 - Final",
IF(M25=
ROUNDUP(
(INDEX(OP_TotalRates_SME_2[[Ausnet]:[United Energy]],MATCH("Anytime - supply",OP_TotalRates_SME_2[Rate name],0),MATCH(M$24,OP_TotalRates_SME_2[[#Headers],[Ausnet]:[United Energy]],0))*DiY)+
(IFERROR((INDEX(OP_TotalRates_SME_2[[Ausnet]:[United Energy]],MATCH("Block 1",OP_TotalRates_SME_2[Rate name],0),MATCH(M$24,OP_TotalRates_SME_2[[#Headers],[Ausnet]:[United Energy]],0))*
INDEX(Input_Usage[],MATCH($L25&amp;" - Block 1",Input_Usage[Profile name]&amp;" - "&amp;Input_Usage[Usage type],0),MATCH($D$21,Inputs!$C$140:$Q$140,0))),0)+
IFERROR((INDEX(OP_TotalRates_SME_2[[Ausnet]:[United Energy]],MATCH("Balance",OP_TotalRates_SME_2[Rate name],0),MATCH(M$24,OP_TotalRates_SME_2[[#Headers],[Ausnet]:[United Energy]],0))*
INDEX(Input_Usage[],MATCH($L25&amp;" - Balance",Input_Usage[Profile name]&amp;" - "&amp;Input_Usage[Usage type],0),MATCH($D$21,Inputs!$C$140:$Q$140,0))),0)+
IFERROR((INDEX(OP_TotalRates_SME_2[[Ausnet]:[United Energy]],MATCH("Single rate",OP_TotalRates_SME_2[Rate name],0),MATCH(M$24,OP_TotalRates_SME_2[[#Headers],[Ausnet]:[United Energy]],0))*
INDEX(Input_Usage[],MATCH($L25&amp;" - Annual",Input_Usage[Profile name]&amp;" - "&amp;Input_Usage[Usage type],0),MATCH($D$21,Inputs!$C$140:$Q$140,0))),0)),0),0,1),
IF(M25=
ROUNDUP(
(INDEX(OP_TotalRates_SME_2[[Ausnet]:[United Energy]],MATCH("TOU - supply",OP_TotalRates_SME_2[Rate name],0),MATCH(M$24,OP_TotalRates_SME_2[[#Headers],[Ausnet]:[United Energy]],0))*DiY)+
(INDEX(OP_TotalRates_SME_2[[Ausnet]:[United Energy]],MATCH("Peak",OP_TotalRates_SME_2[Rate name],0),MATCH(M$24,OP_TotalRates_SME_2[[#Headers],[Ausnet]:[United Energy]],0))*
INDEX(Input_Usage[],MATCH($L25&amp;" - Peak",Input_Usage[Profile name]&amp;" - "&amp;Input_Usage[Usage type],0),MATCH($D$21,Inputs!$C$140:$Q$140,0)))+
IFERROR((INDEX(OP_TotalRates_SME_2[[Ausnet]:[United Energy]],MATCH("TOU - Shoulder",OP_TotalRates_SME_2[Rate name],0),MATCH(M$24,OP_TotalRates_SME_2[[#Headers],[Ausnet]:[United Energy]],0))*
INDEX(Input_Usage[],MATCH($L25&amp;" - Shoulder",Input_Usage[Profile name]&amp;" - "&amp;Input_Usage[Usage type],0),MATCH($D$21,Inputs!$C$140:$Q$140,0))),0)+
(INDEX(OP_TotalRates_SME_2[[Ausnet]:[United Energy]],MATCH("Off peak",OP_TotalRates_SME_2[Rate name],0),MATCH(M$24,OP_TotalRates_SME_2[[#Headers],[Ausnet]:[United Energy]],0))*
INDEX(Input_Usage[],MATCH($L25&amp;" - Off peak",Input_Usage[Profile name]&amp;" - "&amp;Input_Usage[Usage type],0),MATCH($D$21,Inputs!$C$140:$Q$140,0))),0),0,1))</f>
        <v>0</v>
      </c>
      <c r="N29" s="84" cm="1">
        <f t="array" ref="N29">IF($D$21="VDO 2021 - Final",
IF(N25=
ROUNDUP(
(INDEX(OP_TotalRates_SME_2[[Ausnet]:[United Energy]],MATCH("Anytime - supply",OP_TotalRates_SME_2[Rate name],0),MATCH(N$24,OP_TotalRates_SME_2[[#Headers],[Ausnet]:[United Energy]],0))*DiY)+
(IFERROR((INDEX(OP_TotalRates_SME_2[[Ausnet]:[United Energy]],MATCH("Block 1",OP_TotalRates_SME_2[Rate name],0),MATCH(N$24,OP_TotalRates_SME_2[[#Headers],[Ausnet]:[United Energy]],0))*
INDEX(Input_Usage[],MATCH($L25&amp;" - Block 1",Input_Usage[Profile name]&amp;" - "&amp;Input_Usage[Usage type],0),MATCH($D$21,Inputs!$C$140:$Q$140,0))),0)+
IFERROR((INDEX(OP_TotalRates_SME_2[[Ausnet]:[United Energy]],MATCH("Balance",OP_TotalRates_SME_2[Rate name],0),MATCH(N$24,OP_TotalRates_SME_2[[#Headers],[Ausnet]:[United Energy]],0))*
INDEX(Input_Usage[],MATCH($L25&amp;" - Balance",Input_Usage[Profile name]&amp;" - "&amp;Input_Usage[Usage type],0),MATCH($D$21,Inputs!$C$140:$Q$140,0))),0)+
IFERROR((INDEX(OP_TotalRates_SME_2[[Ausnet]:[United Energy]],MATCH("Single rate",OP_TotalRates_SME_2[Rate name],0),MATCH(N$24,OP_TotalRates_SME_2[[#Headers],[Ausnet]:[United Energy]],0))*
INDEX(Input_Usage[],MATCH($L25&amp;" - Annual",Input_Usage[Profile name]&amp;" - "&amp;Input_Usage[Usage type],0),MATCH($D$21,Inputs!$C$140:$Q$140,0))),0)),0),0,1),
IF(N25=
ROUNDUP(
(INDEX(OP_TotalRates_SME_2[[Ausnet]:[United Energy]],MATCH("TOU - supply",OP_TotalRates_SME_2[Rate name],0),MATCH(N$24,OP_TotalRates_SME_2[[#Headers],[Ausnet]:[United Energy]],0))*DiY)+
(INDEX(OP_TotalRates_SME_2[[Ausnet]:[United Energy]],MATCH("Peak",OP_TotalRates_SME_2[Rate name],0),MATCH(N$24,OP_TotalRates_SME_2[[#Headers],[Ausnet]:[United Energy]],0))*
INDEX(Input_Usage[],MATCH($L25&amp;" - Peak",Input_Usage[Profile name]&amp;" - "&amp;Input_Usage[Usage type],0),MATCH($D$21,Inputs!$C$140:$Q$140,0)))+
IFERROR((INDEX(OP_TotalRates_SME_2[[Ausnet]:[United Energy]],MATCH("TOU - Shoulder",OP_TotalRates_SME_2[Rate name],0),MATCH(N$24,OP_TotalRates_SME_2[[#Headers],[Ausnet]:[United Energy]],0))*
INDEX(Input_Usage[],MATCH($L25&amp;" - Shoulder",Input_Usage[Profile name]&amp;" - "&amp;Input_Usage[Usage type],0),MATCH($D$21,Inputs!$C$140:$Q$140,0))),0)+
(INDEX(OP_TotalRates_SME_2[[Ausnet]:[United Energy]],MATCH("Off peak",OP_TotalRates_SME_2[Rate name],0),MATCH(N$24,OP_TotalRates_SME_2[[#Headers],[Ausnet]:[United Energy]],0))*
INDEX(Input_Usage[],MATCH($L25&amp;" - Off peak",Input_Usage[Profile name]&amp;" - "&amp;Input_Usage[Usage type],0),MATCH($D$21,Inputs!$C$140:$Q$140,0))),0),0,1))</f>
        <v>0</v>
      </c>
      <c r="O29" s="84" cm="1">
        <f t="array" ref="O29">IF($D$21="VDO 2021 - Final",
IF(O25=
ROUNDUP(
(INDEX(OP_TotalRates_SME_2[[Ausnet]:[United Energy]],MATCH("Anytime - supply",OP_TotalRates_SME_2[Rate name],0),MATCH(O$24,OP_TotalRates_SME_2[[#Headers],[Ausnet]:[United Energy]],0))*DiY)+
(IFERROR((INDEX(OP_TotalRates_SME_2[[Ausnet]:[United Energy]],MATCH("Block 1",OP_TotalRates_SME_2[Rate name],0),MATCH(O$24,OP_TotalRates_SME_2[[#Headers],[Ausnet]:[United Energy]],0))*
INDEX(Input_Usage[],MATCH($L25&amp;" - Block 1",Input_Usage[Profile name]&amp;" - "&amp;Input_Usage[Usage type],0),MATCH($D$21,Inputs!$C$140:$Q$140,0))),0)+
IFERROR((INDEX(OP_TotalRates_SME_2[[Ausnet]:[United Energy]],MATCH("Balance",OP_TotalRates_SME_2[Rate name],0),MATCH(O$24,OP_TotalRates_SME_2[[#Headers],[Ausnet]:[United Energy]],0))*
INDEX(Input_Usage[],MATCH($L25&amp;" - Balance",Input_Usage[Profile name]&amp;" - "&amp;Input_Usage[Usage type],0),MATCH($D$21,Inputs!$C$140:$Q$140,0))),0)+
IFERROR((INDEX(OP_TotalRates_SME_2[[Ausnet]:[United Energy]],MATCH("Single rate",OP_TotalRates_SME_2[Rate name],0),MATCH(O$24,OP_TotalRates_SME_2[[#Headers],[Ausnet]:[United Energy]],0))*
INDEX(Input_Usage[],MATCH($L25&amp;" - Annual",Input_Usage[Profile name]&amp;" - "&amp;Input_Usage[Usage type],0),MATCH($D$21,Inputs!$C$140:$Q$140,0))),0)),0),0,1),
IF(O25=
ROUNDUP(
(INDEX(OP_TotalRates_SME_2[[Ausnet]:[United Energy]],MATCH("TOU - supply",OP_TotalRates_SME_2[Rate name],0),MATCH(O$24,OP_TotalRates_SME_2[[#Headers],[Ausnet]:[United Energy]],0))*DiY)+
(INDEX(OP_TotalRates_SME_2[[Ausnet]:[United Energy]],MATCH("Peak",OP_TotalRates_SME_2[Rate name],0),MATCH(O$24,OP_TotalRates_SME_2[[#Headers],[Ausnet]:[United Energy]],0))*
INDEX(Input_Usage[],MATCH($L25&amp;" - Peak",Input_Usage[Profile name]&amp;" - "&amp;Input_Usage[Usage type],0),MATCH($D$21,Inputs!$C$140:$Q$140,0)))+
IFERROR((INDEX(OP_TotalRates_SME_2[[Ausnet]:[United Energy]],MATCH("TOU - Shoulder",OP_TotalRates_SME_2[Rate name],0),MATCH(O$24,OP_TotalRates_SME_2[[#Headers],[Ausnet]:[United Energy]],0))*
INDEX(Input_Usage[],MATCH($L25&amp;" - Shoulder",Input_Usage[Profile name]&amp;" - "&amp;Input_Usage[Usage type],0),MATCH($D$21,Inputs!$C$140:$Q$140,0))),0)+
(INDEX(OP_TotalRates_SME_2[[Ausnet]:[United Energy]],MATCH("Off peak",OP_TotalRates_SME_2[Rate name],0),MATCH(O$24,OP_TotalRates_SME_2[[#Headers],[Ausnet]:[United Energy]],0))*
INDEX(Input_Usage[],MATCH($L25&amp;" - Off peak",Input_Usage[Profile name]&amp;" - "&amp;Input_Usage[Usage type],0),MATCH($D$21,Inputs!$C$140:$Q$140,0))),0),0,1))</f>
        <v>0</v>
      </c>
      <c r="P29" s="84" cm="1">
        <f t="array" ref="P29">IF($D$21="VDO 2021 - Final",
IF(P25=
ROUNDUP(
(INDEX(OP_TotalRates_SME_2[[Ausnet]:[United Energy]],MATCH("Anytime - supply",OP_TotalRates_SME_2[Rate name],0),MATCH(P$24,OP_TotalRates_SME_2[[#Headers],[Ausnet]:[United Energy]],0))*DiY)+
(IFERROR((INDEX(OP_TotalRates_SME_2[[Ausnet]:[United Energy]],MATCH("Block 1",OP_TotalRates_SME_2[Rate name],0),MATCH(P$24,OP_TotalRates_SME_2[[#Headers],[Ausnet]:[United Energy]],0))*
INDEX(Input_Usage[],MATCH($L25&amp;" - Block 1",Input_Usage[Profile name]&amp;" - "&amp;Input_Usage[Usage type],0),MATCH($D$21,Inputs!$C$140:$Q$140,0))),0)+
IFERROR((INDEX(OP_TotalRates_SME_2[[Ausnet]:[United Energy]],MATCH("Balance",OP_TotalRates_SME_2[Rate name],0),MATCH(P$24,OP_TotalRates_SME_2[[#Headers],[Ausnet]:[United Energy]],0))*
INDEX(Input_Usage[],MATCH($L25&amp;" - Balance",Input_Usage[Profile name]&amp;" - "&amp;Input_Usage[Usage type],0),MATCH($D$21,Inputs!$C$140:$Q$140,0))),0)+
IFERROR((INDEX(OP_TotalRates_SME_2[[Ausnet]:[United Energy]],MATCH("Single rate",OP_TotalRates_SME_2[Rate name],0),MATCH(P$24,OP_TotalRates_SME_2[[#Headers],[Ausnet]:[United Energy]],0))*
INDEX(Input_Usage[],MATCH($L25&amp;" - Annual",Input_Usage[Profile name]&amp;" - "&amp;Input_Usage[Usage type],0),MATCH($D$21,Inputs!$C$140:$Q$140,0))),0)),0),0,1),
IF(P25=
ROUNDUP(
(INDEX(OP_TotalRates_SME_2[[Ausnet]:[United Energy]],MATCH("TOU - supply",OP_TotalRates_SME_2[Rate name],0),MATCH(P$24,OP_TotalRates_SME_2[[#Headers],[Ausnet]:[United Energy]],0))*DiY)+
(INDEX(OP_TotalRates_SME_2[[Ausnet]:[United Energy]],MATCH("Peak",OP_TotalRates_SME_2[Rate name],0),MATCH(P$24,OP_TotalRates_SME_2[[#Headers],[Ausnet]:[United Energy]],0))*
INDEX(Input_Usage[],MATCH($L25&amp;" - Peak",Input_Usage[Profile name]&amp;" - "&amp;Input_Usage[Usage type],0),MATCH($D$21,Inputs!$C$140:$Q$140,0)))+
IFERROR((INDEX(OP_TotalRates_SME_2[[Ausnet]:[United Energy]],MATCH("TOU - Shoulder",OP_TotalRates_SME_2[Rate name],0),MATCH(P$24,OP_TotalRates_SME_2[[#Headers],[Ausnet]:[United Energy]],0))*
INDEX(Input_Usage[],MATCH($L25&amp;" - Shoulder",Input_Usage[Profile name]&amp;" - "&amp;Input_Usage[Usage type],0),MATCH($D$21,Inputs!$C$140:$Q$140,0))),0)+
(INDEX(OP_TotalRates_SME_2[[Ausnet]:[United Energy]],MATCH("Off peak",OP_TotalRates_SME_2[Rate name],0),MATCH(P$24,OP_TotalRates_SME_2[[#Headers],[Ausnet]:[United Energy]],0))*
INDEX(Input_Usage[],MATCH($L25&amp;" - Off peak",Input_Usage[Profile name]&amp;" - "&amp;Input_Usage[Usage type],0),MATCH($D$21,Inputs!$C$140:$Q$140,0))),0),0,1))</f>
        <v>0</v>
      </c>
      <c r="Q29" s="84" cm="1">
        <f t="array" ref="Q29">IF($D$21="VDO 2021 - Final",
IF(Q25=
ROUNDUP(
(INDEX(OP_TotalRates_SME_2[[Ausnet]:[United Energy]],MATCH("Anytime - supply",OP_TotalRates_SME_2[Rate name],0),MATCH(Q$24,OP_TotalRates_SME_2[[#Headers],[Ausnet]:[United Energy]],0))*DiY)+
(IFERROR((INDEX(OP_TotalRates_SME_2[[Ausnet]:[United Energy]],MATCH("Block 1",OP_TotalRates_SME_2[Rate name],0),MATCH(Q$24,OP_TotalRates_SME_2[[#Headers],[Ausnet]:[United Energy]],0))*
INDEX(Input_Usage[],MATCH($L25&amp;" - Block 1",Input_Usage[Profile name]&amp;" - "&amp;Input_Usage[Usage type],0),MATCH($D$21,Inputs!$C$140:$Q$140,0))),0)+
IFERROR((INDEX(OP_TotalRates_SME_2[[Ausnet]:[United Energy]],MATCH("Balance",OP_TotalRates_SME_2[Rate name],0),MATCH(Q$24,OP_TotalRates_SME_2[[#Headers],[Ausnet]:[United Energy]],0))*
INDEX(Input_Usage[],MATCH($L25&amp;" - Balance",Input_Usage[Profile name]&amp;" - "&amp;Input_Usage[Usage type],0),MATCH($D$21,Inputs!$C$140:$Q$140,0))),0)+
IFERROR((INDEX(OP_TotalRates_SME_2[[Ausnet]:[United Energy]],MATCH("Single rate",OP_TotalRates_SME_2[Rate name],0),MATCH(Q$24,OP_TotalRates_SME_2[[#Headers],[Ausnet]:[United Energy]],0))*
INDEX(Input_Usage[],MATCH($L25&amp;" - Annual",Input_Usage[Profile name]&amp;" - "&amp;Input_Usage[Usage type],0),MATCH($D$21,Inputs!$C$140:$Q$140,0))),0)),0),0,1),
IF(Q25=
ROUNDUP(
(INDEX(OP_TotalRates_SME_2[[Ausnet]:[United Energy]],MATCH("TOU - supply",OP_TotalRates_SME_2[Rate name],0),MATCH(Q$24,OP_TotalRates_SME_2[[#Headers],[Ausnet]:[United Energy]],0))*DiY)+
(INDEX(OP_TotalRates_SME_2[[Ausnet]:[United Energy]],MATCH("Peak",OP_TotalRates_SME_2[Rate name],0),MATCH(Q$24,OP_TotalRates_SME_2[[#Headers],[Ausnet]:[United Energy]],0))*
INDEX(Input_Usage[],MATCH($L25&amp;" - Peak",Input_Usage[Profile name]&amp;" - "&amp;Input_Usage[Usage type],0),MATCH($D$21,Inputs!$C$140:$Q$140,0)))+
IFERROR((INDEX(OP_TotalRates_SME_2[[Ausnet]:[United Energy]],MATCH("TOU - Shoulder",OP_TotalRates_SME_2[Rate name],0),MATCH(Q$24,OP_TotalRates_SME_2[[#Headers],[Ausnet]:[United Energy]],0))*
INDEX(Input_Usage[],MATCH($L25&amp;" - Shoulder",Input_Usage[Profile name]&amp;" - "&amp;Input_Usage[Usage type],0),MATCH($D$21,Inputs!$C$140:$Q$140,0))),0)+
(INDEX(OP_TotalRates_SME_2[[Ausnet]:[United Energy]],MATCH("Off peak",OP_TotalRates_SME_2[Rate name],0),MATCH(Q$24,OP_TotalRates_SME_2[[#Headers],[Ausnet]:[United Energy]],0))*
INDEX(Input_Usage[],MATCH($L25&amp;" - Off peak",Input_Usage[Profile name]&amp;" - "&amp;Input_Usage[Usage type],0),MATCH($D$21,Inputs!$C$140:$Q$140,0))),0),0,1))</f>
        <v>0</v>
      </c>
    </row>
    <row r="30" spans="1:18" ht="15.5" hidden="1">
      <c r="E30" s="84" cm="1">
        <f t="array" ref="E30">IF($D$21="VDO 2021 - Final",
IF(E26=
ROUNDUP(
(INDEX(OP_TotalRates_RES_2[[Ausnet]:[United Energy]],MATCH("Anytime - supply",OP_TotalRates_RES_2[Rate name],0),MATCH(E$24,OP_TotalRates_RES_2[[#Headers],[Ausnet]:[United Energy]],0))*DiY)+
(IFERROR((INDEX(OP_TotalRates_RES_2[[Ausnet]:[United Energy]],MATCH("Block 1",OP_TotalRates_RES_2[Rate name],0),MATCH(E$24,OP_TotalRates_RES_2[[#Headers],[Ausnet]:[United Energy]],0))*
INDEX(Input_Usage[],MATCH($D26&amp;" - Block 1",Input_Usage[Ref],0),MATCH($D$21,Inputs!$C$140:$Q$140,0))),0)+
IFERROR((INDEX(OP_TotalRates_RES_2[[Ausnet]:[United Energy]],MATCH("Balance",OP_TotalRates_RES_2[Rate name],0),MATCH(E$24,OP_TotalRates_RES_2[[#Headers],[Ausnet]:[United Energy]],0))*
INDEX(Input_Usage[],MATCH($D26&amp;" - Balance",Input_Usage[Ref],0),MATCH($D$21,Inputs!$C$140:$Q$140,0))),0)+
IFERROR((INDEX(OP_TotalRates_RES_2[[Ausnet]:[United Energy]],MATCH("Single rate",OP_TotalRates_RES_2[Rate name],0),MATCH(E$24,OP_TotalRates_RES_2[[#Headers],[Ausnet]:[United Energy]],0))*
INDEX(Input_Usage[],MATCH($D26&amp;" - Annual",Input_Usage[Ref],0),MATCH($D$21,Inputs!$C$140:$Q$140,0))),0)),0),0,1),
IF(E26=
ROUNDUP(
(INDEX(OP_TotalRates_RES_2[[Ausnet]:[United Energy]],MATCH("TOU - supply",OP_TotalRates_RES_2[Rate name],0),MATCH(E$24,OP_TotalRates_RES_2[[#Headers],[Ausnet]:[United Energy]],0))*DiY)+
(INDEX(OP_TotalRates_RES_2[[Ausnet]:[United Energy]],MATCH("Peak",OP_TotalRates_RES_2[Rate name],0),MATCH(E$24,OP_TotalRates_RES_2[[#Headers],[Ausnet]:[United Energy]],0))*
INDEX(Input_Usage[],MATCH($D26&amp;" - Peak",Input_Usage[Profile name]&amp;" - "&amp;Input_Usage[Usage type],0),MATCH($D$21,Inputs!$C$140:$Q$140,0)))+
IFERROR((INDEX(OP_TotalRates_RES_2[[Ausnet]:[United Energy]],MATCH("TOU - Shoulder",OP_TotalRates_RES_2[Rate name],0),MATCH(E$24,OP_TotalRates_RES_2[[#Headers],[Ausnet]:[United Energy]],0))*
INDEX(Input_Usage[],MATCH($D26&amp;" - Shoulder",Input_Usage[Profile name]&amp;" - "&amp;Input_Usage[Usage type],0),MATCH($D$21,Inputs!$C$140:$Q$140,0))),0)+
(INDEX(OP_TotalRates_RES_2[[Ausnet]:[United Energy]],MATCH("Off peak",OP_TotalRates_RES_2[Rate name],0),MATCH(E$24,OP_TotalRates_RES_2[[#Headers],[Ausnet]:[United Energy]],0))*
INDEX(Input_Usage[],MATCH($D26&amp;" - Off peak",Input_Usage[Profile name]&amp;" - "&amp;Input_Usage[Usage type],0),MATCH($D$21,Inputs!$C$140:$Q$140,0))),0),0,1))</f>
        <v>0</v>
      </c>
      <c r="F30" s="84" cm="1">
        <f t="array" ref="F30">IF($D$21="VDO 2021 - Final",
IF(F26=
ROUNDUP(
(INDEX(OP_TotalRates_RES_2[[Ausnet]:[United Energy]],MATCH("Anytime - supply",OP_TotalRates_RES_2[Rate name],0),MATCH(F$24,OP_TotalRates_RES_2[[#Headers],[Ausnet]:[United Energy]],0))*DiY)+
(IFERROR((INDEX(OP_TotalRates_RES_2[[Ausnet]:[United Energy]],MATCH("Block 1",OP_TotalRates_RES_2[Rate name],0),MATCH(F$24,OP_TotalRates_RES_2[[#Headers],[Ausnet]:[United Energy]],0))*
INDEX(Input_Usage[],MATCH($D26&amp;" - Block 1",Input_Usage[Ref],0),MATCH($D$21,Inputs!$C$140:$Q$140,0))),0)+
IFERROR((INDEX(OP_TotalRates_RES_2[[Ausnet]:[United Energy]],MATCH("Balance",OP_TotalRates_RES_2[Rate name],0),MATCH(F$24,OP_TotalRates_RES_2[[#Headers],[Ausnet]:[United Energy]],0))*
INDEX(Input_Usage[],MATCH($D26&amp;" - Balance",Input_Usage[Ref],0),MATCH($D$21,Inputs!$C$140:$Q$140,0))),0)+
IFERROR((INDEX(OP_TotalRates_RES_2[[Ausnet]:[United Energy]],MATCH("Single rate",OP_TotalRates_RES_2[Rate name],0),MATCH(F$24,OP_TotalRates_RES_2[[#Headers],[Ausnet]:[United Energy]],0))*
INDEX(Input_Usage[],MATCH($D26&amp;" - Annual",Input_Usage[Ref],0),MATCH($D$21,Inputs!$C$140:$Q$140,0))),0)),0),0,1),
IF(F26=
ROUNDUP(
(INDEX(OP_TotalRates_RES_2[[Ausnet]:[United Energy]],MATCH("TOU - supply",OP_TotalRates_RES_2[Rate name],0),MATCH(F$24,OP_TotalRates_RES_2[[#Headers],[Ausnet]:[United Energy]],0))*DiY)+
(INDEX(OP_TotalRates_RES_2[[Ausnet]:[United Energy]],MATCH("Peak",OP_TotalRates_RES_2[Rate name],0),MATCH(F$24,OP_TotalRates_RES_2[[#Headers],[Ausnet]:[United Energy]],0))*
INDEX(Input_Usage[],MATCH($D26&amp;" - Peak",Input_Usage[Profile name]&amp;" - "&amp;Input_Usage[Usage type],0),MATCH($D$21,Inputs!$C$140:$Q$140,0)))+
IFERROR((INDEX(OP_TotalRates_RES_2[[Ausnet]:[United Energy]],MATCH("TOU - Shoulder",OP_TotalRates_RES_2[Rate name],0),MATCH(F$24,OP_TotalRates_RES_2[[#Headers],[Ausnet]:[United Energy]],0))*
INDEX(Input_Usage[],MATCH($D26&amp;" - Shoulder",Input_Usage[Profile name]&amp;" - "&amp;Input_Usage[Usage type],0),MATCH($D$21,Inputs!$C$140:$Q$140,0))),0)+
(INDEX(OP_TotalRates_RES_2[[Ausnet]:[United Energy]],MATCH("Off peak",OP_TotalRates_RES_2[Rate name],0),MATCH(F$24,OP_TotalRates_RES_2[[#Headers],[Ausnet]:[United Energy]],0))*
INDEX(Input_Usage[],MATCH($D26&amp;" - Off peak",Input_Usage[Profile name]&amp;" - "&amp;Input_Usage[Usage type],0),MATCH($D$21,Inputs!$C$140:$Q$140,0))),0),0,1))</f>
        <v>0</v>
      </c>
      <c r="G30" s="84" cm="1">
        <f t="array" ref="G30">IF($D$21="VDO 2021 - Final",
IF(G26=
ROUNDUP(
(INDEX(OP_TotalRates_RES_2[[Ausnet]:[United Energy]],MATCH("Anytime - supply",OP_TotalRates_RES_2[Rate name],0),MATCH(G$24,OP_TotalRates_RES_2[[#Headers],[Ausnet]:[United Energy]],0))*DiY)+
(IFERROR((INDEX(OP_TotalRates_RES_2[[Ausnet]:[United Energy]],MATCH("Block 1",OP_TotalRates_RES_2[Rate name],0),MATCH(G$24,OP_TotalRates_RES_2[[#Headers],[Ausnet]:[United Energy]],0))*
INDEX(Input_Usage[],MATCH($D26&amp;" - Block 1",Input_Usage[Ref],0),MATCH($D$21,Inputs!$C$140:$Q$140,0))),0)+
IFERROR((INDEX(OP_TotalRates_RES_2[[Ausnet]:[United Energy]],MATCH("Balance",OP_TotalRates_RES_2[Rate name],0),MATCH(G$24,OP_TotalRates_RES_2[[#Headers],[Ausnet]:[United Energy]],0))*
INDEX(Input_Usage[],MATCH($D26&amp;" - Balance",Input_Usage[Ref],0),MATCH($D$21,Inputs!$C$140:$Q$140,0))),0)+
IFERROR((INDEX(OP_TotalRates_RES_2[[Ausnet]:[United Energy]],MATCH("Single rate",OP_TotalRates_RES_2[Rate name],0),MATCH(G$24,OP_TotalRates_RES_2[[#Headers],[Ausnet]:[United Energy]],0))*
INDEX(Input_Usage[],MATCH($D26&amp;" - Annual",Input_Usage[Ref],0),MATCH($D$21,Inputs!$C$140:$Q$140,0))),0)),0),0,1),
IF(G26=
ROUNDUP(
(INDEX(OP_TotalRates_RES_2[[Ausnet]:[United Energy]],MATCH("TOU - supply",OP_TotalRates_RES_2[Rate name],0),MATCH(G$24,OP_TotalRates_RES_2[[#Headers],[Ausnet]:[United Energy]],0))*DiY)+
(INDEX(OP_TotalRates_RES_2[[Ausnet]:[United Energy]],MATCH("Peak",OP_TotalRates_RES_2[Rate name],0),MATCH(G$24,OP_TotalRates_RES_2[[#Headers],[Ausnet]:[United Energy]],0))*
INDEX(Input_Usage[],MATCH($D26&amp;" - Peak",Input_Usage[Profile name]&amp;" - "&amp;Input_Usage[Usage type],0),MATCH($D$21,Inputs!$C$140:$Q$140,0)))+
IFERROR((INDEX(OP_TotalRates_RES_2[[Ausnet]:[United Energy]],MATCH("TOU - Shoulder",OP_TotalRates_RES_2[Rate name],0),MATCH(G$24,OP_TotalRates_RES_2[[#Headers],[Ausnet]:[United Energy]],0))*
INDEX(Input_Usage[],MATCH($D26&amp;" - Shoulder",Input_Usage[Profile name]&amp;" - "&amp;Input_Usage[Usage type],0),MATCH($D$21,Inputs!$C$140:$Q$140,0))),0)+
(INDEX(OP_TotalRates_RES_2[[Ausnet]:[United Energy]],MATCH("Off peak",OP_TotalRates_RES_2[Rate name],0),MATCH(G$24,OP_TotalRates_RES_2[[#Headers],[Ausnet]:[United Energy]],0))*
INDEX(Input_Usage[],MATCH($D26&amp;" - Off peak",Input_Usage[Profile name]&amp;" - "&amp;Input_Usage[Usage type],0),MATCH($D$21,Inputs!$C$140:$Q$140,0))),0),0,1))</f>
        <v>0</v>
      </c>
      <c r="H30" s="84" cm="1">
        <f t="array" ref="H30">IF($D$21="VDO 2021 - Final",
IF(H26=
ROUNDUP(
(INDEX(OP_TotalRates_RES_2[[Ausnet]:[United Energy]],MATCH("Anytime - supply",OP_TotalRates_RES_2[Rate name],0),MATCH(H$24,OP_TotalRates_RES_2[[#Headers],[Ausnet]:[United Energy]],0))*DiY)+
(IFERROR((INDEX(OP_TotalRates_RES_2[[Ausnet]:[United Energy]],MATCH("Block 1",OP_TotalRates_RES_2[Rate name],0),MATCH(H$24,OP_TotalRates_RES_2[[#Headers],[Ausnet]:[United Energy]],0))*
INDEX(Input_Usage[],MATCH($D26&amp;" - Block 1",Input_Usage[Ref],0),MATCH($D$21,Inputs!$C$140:$Q$140,0))),0)+
IFERROR((INDEX(OP_TotalRates_RES_2[[Ausnet]:[United Energy]],MATCH("Balance",OP_TotalRates_RES_2[Rate name],0),MATCH(H$24,OP_TotalRates_RES_2[[#Headers],[Ausnet]:[United Energy]],0))*
INDEX(Input_Usage[],MATCH($D26&amp;" - Balance",Input_Usage[Ref],0),MATCH($D$21,Inputs!$C$140:$Q$140,0))),0)+
IFERROR((INDEX(OP_TotalRates_RES_2[[Ausnet]:[United Energy]],MATCH("Single rate",OP_TotalRates_RES_2[Rate name],0),MATCH(H$24,OP_TotalRates_RES_2[[#Headers],[Ausnet]:[United Energy]],0))*
INDEX(Input_Usage[],MATCH($D26&amp;" - Annual",Input_Usage[Ref],0),MATCH($D$21,Inputs!$C$140:$Q$140,0))),0)),0),0,1),
IF(H26=
ROUNDUP(
(INDEX(OP_TotalRates_RES_2[[Ausnet]:[United Energy]],MATCH("TOU - supply",OP_TotalRates_RES_2[Rate name],0),MATCH(H$24,OP_TotalRates_RES_2[[#Headers],[Ausnet]:[United Energy]],0))*DiY)+
(INDEX(OP_TotalRates_RES_2[[Ausnet]:[United Energy]],MATCH("Peak",OP_TotalRates_RES_2[Rate name],0),MATCH(H$24,OP_TotalRates_RES_2[[#Headers],[Ausnet]:[United Energy]],0))*
INDEX(Input_Usage[],MATCH($D26&amp;" - Peak",Input_Usage[Profile name]&amp;" - "&amp;Input_Usage[Usage type],0),MATCH($D$21,Inputs!$C$140:$Q$140,0)))+
IFERROR((INDEX(OP_TotalRates_RES_2[[Ausnet]:[United Energy]],MATCH("TOU - Shoulder",OP_TotalRates_RES_2[Rate name],0),MATCH(H$24,OP_TotalRates_RES_2[[#Headers],[Ausnet]:[United Energy]],0))*
INDEX(Input_Usage[],MATCH($D26&amp;" - Shoulder",Input_Usage[Profile name]&amp;" - "&amp;Input_Usage[Usage type],0),MATCH($D$21,Inputs!$C$140:$Q$140,0))),0)+
(INDEX(OP_TotalRates_RES_2[[Ausnet]:[United Energy]],MATCH("Off peak",OP_TotalRates_RES_2[Rate name],0),MATCH(H$24,OP_TotalRates_RES_2[[#Headers],[Ausnet]:[United Energy]],0))*
INDEX(Input_Usage[],MATCH($D26&amp;" - Off peak",Input_Usage[Profile name]&amp;" - "&amp;Input_Usage[Usage type],0),MATCH($D$21,Inputs!$C$140:$Q$140,0))),0),0,1))</f>
        <v>0</v>
      </c>
      <c r="I30" s="84" cm="1">
        <f t="array" ref="I30">IF($D$21="VDO 2021 - Final",
IF(I26=
ROUNDUP(
(INDEX(OP_TotalRates_RES_2[[Ausnet]:[United Energy]],MATCH("Anytime - supply",OP_TotalRates_RES_2[Rate name],0),MATCH(I$24,OP_TotalRates_RES_2[[#Headers],[Ausnet]:[United Energy]],0))*DiY)+
(IFERROR((INDEX(OP_TotalRates_RES_2[[Ausnet]:[United Energy]],MATCH("Block 1",OP_TotalRates_RES_2[Rate name],0),MATCH(I$24,OP_TotalRates_RES_2[[#Headers],[Ausnet]:[United Energy]],0))*
INDEX(Input_Usage[],MATCH($D26&amp;" - Block 1",Input_Usage[Ref],0),MATCH($D$21,Inputs!$C$140:$Q$140,0))),0)+
IFERROR((INDEX(OP_TotalRates_RES_2[[Ausnet]:[United Energy]],MATCH("Balance",OP_TotalRates_RES_2[Rate name],0),MATCH(I$24,OP_TotalRates_RES_2[[#Headers],[Ausnet]:[United Energy]],0))*
INDEX(Input_Usage[],MATCH($D26&amp;" - Balance",Input_Usage[Ref],0),MATCH($D$21,Inputs!$C$140:$Q$140,0))),0)+
IFERROR((INDEX(OP_TotalRates_RES_2[[Ausnet]:[United Energy]],MATCH("Single rate",OP_TotalRates_RES_2[Rate name],0),MATCH(I$24,OP_TotalRates_RES_2[[#Headers],[Ausnet]:[United Energy]],0))*
INDEX(Input_Usage[],MATCH($D26&amp;" - Annual",Input_Usage[Ref],0),MATCH($D$21,Inputs!$C$140:$Q$140,0))),0)),0),0,1),
IF(I26=
ROUNDUP(
(INDEX(OP_TotalRates_RES_2[[Ausnet]:[United Energy]],MATCH("TOU - supply",OP_TotalRates_RES_2[Rate name],0),MATCH(I$24,OP_TotalRates_RES_2[[#Headers],[Ausnet]:[United Energy]],0))*DiY)+
(INDEX(OP_TotalRates_RES_2[[Ausnet]:[United Energy]],MATCH("Peak",OP_TotalRates_RES_2[Rate name],0),MATCH(I$24,OP_TotalRates_RES_2[[#Headers],[Ausnet]:[United Energy]],0))*
INDEX(Input_Usage[],MATCH($D26&amp;" - Peak",Input_Usage[Profile name]&amp;" - "&amp;Input_Usage[Usage type],0),MATCH($D$21,Inputs!$C$140:$Q$140,0)))+
IFERROR((INDEX(OP_TotalRates_RES_2[[Ausnet]:[United Energy]],MATCH("TOU - Shoulder",OP_TotalRates_RES_2[Rate name],0),MATCH(I$24,OP_TotalRates_RES_2[[#Headers],[Ausnet]:[United Energy]],0))*
INDEX(Input_Usage[],MATCH($D26&amp;" - Shoulder",Input_Usage[Profile name]&amp;" - "&amp;Input_Usage[Usage type],0),MATCH($D$21,Inputs!$C$140:$Q$140,0))),0)+
(INDEX(OP_TotalRates_RES_2[[Ausnet]:[United Energy]],MATCH("Off peak",OP_TotalRates_RES_2[Rate name],0),MATCH(I$24,OP_TotalRates_RES_2[[#Headers],[Ausnet]:[United Energy]],0))*
INDEX(Input_Usage[],MATCH($D26&amp;" - Off peak",Input_Usage[Profile name]&amp;" - "&amp;Input_Usage[Usage type],0),MATCH($D$21,Inputs!$C$140:$Q$140,0))),0),0,1))</f>
        <v>0</v>
      </c>
      <c r="M30" s="84" cm="1">
        <f t="array" ref="M30">IF($D$21="VDO 2021 - Final",
IF(M26=
ROUNDUP(
(INDEX(OP_TotalRates_SME_2[[Ausnet]:[United Energy]],MATCH("Anytime - supply",OP_TotalRates_SME_2[Rate name],0),MATCH(M$24,OP_TotalRates_SME_2[[#Headers],[Ausnet]:[United Energy]],0))*DiY)+
(IFERROR((INDEX(OP_TotalRates_SME_2[[Ausnet]:[United Energy]],MATCH("Block 1",OP_TotalRates_SME_2[Rate name],0),MATCH(M$24,OP_TotalRates_SME_2[[#Headers],[Ausnet]:[United Energy]],0))*
INDEX(Input_Usage[],MATCH($L26&amp;" - Block 1",Input_Usage[Profile name]&amp;" - "&amp;Input_Usage[Usage type],0),MATCH($D$21,Inputs!$C$140:$Q$140,0))),0)+
IFERROR((INDEX(OP_TotalRates_SME_2[[Ausnet]:[United Energy]],MATCH("Balance",OP_TotalRates_SME_2[Rate name],0),MATCH(M$24,OP_TotalRates_SME_2[[#Headers],[Ausnet]:[United Energy]],0))*
INDEX(Input_Usage[],MATCH($L26&amp;" - Balance",Input_Usage[Profile name]&amp;" - "&amp;Input_Usage[Usage type],0),MATCH($D$21,Inputs!$C$140:$Q$140,0))),0)+
IFERROR((INDEX(OP_TotalRates_SME_2[[Ausnet]:[United Energy]],MATCH("Single rate",OP_TotalRates_SME_2[Rate name],0),MATCH(M$24,OP_TotalRates_SME_2[[#Headers],[Ausnet]:[United Energy]],0))*
INDEX(Input_Usage[],MATCH($L26&amp;" - Annual",Input_Usage[Profile name]&amp;" - "&amp;Input_Usage[Usage type],0),MATCH($D$21,Inputs!$C$140:$Q$140,0))),0)),0),0,1),
IF(M26=
ROUNDUP(
(INDEX(OP_TotalRates_SME_2[[Ausnet]:[United Energy]],MATCH("TOU - supply",OP_TotalRates_SME_2[Rate name],0),MATCH(M$24,OP_TotalRates_SME_2[[#Headers],[Ausnet]:[United Energy]],0))*DiY)+
(INDEX(OP_TotalRates_SME_2[[Ausnet]:[United Energy]],MATCH("Peak",OP_TotalRates_SME_2[Rate name],0),MATCH(M$24,OP_TotalRates_SME_2[[#Headers],[Ausnet]:[United Energy]],0))*
INDEX(Input_Usage[],MATCH($L26&amp;" - Peak",Input_Usage[Profile name]&amp;" - "&amp;Input_Usage[Usage type],0),MATCH($D$21,Inputs!$C$140:$Q$140,0)))+
IFERROR((INDEX(OP_TotalRates_SME_2[[Ausnet]:[United Energy]],MATCH("TOU - Shoulder",OP_TotalRates_SME_2[Rate name],0),MATCH(M$24,OP_TotalRates_SME_2[[#Headers],[Ausnet]:[United Energy]],0))*
INDEX(Input_Usage[],MATCH($L26&amp;" - Shoulder",Input_Usage[Profile name]&amp;" - "&amp;Input_Usage[Usage type],0),MATCH($D$21,Inputs!$C$140:$Q$140,0))),0)+
(INDEX(OP_TotalRates_SME_2[[Ausnet]:[United Energy]],MATCH("Off peak",OP_TotalRates_SME_2[Rate name],0),MATCH(M$24,OP_TotalRates_SME_2[[#Headers],[Ausnet]:[United Energy]],0))*
INDEX(Input_Usage[],MATCH($L26&amp;" - Off peak",Input_Usage[Profile name]&amp;" - "&amp;Input_Usage[Usage type],0),MATCH($D$21,Inputs!$C$140:$Q$140,0))),0),0,1))</f>
        <v>0</v>
      </c>
      <c r="N30" s="84" cm="1">
        <f t="array" ref="N30">IF($D$21="VDO 2021 - Final",
IF(N26=
ROUNDUP(
(INDEX(OP_TotalRates_SME_2[[Ausnet]:[United Energy]],MATCH("Anytime - supply",OP_TotalRates_SME_2[Rate name],0),MATCH(N$24,OP_TotalRates_SME_2[[#Headers],[Ausnet]:[United Energy]],0))*DiY)+
(IFERROR((INDEX(OP_TotalRates_SME_2[[Ausnet]:[United Energy]],MATCH("Block 1",OP_TotalRates_SME_2[Rate name],0),MATCH(N$24,OP_TotalRates_SME_2[[#Headers],[Ausnet]:[United Energy]],0))*
INDEX(Input_Usage[],MATCH($L26&amp;" - Block 1",Input_Usage[Profile name]&amp;" - "&amp;Input_Usage[Usage type],0),MATCH($D$21,Inputs!$C$140:$Q$140,0))),0)+
IFERROR((INDEX(OP_TotalRates_SME_2[[Ausnet]:[United Energy]],MATCH("Balance",OP_TotalRates_SME_2[Rate name],0),MATCH(N$24,OP_TotalRates_SME_2[[#Headers],[Ausnet]:[United Energy]],0))*
INDEX(Input_Usage[],MATCH($L26&amp;" - Balance",Input_Usage[Profile name]&amp;" - "&amp;Input_Usage[Usage type],0),MATCH($D$21,Inputs!$C$140:$Q$140,0))),0)+
IFERROR((INDEX(OP_TotalRates_SME_2[[Ausnet]:[United Energy]],MATCH("Single rate",OP_TotalRates_SME_2[Rate name],0),MATCH(N$24,OP_TotalRates_SME_2[[#Headers],[Ausnet]:[United Energy]],0))*
INDEX(Input_Usage[],MATCH($L26&amp;" - Annual",Input_Usage[Profile name]&amp;" - "&amp;Input_Usage[Usage type],0),MATCH($D$21,Inputs!$C$140:$Q$140,0))),0)),0),0,1),
IF(N26=
ROUNDUP(
(INDEX(OP_TotalRates_SME_2[[Ausnet]:[United Energy]],MATCH("TOU - supply",OP_TotalRates_SME_2[Rate name],0),MATCH(N$24,OP_TotalRates_SME_2[[#Headers],[Ausnet]:[United Energy]],0))*DiY)+
(INDEX(OP_TotalRates_SME_2[[Ausnet]:[United Energy]],MATCH("Peak",OP_TotalRates_SME_2[Rate name],0),MATCH(N$24,OP_TotalRates_SME_2[[#Headers],[Ausnet]:[United Energy]],0))*
INDEX(Input_Usage[],MATCH($L26&amp;" - Peak",Input_Usage[Profile name]&amp;" - "&amp;Input_Usage[Usage type],0),MATCH($D$21,Inputs!$C$140:$Q$140,0)))+
IFERROR((INDEX(OP_TotalRates_SME_2[[Ausnet]:[United Energy]],MATCH("TOU - Shoulder",OP_TotalRates_SME_2[Rate name],0),MATCH(N$24,OP_TotalRates_SME_2[[#Headers],[Ausnet]:[United Energy]],0))*
INDEX(Input_Usage[],MATCH($L26&amp;" - Shoulder",Input_Usage[Profile name]&amp;" - "&amp;Input_Usage[Usage type],0),MATCH($D$21,Inputs!$C$140:$Q$140,0))),0)+
(INDEX(OP_TotalRates_SME_2[[Ausnet]:[United Energy]],MATCH("Off peak",OP_TotalRates_SME_2[Rate name],0),MATCH(N$24,OP_TotalRates_SME_2[[#Headers],[Ausnet]:[United Energy]],0))*
INDEX(Input_Usage[],MATCH($L26&amp;" - Off peak",Input_Usage[Profile name]&amp;" - "&amp;Input_Usage[Usage type],0),MATCH($D$21,Inputs!$C$140:$Q$140,0))),0),0,1))</f>
        <v>0</v>
      </c>
      <c r="O30" s="84" cm="1">
        <f t="array" ref="O30">IF($D$21="VDO 2021 - Final",
IF(O26=
ROUNDUP(
(INDEX(OP_TotalRates_SME_2[[Ausnet]:[United Energy]],MATCH("Anytime - supply",OP_TotalRates_SME_2[Rate name],0),MATCH(O$24,OP_TotalRates_SME_2[[#Headers],[Ausnet]:[United Energy]],0))*DiY)+
(IFERROR((INDEX(OP_TotalRates_SME_2[[Ausnet]:[United Energy]],MATCH("Block 1",OP_TotalRates_SME_2[Rate name],0),MATCH(O$24,OP_TotalRates_SME_2[[#Headers],[Ausnet]:[United Energy]],0))*
INDEX(Input_Usage[],MATCH($L26&amp;" - Block 1",Input_Usage[Profile name]&amp;" - "&amp;Input_Usage[Usage type],0),MATCH($D$21,Inputs!$C$140:$Q$140,0))),0)+
IFERROR((INDEX(OP_TotalRates_SME_2[[Ausnet]:[United Energy]],MATCH("Balance",OP_TotalRates_SME_2[Rate name],0),MATCH(O$24,OP_TotalRates_SME_2[[#Headers],[Ausnet]:[United Energy]],0))*
INDEX(Input_Usage[],MATCH($L26&amp;" - Balance",Input_Usage[Profile name]&amp;" - "&amp;Input_Usage[Usage type],0),MATCH($D$21,Inputs!$C$140:$Q$140,0))),0)+
IFERROR((INDEX(OP_TotalRates_SME_2[[Ausnet]:[United Energy]],MATCH("Single rate",OP_TotalRates_SME_2[Rate name],0),MATCH(O$24,OP_TotalRates_SME_2[[#Headers],[Ausnet]:[United Energy]],0))*
INDEX(Input_Usage[],MATCH($L26&amp;" - Annual",Input_Usage[Profile name]&amp;" - "&amp;Input_Usage[Usage type],0),MATCH($D$21,Inputs!$C$140:$Q$140,0))),0)),0),0,1),
IF(O26=
ROUNDUP(
(INDEX(OP_TotalRates_SME_2[[Ausnet]:[United Energy]],MATCH("TOU - supply",OP_TotalRates_SME_2[Rate name],0),MATCH(O$24,OP_TotalRates_SME_2[[#Headers],[Ausnet]:[United Energy]],0))*DiY)+
(INDEX(OP_TotalRates_SME_2[[Ausnet]:[United Energy]],MATCH("Peak",OP_TotalRates_SME_2[Rate name],0),MATCH(O$24,OP_TotalRates_SME_2[[#Headers],[Ausnet]:[United Energy]],0))*
INDEX(Input_Usage[],MATCH($L26&amp;" - Peak",Input_Usage[Profile name]&amp;" - "&amp;Input_Usage[Usage type],0),MATCH($D$21,Inputs!$C$140:$Q$140,0)))+
IFERROR((INDEX(OP_TotalRates_SME_2[[Ausnet]:[United Energy]],MATCH("TOU - Shoulder",OP_TotalRates_SME_2[Rate name],0),MATCH(O$24,OP_TotalRates_SME_2[[#Headers],[Ausnet]:[United Energy]],0))*
INDEX(Input_Usage[],MATCH($L26&amp;" - Shoulder",Input_Usage[Profile name]&amp;" - "&amp;Input_Usage[Usage type],0),MATCH($D$21,Inputs!$C$140:$Q$140,0))),0)+
(INDEX(OP_TotalRates_SME_2[[Ausnet]:[United Energy]],MATCH("Off peak",OP_TotalRates_SME_2[Rate name],0),MATCH(O$24,OP_TotalRates_SME_2[[#Headers],[Ausnet]:[United Energy]],0))*
INDEX(Input_Usage[],MATCH($L26&amp;" - Off peak",Input_Usage[Profile name]&amp;" - "&amp;Input_Usage[Usage type],0),MATCH($D$21,Inputs!$C$140:$Q$140,0))),0),0,1))</f>
        <v>0</v>
      </c>
      <c r="P30" s="84" cm="1">
        <f t="array" ref="P30">IF($D$21="VDO 2021 - Final",
IF(P26=
ROUNDUP(
(INDEX(OP_TotalRates_SME_2[[Ausnet]:[United Energy]],MATCH("Anytime - supply",OP_TotalRates_SME_2[Rate name],0),MATCH(P$24,OP_TotalRates_SME_2[[#Headers],[Ausnet]:[United Energy]],0))*DiY)+
(IFERROR((INDEX(OP_TotalRates_SME_2[[Ausnet]:[United Energy]],MATCH("Block 1",OP_TotalRates_SME_2[Rate name],0),MATCH(P$24,OP_TotalRates_SME_2[[#Headers],[Ausnet]:[United Energy]],0))*
INDEX(Input_Usage[],MATCH($L26&amp;" - Block 1",Input_Usage[Profile name]&amp;" - "&amp;Input_Usage[Usage type],0),MATCH($D$21,Inputs!$C$140:$Q$140,0))),0)+
IFERROR((INDEX(OP_TotalRates_SME_2[[Ausnet]:[United Energy]],MATCH("Balance",OP_TotalRates_SME_2[Rate name],0),MATCH(P$24,OP_TotalRates_SME_2[[#Headers],[Ausnet]:[United Energy]],0))*
INDEX(Input_Usage[],MATCH($L26&amp;" - Balance",Input_Usage[Profile name]&amp;" - "&amp;Input_Usage[Usage type],0),MATCH($D$21,Inputs!$C$140:$Q$140,0))),0)+
IFERROR((INDEX(OP_TotalRates_SME_2[[Ausnet]:[United Energy]],MATCH("Single rate",OP_TotalRates_SME_2[Rate name],0),MATCH(P$24,OP_TotalRates_SME_2[[#Headers],[Ausnet]:[United Energy]],0))*
INDEX(Input_Usage[],MATCH($L26&amp;" - Annual",Input_Usage[Profile name]&amp;" - "&amp;Input_Usage[Usage type],0),MATCH($D$21,Inputs!$C$140:$Q$140,0))),0)),0),0,1),
IF(P26=
ROUNDUP(
(INDEX(OP_TotalRates_SME_2[[Ausnet]:[United Energy]],MATCH("TOU - supply",OP_TotalRates_SME_2[Rate name],0),MATCH(P$24,OP_TotalRates_SME_2[[#Headers],[Ausnet]:[United Energy]],0))*DiY)+
(INDEX(OP_TotalRates_SME_2[[Ausnet]:[United Energy]],MATCH("Peak",OP_TotalRates_SME_2[Rate name],0),MATCH(P$24,OP_TotalRates_SME_2[[#Headers],[Ausnet]:[United Energy]],0))*
INDEX(Input_Usage[],MATCH($L26&amp;" - Peak",Input_Usage[Profile name]&amp;" - "&amp;Input_Usage[Usage type],0),MATCH($D$21,Inputs!$C$140:$Q$140,0)))+
IFERROR((INDEX(OP_TotalRates_SME_2[[Ausnet]:[United Energy]],MATCH("TOU - Shoulder",OP_TotalRates_SME_2[Rate name],0),MATCH(P$24,OP_TotalRates_SME_2[[#Headers],[Ausnet]:[United Energy]],0))*
INDEX(Input_Usage[],MATCH($L26&amp;" - Shoulder",Input_Usage[Profile name]&amp;" - "&amp;Input_Usage[Usage type],0),MATCH($D$21,Inputs!$C$140:$Q$140,0))),0)+
(INDEX(OP_TotalRates_SME_2[[Ausnet]:[United Energy]],MATCH("Off peak",OP_TotalRates_SME_2[Rate name],0),MATCH(P$24,OP_TotalRates_SME_2[[#Headers],[Ausnet]:[United Energy]],0))*
INDEX(Input_Usage[],MATCH($L26&amp;" - Off peak",Input_Usage[Profile name]&amp;" - "&amp;Input_Usage[Usage type],0),MATCH($D$21,Inputs!$C$140:$Q$140,0))),0),0,1))</f>
        <v>0</v>
      </c>
      <c r="Q30" s="84" cm="1">
        <f t="array" ref="Q30">IF($D$21="VDO 2021 - Final",
IF(Q26=
ROUNDUP(
(INDEX(OP_TotalRates_SME_2[[Ausnet]:[United Energy]],MATCH("Anytime - supply",OP_TotalRates_SME_2[Rate name],0),MATCH(Q$24,OP_TotalRates_SME_2[[#Headers],[Ausnet]:[United Energy]],0))*DiY)+
(IFERROR((INDEX(OP_TotalRates_SME_2[[Ausnet]:[United Energy]],MATCH("Block 1",OP_TotalRates_SME_2[Rate name],0),MATCH(Q$24,OP_TotalRates_SME_2[[#Headers],[Ausnet]:[United Energy]],0))*
INDEX(Input_Usage[],MATCH($L26&amp;" - Block 1",Input_Usage[Profile name]&amp;" - "&amp;Input_Usage[Usage type],0),MATCH($D$21,Inputs!$C$140:$Q$140,0))),0)+
IFERROR((INDEX(OP_TotalRates_SME_2[[Ausnet]:[United Energy]],MATCH("Balance",OP_TotalRates_SME_2[Rate name],0),MATCH(Q$24,OP_TotalRates_SME_2[[#Headers],[Ausnet]:[United Energy]],0))*
INDEX(Input_Usage[],MATCH($L26&amp;" - Balance",Input_Usage[Profile name]&amp;" - "&amp;Input_Usage[Usage type],0),MATCH($D$21,Inputs!$C$140:$Q$140,0))),0)+
IFERROR((INDEX(OP_TotalRates_SME_2[[Ausnet]:[United Energy]],MATCH("Single rate",OP_TotalRates_SME_2[Rate name],0),MATCH(Q$24,OP_TotalRates_SME_2[[#Headers],[Ausnet]:[United Energy]],0))*
INDEX(Input_Usage[],MATCH($L26&amp;" - Annual",Input_Usage[Profile name]&amp;" - "&amp;Input_Usage[Usage type],0),MATCH($D$21,Inputs!$C$140:$Q$140,0))),0)),0),0,1),
IF(Q26=
ROUNDUP(
(INDEX(OP_TotalRates_SME_2[[Ausnet]:[United Energy]],MATCH("TOU - supply",OP_TotalRates_SME_2[Rate name],0),MATCH(Q$24,OP_TotalRates_SME_2[[#Headers],[Ausnet]:[United Energy]],0))*DiY)+
(INDEX(OP_TotalRates_SME_2[[Ausnet]:[United Energy]],MATCH("Peak",OP_TotalRates_SME_2[Rate name],0),MATCH(Q$24,OP_TotalRates_SME_2[[#Headers],[Ausnet]:[United Energy]],0))*
INDEX(Input_Usage[],MATCH($L26&amp;" - Peak",Input_Usage[Profile name]&amp;" - "&amp;Input_Usage[Usage type],0),MATCH($D$21,Inputs!$C$140:$Q$140,0)))+
IFERROR((INDEX(OP_TotalRates_SME_2[[Ausnet]:[United Energy]],MATCH("TOU - Shoulder",OP_TotalRates_SME_2[Rate name],0),MATCH(Q$24,OP_TotalRates_SME_2[[#Headers],[Ausnet]:[United Energy]],0))*
INDEX(Input_Usage[],MATCH($L26&amp;" - Shoulder",Input_Usage[Profile name]&amp;" - "&amp;Input_Usage[Usage type],0),MATCH($D$21,Inputs!$C$140:$Q$140,0))),0)+
(INDEX(OP_TotalRates_SME_2[[Ausnet]:[United Energy]],MATCH("Off peak",OP_TotalRates_SME_2[Rate name],0),MATCH(Q$24,OP_TotalRates_SME_2[[#Headers],[Ausnet]:[United Energy]],0))*
INDEX(Input_Usage[],MATCH($L26&amp;" - Off peak",Input_Usage[Profile name]&amp;" - "&amp;Input_Usage[Usage type],0),MATCH($D$21,Inputs!$C$140:$Q$140,0))),0),0,1))</f>
        <v>0</v>
      </c>
    </row>
    <row r="31" spans="1:18" ht="15.5" hidden="1">
      <c r="E31" s="84" cm="1">
        <f t="array" ref="E31">IF($D$21="VDO 2021 - Final",
IF(E27=
ROUNDUP(
(INDEX(OP_TotalRates_RES_2[[Ausnet]:[United Energy]],MATCH("Anytime - supply",OP_TotalRates_RES_2[Rate name],0),MATCH(E$24,OP_TotalRates_RES_2[[#Headers],[Ausnet]:[United Energy]],0))*DiY)+
(IFERROR((INDEX(OP_TotalRates_RES_2[[Ausnet]:[United Energy]],MATCH("Block 1",OP_TotalRates_RES_2[Rate name],0),MATCH(E$24,OP_TotalRates_RES_2[[#Headers],[Ausnet]:[United Energy]],0))*
INDEX(Input_Usage[],MATCH($D27&amp;" - Block 1",Input_Usage[Ref],0),MATCH($D$21,Inputs!$C$140:$Q$140,0))),0)+
IFERROR((INDEX(OP_TotalRates_RES_2[[Ausnet]:[United Energy]],MATCH("Balance",OP_TotalRates_RES_2[Rate name],0),MATCH(E$24,OP_TotalRates_RES_2[[#Headers],[Ausnet]:[United Energy]],0))*
INDEX(Input_Usage[],MATCH($D27&amp;" - Balance",Input_Usage[Ref],0),MATCH($D$21,Inputs!$C$140:$Q$140,0))),0)+
IFERROR((INDEX(OP_TotalRates_RES_2[[Ausnet]:[United Energy]],MATCH("Single rate",OP_TotalRates_RES_2[Rate name],0),MATCH(E$24,OP_TotalRates_RES_2[[#Headers],[Ausnet]:[United Energy]],0))*
INDEX(Input_Usage[],MATCH($D27&amp;" - Annual",Input_Usage[Ref],0),MATCH($D$21,Inputs!$C$140:$Q$140,0))),0)),0),0,1),
IF(E27=
ROUNDUP(
(INDEX(OP_TotalRates_RES_2[[Ausnet]:[United Energy]],MATCH("TOU - supply",OP_TotalRates_RES_2[Rate name],0),MATCH(E$24,OP_TotalRates_RES_2[[#Headers],[Ausnet]:[United Energy]],0))*DiY)+
(INDEX(OP_TotalRates_RES_2[[Ausnet]:[United Energy]],MATCH("Peak",OP_TotalRates_RES_2[Rate name],0),MATCH(E$24,OP_TotalRates_RES_2[[#Headers],[Ausnet]:[United Energy]],0))*
INDEX(Input_Usage[],MATCH($D27&amp;" - Peak",Input_Usage[Profile name]&amp;" - "&amp;Input_Usage[Usage type],0),MATCH($D$21,Inputs!$C$140:$Q$140,0)))+
IFERROR((INDEX(OP_TotalRates_RES_2[[Ausnet]:[United Energy]],MATCH("TOU - Shoulder",OP_TotalRates_RES_2[Rate name],0),MATCH(E$24,OP_TotalRates_RES_2[[#Headers],[Ausnet]:[United Energy]],0))*
INDEX(Input_Usage[],MATCH($D27&amp;" - Shoulder",Input_Usage[Profile name]&amp;" - "&amp;Input_Usage[Usage type],0),MATCH($D$21,Inputs!$C$140:$Q$140,0))),0)+
(INDEX(OP_TotalRates_RES_2[[Ausnet]:[United Energy]],MATCH("Off peak",OP_TotalRates_RES_2[Rate name],0),MATCH(E$24,OP_TotalRates_RES_2[[#Headers],[Ausnet]:[United Energy]],0))*
INDEX(Input_Usage[],MATCH($D27&amp;" - Off peak",Input_Usage[Profile name]&amp;" - "&amp;Input_Usage[Usage type],0),MATCH($D$21,Inputs!$C$140:$Q$140,0))),0),0,1))</f>
        <v>0</v>
      </c>
      <c r="F31" s="84" cm="1">
        <f t="array" ref="F31">IF($D$21="VDO 2021 - Final",
IF(F27=
ROUNDUP(
(INDEX(OP_TotalRates_RES_2[[Ausnet]:[United Energy]],MATCH("Anytime - supply",OP_TotalRates_RES_2[Rate name],0),MATCH(F$24,OP_TotalRates_RES_2[[#Headers],[Ausnet]:[United Energy]],0))*DiY)+
(IFERROR((INDEX(OP_TotalRates_RES_2[[Ausnet]:[United Energy]],MATCH("Block 1",OP_TotalRates_RES_2[Rate name],0),MATCH(F$24,OP_TotalRates_RES_2[[#Headers],[Ausnet]:[United Energy]],0))*
INDEX(Input_Usage[],MATCH($D27&amp;" - Block 1",Input_Usage[Ref],0),MATCH($D$21,Inputs!$C$140:$Q$140,0))),0)+
IFERROR((INDEX(OP_TotalRates_RES_2[[Ausnet]:[United Energy]],MATCH("Balance",OP_TotalRates_RES_2[Rate name],0),MATCH(F$24,OP_TotalRates_RES_2[[#Headers],[Ausnet]:[United Energy]],0))*
INDEX(Input_Usage[],MATCH($D27&amp;" - Balance",Input_Usage[Ref],0),MATCH($D$21,Inputs!$C$140:$Q$140,0))),0)+
IFERROR((INDEX(OP_TotalRates_RES_2[[Ausnet]:[United Energy]],MATCH("Single rate",OP_TotalRates_RES_2[Rate name],0),MATCH(F$24,OP_TotalRates_RES_2[[#Headers],[Ausnet]:[United Energy]],0))*
INDEX(Input_Usage[],MATCH($D27&amp;" - Annual",Input_Usage[Ref],0),MATCH($D$21,Inputs!$C$140:$Q$140,0))),0)),0),0,1),
IF(F27=
ROUNDUP(
(INDEX(OP_TotalRates_RES_2[[Ausnet]:[United Energy]],MATCH("TOU - supply",OP_TotalRates_RES_2[Rate name],0),MATCH(F$24,OP_TotalRates_RES_2[[#Headers],[Ausnet]:[United Energy]],0))*DiY)+
(INDEX(OP_TotalRates_RES_2[[Ausnet]:[United Energy]],MATCH("Peak",OP_TotalRates_RES_2[Rate name],0),MATCH(F$24,OP_TotalRates_RES_2[[#Headers],[Ausnet]:[United Energy]],0))*
INDEX(Input_Usage[],MATCH($D27&amp;" - Peak",Input_Usage[Profile name]&amp;" - "&amp;Input_Usage[Usage type],0),MATCH($D$21,Inputs!$C$140:$Q$140,0)))+
IFERROR((INDEX(OP_TotalRates_RES_2[[Ausnet]:[United Energy]],MATCH("TOU - Shoulder",OP_TotalRates_RES_2[Rate name],0),MATCH(F$24,OP_TotalRates_RES_2[[#Headers],[Ausnet]:[United Energy]],0))*
INDEX(Input_Usage[],MATCH($D27&amp;" - Shoulder",Input_Usage[Profile name]&amp;" - "&amp;Input_Usage[Usage type],0),MATCH($D$21,Inputs!$C$140:$Q$140,0))),0)+
(INDEX(OP_TotalRates_RES_2[[Ausnet]:[United Energy]],MATCH("Off peak",OP_TotalRates_RES_2[Rate name],0),MATCH(F$24,OP_TotalRates_RES_2[[#Headers],[Ausnet]:[United Energy]],0))*
INDEX(Input_Usage[],MATCH($D27&amp;" - Off peak",Input_Usage[Profile name]&amp;" - "&amp;Input_Usage[Usage type],0),MATCH($D$21,Inputs!$C$140:$Q$140,0))),0),0,1))</f>
        <v>0</v>
      </c>
      <c r="G31" s="84" cm="1">
        <f t="array" ref="G31">IF($D$21="VDO 2021 - Final",
IF(G27=
ROUNDUP(
(INDEX(OP_TotalRates_RES_2[[Ausnet]:[United Energy]],MATCH("Anytime - supply",OP_TotalRates_RES_2[Rate name],0),MATCH(G$24,OP_TotalRates_RES_2[[#Headers],[Ausnet]:[United Energy]],0))*DiY)+
(IFERROR((INDEX(OP_TotalRates_RES_2[[Ausnet]:[United Energy]],MATCH("Block 1",OP_TotalRates_RES_2[Rate name],0),MATCH(G$24,OP_TotalRates_RES_2[[#Headers],[Ausnet]:[United Energy]],0))*
INDEX(Input_Usage[],MATCH($D27&amp;" - Block 1",Input_Usage[Ref],0),MATCH($D$21,Inputs!$C$140:$Q$140,0))),0)+
IFERROR((INDEX(OP_TotalRates_RES_2[[Ausnet]:[United Energy]],MATCH("Balance",OP_TotalRates_RES_2[Rate name],0),MATCH(G$24,OP_TotalRates_RES_2[[#Headers],[Ausnet]:[United Energy]],0))*
INDEX(Input_Usage[],MATCH($D27&amp;" - Balance",Input_Usage[Ref],0),MATCH($D$21,Inputs!$C$140:$Q$140,0))),0)+
IFERROR((INDEX(OP_TotalRates_RES_2[[Ausnet]:[United Energy]],MATCH("Single rate",OP_TotalRates_RES_2[Rate name],0),MATCH(G$24,OP_TotalRates_RES_2[[#Headers],[Ausnet]:[United Energy]],0))*
INDEX(Input_Usage[],MATCH($D27&amp;" - Annual",Input_Usage[Ref],0),MATCH($D$21,Inputs!$C$140:$Q$140,0))),0)),0),0,1),
IF(G27=
ROUNDUP(
(INDEX(OP_TotalRates_RES_2[[Ausnet]:[United Energy]],MATCH("TOU - supply",OP_TotalRates_RES_2[Rate name],0),MATCH(G$24,OP_TotalRates_RES_2[[#Headers],[Ausnet]:[United Energy]],0))*DiY)+
(INDEX(OP_TotalRates_RES_2[[Ausnet]:[United Energy]],MATCH("Peak",OP_TotalRates_RES_2[Rate name],0),MATCH(G$24,OP_TotalRates_RES_2[[#Headers],[Ausnet]:[United Energy]],0))*
INDEX(Input_Usage[],MATCH($D27&amp;" - Peak",Input_Usage[Profile name]&amp;" - "&amp;Input_Usage[Usage type],0),MATCH($D$21,Inputs!$C$140:$Q$140,0)))+
IFERROR((INDEX(OP_TotalRates_RES_2[[Ausnet]:[United Energy]],MATCH("TOU - Shoulder",OP_TotalRates_RES_2[Rate name],0),MATCH(G$24,OP_TotalRates_RES_2[[#Headers],[Ausnet]:[United Energy]],0))*
INDEX(Input_Usage[],MATCH($D27&amp;" - Shoulder",Input_Usage[Profile name]&amp;" - "&amp;Input_Usage[Usage type],0),MATCH($D$21,Inputs!$C$140:$Q$140,0))),0)+
(INDEX(OP_TotalRates_RES_2[[Ausnet]:[United Energy]],MATCH("Off peak",OP_TotalRates_RES_2[Rate name],0),MATCH(G$24,OP_TotalRates_RES_2[[#Headers],[Ausnet]:[United Energy]],0))*
INDEX(Input_Usage[],MATCH($D27&amp;" - Off peak",Input_Usage[Profile name]&amp;" - "&amp;Input_Usage[Usage type],0),MATCH($D$21,Inputs!$C$140:$Q$140,0))),0),0,1))</f>
        <v>0</v>
      </c>
      <c r="H31" s="84" cm="1">
        <f t="array" ref="H31">IF($D$21="VDO 2021 - Final",
IF(H27=
ROUNDUP(
(INDEX(OP_TotalRates_RES_2[[Ausnet]:[United Energy]],MATCH("Anytime - supply",OP_TotalRates_RES_2[Rate name],0),MATCH(H$24,OP_TotalRates_RES_2[[#Headers],[Ausnet]:[United Energy]],0))*DiY)+
(IFERROR((INDEX(OP_TotalRates_RES_2[[Ausnet]:[United Energy]],MATCH("Block 1",OP_TotalRates_RES_2[Rate name],0),MATCH(H$24,OP_TotalRates_RES_2[[#Headers],[Ausnet]:[United Energy]],0))*
INDEX(Input_Usage[],MATCH($D27&amp;" - Block 1",Input_Usage[Ref],0),MATCH($D$21,Inputs!$C$140:$Q$140,0))),0)+
IFERROR((INDEX(OP_TotalRates_RES_2[[Ausnet]:[United Energy]],MATCH("Balance",OP_TotalRates_RES_2[Rate name],0),MATCH(H$24,OP_TotalRates_RES_2[[#Headers],[Ausnet]:[United Energy]],0))*
INDEX(Input_Usage[],MATCH($D27&amp;" - Balance",Input_Usage[Ref],0),MATCH($D$21,Inputs!$C$140:$Q$140,0))),0)+
IFERROR((INDEX(OP_TotalRates_RES_2[[Ausnet]:[United Energy]],MATCH("Single rate",OP_TotalRates_RES_2[Rate name],0),MATCH(H$24,OP_TotalRates_RES_2[[#Headers],[Ausnet]:[United Energy]],0))*
INDEX(Input_Usage[],MATCH($D27&amp;" - Annual",Input_Usage[Ref],0),MATCH($D$21,Inputs!$C$140:$Q$140,0))),0)),0),0,1),
IF(H27=
ROUNDUP(
(INDEX(OP_TotalRates_RES_2[[Ausnet]:[United Energy]],MATCH("TOU - supply",OP_TotalRates_RES_2[Rate name],0),MATCH(H$24,OP_TotalRates_RES_2[[#Headers],[Ausnet]:[United Energy]],0))*DiY)+
(INDEX(OP_TotalRates_RES_2[[Ausnet]:[United Energy]],MATCH("Peak",OP_TotalRates_RES_2[Rate name],0),MATCH(H$24,OP_TotalRates_RES_2[[#Headers],[Ausnet]:[United Energy]],0))*
INDEX(Input_Usage[],MATCH($D27&amp;" - Peak",Input_Usage[Profile name]&amp;" - "&amp;Input_Usage[Usage type],0),MATCH($D$21,Inputs!$C$140:$Q$140,0)))+
IFERROR((INDEX(OP_TotalRates_RES_2[[Ausnet]:[United Energy]],MATCH("TOU - Shoulder",OP_TotalRates_RES_2[Rate name],0),MATCH(H$24,OP_TotalRates_RES_2[[#Headers],[Ausnet]:[United Energy]],0))*
INDEX(Input_Usage[],MATCH($D27&amp;" - Shoulder",Input_Usage[Profile name]&amp;" - "&amp;Input_Usage[Usage type],0),MATCH($D$21,Inputs!$C$140:$Q$140,0))),0)+
(INDEX(OP_TotalRates_RES_2[[Ausnet]:[United Energy]],MATCH("Off peak",OP_TotalRates_RES_2[Rate name],0),MATCH(H$24,OP_TotalRates_RES_2[[#Headers],[Ausnet]:[United Energy]],0))*
INDEX(Input_Usage[],MATCH($D27&amp;" - Off peak",Input_Usage[Profile name]&amp;" - "&amp;Input_Usage[Usage type],0),MATCH($D$21,Inputs!$C$140:$Q$140,0))),0),0,1))</f>
        <v>0</v>
      </c>
      <c r="I31" s="84" cm="1">
        <f t="array" ref="I31">IF($D$21="VDO 2021 - Final",
IF(I27=
ROUNDUP(
(INDEX(OP_TotalRates_RES_2[[Ausnet]:[United Energy]],MATCH("Anytime - supply",OP_TotalRates_RES_2[Rate name],0),MATCH(I$24,OP_TotalRates_RES_2[[#Headers],[Ausnet]:[United Energy]],0))*DiY)+
(IFERROR((INDEX(OP_TotalRates_RES_2[[Ausnet]:[United Energy]],MATCH("Block 1",OP_TotalRates_RES_2[Rate name],0),MATCH(I$24,OP_TotalRates_RES_2[[#Headers],[Ausnet]:[United Energy]],0))*
INDEX(Input_Usage[],MATCH($D27&amp;" - Block 1",Input_Usage[Ref],0),MATCH($D$21,Inputs!$C$140:$Q$140,0))),0)+
IFERROR((INDEX(OP_TotalRates_RES_2[[Ausnet]:[United Energy]],MATCH("Balance",OP_TotalRates_RES_2[Rate name],0),MATCH(I$24,OP_TotalRates_RES_2[[#Headers],[Ausnet]:[United Energy]],0))*
INDEX(Input_Usage[],MATCH($D27&amp;" - Balance",Input_Usage[Ref],0),MATCH($D$21,Inputs!$C$140:$Q$140,0))),0)+
IFERROR((INDEX(OP_TotalRates_RES_2[[Ausnet]:[United Energy]],MATCH("Single rate",OP_TotalRates_RES_2[Rate name],0),MATCH(I$24,OP_TotalRates_RES_2[[#Headers],[Ausnet]:[United Energy]],0))*
INDEX(Input_Usage[],MATCH($D27&amp;" - Annual",Input_Usage[Ref],0),MATCH($D$21,Inputs!$C$140:$Q$140,0))),0)),0),0,1),
IF(I27=
ROUNDUP(
(INDEX(OP_TotalRates_RES_2[[Ausnet]:[United Energy]],MATCH("TOU - supply",OP_TotalRates_RES_2[Rate name],0),MATCH(I$24,OP_TotalRates_RES_2[[#Headers],[Ausnet]:[United Energy]],0))*DiY)+
(INDEX(OP_TotalRates_RES_2[[Ausnet]:[United Energy]],MATCH("Peak",OP_TotalRates_RES_2[Rate name],0),MATCH(I$24,OP_TotalRates_RES_2[[#Headers],[Ausnet]:[United Energy]],0))*
INDEX(Input_Usage[],MATCH($D27&amp;" - Peak",Input_Usage[Profile name]&amp;" - "&amp;Input_Usage[Usage type],0),MATCH($D$21,Inputs!$C$140:$Q$140,0)))+
IFERROR((INDEX(OP_TotalRates_RES_2[[Ausnet]:[United Energy]],MATCH("TOU - Shoulder",OP_TotalRates_RES_2[Rate name],0),MATCH(I$24,OP_TotalRates_RES_2[[#Headers],[Ausnet]:[United Energy]],0))*
INDEX(Input_Usage[],MATCH($D27&amp;" - Shoulder",Input_Usage[Profile name]&amp;" - "&amp;Input_Usage[Usage type],0),MATCH($D$21,Inputs!$C$140:$Q$140,0))),0)+
(INDEX(OP_TotalRates_RES_2[[Ausnet]:[United Energy]],MATCH("Off peak",OP_TotalRates_RES_2[Rate name],0),MATCH(I$24,OP_TotalRates_RES_2[[#Headers],[Ausnet]:[United Energy]],0))*
INDEX(Input_Usage[],MATCH($D27&amp;" - Off peak",Input_Usage[Profile name]&amp;" - "&amp;Input_Usage[Usage type],0),MATCH($D$21,Inputs!$C$140:$Q$140,0))),0),0,1))</f>
        <v>0</v>
      </c>
      <c r="M31" s="84" cm="1">
        <f t="array" ref="M31">IF($D$21="VDO 2021 - Final",
IF(M27=
ROUNDUP(
(INDEX(OP_TotalRates_SME_2[[Ausnet]:[United Energy]],MATCH("Anytime - supply",OP_TotalRates_SME_2[Rate name],0),MATCH(M$24,OP_TotalRates_SME_2[[#Headers],[Ausnet]:[United Energy]],0))*DiY)+
(IFERROR((INDEX(OP_TotalRates_SME_2[[Ausnet]:[United Energy]],MATCH("Block 1",OP_TotalRates_SME_2[Rate name],0),MATCH(M$24,OP_TotalRates_SME_2[[#Headers],[Ausnet]:[United Energy]],0))*
INDEX(Input_Usage[],MATCH($L27&amp;" - Block 1",Input_Usage[Profile name]&amp;" - "&amp;Input_Usage[Usage type],0),MATCH($D$21,Inputs!$C$140:$Q$140,0))),0)+
IFERROR((INDEX(OP_TotalRates_SME_2[[Ausnet]:[United Energy]],MATCH("Balance",OP_TotalRates_SME_2[Rate name],0),MATCH(M$24,OP_TotalRates_SME_2[[#Headers],[Ausnet]:[United Energy]],0))*
INDEX(Input_Usage[],MATCH($L27&amp;" - Balance",Input_Usage[Profile name]&amp;" - "&amp;Input_Usage[Usage type],0),MATCH($D$21,Inputs!$C$140:$Q$140,0))),0)+
IFERROR((INDEX(OP_TotalRates_SME_2[[Ausnet]:[United Energy]],MATCH("Single rate",OP_TotalRates_SME_2[Rate name],0),MATCH(M$24,OP_TotalRates_SME_2[[#Headers],[Ausnet]:[United Energy]],0))*
INDEX(Input_Usage[],MATCH($L27&amp;" - Annual",Input_Usage[Profile name]&amp;" - "&amp;Input_Usage[Usage type],0),MATCH($D$21,Inputs!$C$140:$Q$140,0))),0)),0),0,1),
IF(M27=
ROUNDUP(
(INDEX(OP_TotalRates_SME_2[[Ausnet]:[United Energy]],MATCH("TOU - supply",OP_TotalRates_SME_2[Rate name],0),MATCH(M$24,OP_TotalRates_SME_2[[#Headers],[Ausnet]:[United Energy]],0))*DiY)+
(INDEX(OP_TotalRates_SME_2[[Ausnet]:[United Energy]],MATCH("Peak",OP_TotalRates_SME_2[Rate name],0),MATCH(M$24,OP_TotalRates_SME_2[[#Headers],[Ausnet]:[United Energy]],0))*
INDEX(Input_Usage[],MATCH($L27&amp;" - Peak",Input_Usage[Profile name]&amp;" - "&amp;Input_Usage[Usage type],0),MATCH($D$21,Inputs!$C$140:$Q$140,0)))+
IFERROR((INDEX(OP_TotalRates_SME_2[[Ausnet]:[United Energy]],MATCH("TOU - Shoulder",OP_TotalRates_SME_2[Rate name],0),MATCH(M$24,OP_TotalRates_SME_2[[#Headers],[Ausnet]:[United Energy]],0))*
INDEX(Input_Usage[],MATCH($L27&amp;" - Shoulder",Input_Usage[Profile name]&amp;" - "&amp;Input_Usage[Usage type],0),MATCH($D$21,Inputs!$C$140:$Q$140,0))),0)+
(INDEX(OP_TotalRates_SME_2[[Ausnet]:[United Energy]],MATCH("Off peak",OP_TotalRates_SME_2[Rate name],0),MATCH(M$24,OP_TotalRates_SME_2[[#Headers],[Ausnet]:[United Energy]],0))*
INDEX(Input_Usage[],MATCH($L27&amp;" - Off peak",Input_Usage[Profile name]&amp;" - "&amp;Input_Usage[Usage type],0),MATCH($D$21,Inputs!$C$140:$Q$140,0))),0),0,1))</f>
        <v>0</v>
      </c>
      <c r="N31" s="84" cm="1">
        <f t="array" ref="N31">IF($D$21="VDO 2021 - Final",
IF(N27=
ROUNDUP(
(INDEX(OP_TotalRates_SME_2[[Ausnet]:[United Energy]],MATCH("Anytime - supply",OP_TotalRates_SME_2[Rate name],0),MATCH(N$24,OP_TotalRates_SME_2[[#Headers],[Ausnet]:[United Energy]],0))*DiY)+
(IFERROR((INDEX(OP_TotalRates_SME_2[[Ausnet]:[United Energy]],MATCH("Block 1",OP_TotalRates_SME_2[Rate name],0),MATCH(N$24,OP_TotalRates_SME_2[[#Headers],[Ausnet]:[United Energy]],0))*
INDEX(Input_Usage[],MATCH($L27&amp;" - Block 1",Input_Usage[Profile name]&amp;" - "&amp;Input_Usage[Usage type],0),MATCH($D$21,Inputs!$C$140:$Q$140,0))),0)+
IFERROR((INDEX(OP_TotalRates_SME_2[[Ausnet]:[United Energy]],MATCH("Balance",OP_TotalRates_SME_2[Rate name],0),MATCH(N$24,OP_TotalRates_SME_2[[#Headers],[Ausnet]:[United Energy]],0))*
INDEX(Input_Usage[],MATCH($L27&amp;" - Balance",Input_Usage[Profile name]&amp;" - "&amp;Input_Usage[Usage type],0),MATCH($D$21,Inputs!$C$140:$Q$140,0))),0)+
IFERROR((INDEX(OP_TotalRates_SME_2[[Ausnet]:[United Energy]],MATCH("Single rate",OP_TotalRates_SME_2[Rate name],0),MATCH(N$24,OP_TotalRates_SME_2[[#Headers],[Ausnet]:[United Energy]],0))*
INDEX(Input_Usage[],MATCH($L27&amp;" - Annual",Input_Usage[Profile name]&amp;" - "&amp;Input_Usage[Usage type],0),MATCH($D$21,Inputs!$C$140:$Q$140,0))),0)),0),0,1),
IF(N27=
ROUNDUP(
(INDEX(OP_TotalRates_SME_2[[Ausnet]:[United Energy]],MATCH("TOU - supply",OP_TotalRates_SME_2[Rate name],0),MATCH(N$24,OP_TotalRates_SME_2[[#Headers],[Ausnet]:[United Energy]],0))*DiY)+
(INDEX(OP_TotalRates_SME_2[[Ausnet]:[United Energy]],MATCH("Peak",OP_TotalRates_SME_2[Rate name],0),MATCH(N$24,OP_TotalRates_SME_2[[#Headers],[Ausnet]:[United Energy]],0))*
INDEX(Input_Usage[],MATCH($L27&amp;" - Peak",Input_Usage[Profile name]&amp;" - "&amp;Input_Usage[Usage type],0),MATCH($D$21,Inputs!$C$140:$Q$140,0)))+
IFERROR((INDEX(OP_TotalRates_SME_2[[Ausnet]:[United Energy]],MATCH("TOU - Shoulder",OP_TotalRates_SME_2[Rate name],0),MATCH(N$24,OP_TotalRates_SME_2[[#Headers],[Ausnet]:[United Energy]],0))*
INDEX(Input_Usage[],MATCH($L27&amp;" - Shoulder",Input_Usage[Profile name]&amp;" - "&amp;Input_Usage[Usage type],0),MATCH($D$21,Inputs!$C$140:$Q$140,0))),0)+
(INDEX(OP_TotalRates_SME_2[[Ausnet]:[United Energy]],MATCH("Off peak",OP_TotalRates_SME_2[Rate name],0),MATCH(N$24,OP_TotalRates_SME_2[[#Headers],[Ausnet]:[United Energy]],0))*
INDEX(Input_Usage[],MATCH($L27&amp;" - Off peak",Input_Usage[Profile name]&amp;" - "&amp;Input_Usage[Usage type],0),MATCH($D$21,Inputs!$C$140:$Q$140,0))),0),0,1))</f>
        <v>0</v>
      </c>
      <c r="O31" s="84" cm="1">
        <f t="array" ref="O31">IF($D$21="VDO 2021 - Final",
IF(O27=
ROUNDUP(
(INDEX(OP_TotalRates_SME_2[[Ausnet]:[United Energy]],MATCH("Anytime - supply",OP_TotalRates_SME_2[Rate name],0),MATCH(O$24,OP_TotalRates_SME_2[[#Headers],[Ausnet]:[United Energy]],0))*DiY)+
(IFERROR((INDEX(OP_TotalRates_SME_2[[Ausnet]:[United Energy]],MATCH("Block 1",OP_TotalRates_SME_2[Rate name],0),MATCH(O$24,OP_TotalRates_SME_2[[#Headers],[Ausnet]:[United Energy]],0))*
INDEX(Input_Usage[],MATCH($L27&amp;" - Block 1",Input_Usage[Profile name]&amp;" - "&amp;Input_Usage[Usage type],0),MATCH($D$21,Inputs!$C$140:$Q$140,0))),0)+
IFERROR((INDEX(OP_TotalRates_SME_2[[Ausnet]:[United Energy]],MATCH("Balance",OP_TotalRates_SME_2[Rate name],0),MATCH(O$24,OP_TotalRates_SME_2[[#Headers],[Ausnet]:[United Energy]],0))*
INDEX(Input_Usage[],MATCH($L27&amp;" - Balance",Input_Usage[Profile name]&amp;" - "&amp;Input_Usage[Usage type],0),MATCH($D$21,Inputs!$C$140:$Q$140,0))),0)+
IFERROR((INDEX(OP_TotalRates_SME_2[[Ausnet]:[United Energy]],MATCH("Single rate",OP_TotalRates_SME_2[Rate name],0),MATCH(O$24,OP_TotalRates_SME_2[[#Headers],[Ausnet]:[United Energy]],0))*
INDEX(Input_Usage[],MATCH($L27&amp;" - Annual",Input_Usage[Profile name]&amp;" - "&amp;Input_Usage[Usage type],0),MATCH($D$21,Inputs!$C$140:$Q$140,0))),0)),0),0,1),
IF(O27=
ROUNDUP(
(INDEX(OP_TotalRates_SME_2[[Ausnet]:[United Energy]],MATCH("TOU - supply",OP_TotalRates_SME_2[Rate name],0),MATCH(O$24,OP_TotalRates_SME_2[[#Headers],[Ausnet]:[United Energy]],0))*DiY)+
(INDEX(OP_TotalRates_SME_2[[Ausnet]:[United Energy]],MATCH("Peak",OP_TotalRates_SME_2[Rate name],0),MATCH(O$24,OP_TotalRates_SME_2[[#Headers],[Ausnet]:[United Energy]],0))*
INDEX(Input_Usage[],MATCH($L27&amp;" - Peak",Input_Usage[Profile name]&amp;" - "&amp;Input_Usage[Usage type],0),MATCH($D$21,Inputs!$C$140:$Q$140,0)))+
IFERROR((INDEX(OP_TotalRates_SME_2[[Ausnet]:[United Energy]],MATCH("TOU - Shoulder",OP_TotalRates_SME_2[Rate name],0),MATCH(O$24,OP_TotalRates_SME_2[[#Headers],[Ausnet]:[United Energy]],0))*
INDEX(Input_Usage[],MATCH($L27&amp;" - Shoulder",Input_Usage[Profile name]&amp;" - "&amp;Input_Usage[Usage type],0),MATCH($D$21,Inputs!$C$140:$Q$140,0))),0)+
(INDEX(OP_TotalRates_SME_2[[Ausnet]:[United Energy]],MATCH("Off peak",OP_TotalRates_SME_2[Rate name],0),MATCH(O$24,OP_TotalRates_SME_2[[#Headers],[Ausnet]:[United Energy]],0))*
INDEX(Input_Usage[],MATCH($L27&amp;" - Off peak",Input_Usage[Profile name]&amp;" - "&amp;Input_Usage[Usage type],0),MATCH($D$21,Inputs!$C$140:$Q$140,0))),0),0,1))</f>
        <v>0</v>
      </c>
      <c r="P31" s="84" cm="1">
        <f t="array" ref="P31">IF($D$21="VDO 2021 - Final",
IF(P27=
ROUNDUP(
(INDEX(OP_TotalRates_SME_2[[Ausnet]:[United Energy]],MATCH("Anytime - supply",OP_TotalRates_SME_2[Rate name],0),MATCH(P$24,OP_TotalRates_SME_2[[#Headers],[Ausnet]:[United Energy]],0))*DiY)+
(IFERROR((INDEX(OP_TotalRates_SME_2[[Ausnet]:[United Energy]],MATCH("Block 1",OP_TotalRates_SME_2[Rate name],0),MATCH(P$24,OP_TotalRates_SME_2[[#Headers],[Ausnet]:[United Energy]],0))*
INDEX(Input_Usage[],MATCH($L27&amp;" - Block 1",Input_Usage[Profile name]&amp;" - "&amp;Input_Usage[Usage type],0),MATCH($D$21,Inputs!$C$140:$Q$140,0))),0)+
IFERROR((INDEX(OP_TotalRates_SME_2[[Ausnet]:[United Energy]],MATCH("Balance",OP_TotalRates_SME_2[Rate name],0),MATCH(P$24,OP_TotalRates_SME_2[[#Headers],[Ausnet]:[United Energy]],0))*
INDEX(Input_Usage[],MATCH($L27&amp;" - Balance",Input_Usage[Profile name]&amp;" - "&amp;Input_Usage[Usage type],0),MATCH($D$21,Inputs!$C$140:$Q$140,0))),0)+
IFERROR((INDEX(OP_TotalRates_SME_2[[Ausnet]:[United Energy]],MATCH("Single rate",OP_TotalRates_SME_2[Rate name],0),MATCH(P$24,OP_TotalRates_SME_2[[#Headers],[Ausnet]:[United Energy]],0))*
INDEX(Input_Usage[],MATCH($L27&amp;" - Annual",Input_Usage[Profile name]&amp;" - "&amp;Input_Usage[Usage type],0),MATCH($D$21,Inputs!$C$140:$Q$140,0))),0)),0),0,1),
IF(P27=
ROUNDUP(
(INDEX(OP_TotalRates_SME_2[[Ausnet]:[United Energy]],MATCH("TOU - supply",OP_TotalRates_SME_2[Rate name],0),MATCH(P$24,OP_TotalRates_SME_2[[#Headers],[Ausnet]:[United Energy]],0))*DiY)+
(INDEX(OP_TotalRates_SME_2[[Ausnet]:[United Energy]],MATCH("Peak",OP_TotalRates_SME_2[Rate name],0),MATCH(P$24,OP_TotalRates_SME_2[[#Headers],[Ausnet]:[United Energy]],0))*
INDEX(Input_Usage[],MATCH($L27&amp;" - Peak",Input_Usage[Profile name]&amp;" - "&amp;Input_Usage[Usage type],0),MATCH($D$21,Inputs!$C$140:$Q$140,0)))+
IFERROR((INDEX(OP_TotalRates_SME_2[[Ausnet]:[United Energy]],MATCH("TOU - Shoulder",OP_TotalRates_SME_2[Rate name],0),MATCH(P$24,OP_TotalRates_SME_2[[#Headers],[Ausnet]:[United Energy]],0))*
INDEX(Input_Usage[],MATCH($L27&amp;" - Shoulder",Input_Usage[Profile name]&amp;" - "&amp;Input_Usage[Usage type],0),MATCH($D$21,Inputs!$C$140:$Q$140,0))),0)+
(INDEX(OP_TotalRates_SME_2[[Ausnet]:[United Energy]],MATCH("Off peak",OP_TotalRates_SME_2[Rate name],0),MATCH(P$24,OP_TotalRates_SME_2[[#Headers],[Ausnet]:[United Energy]],0))*
INDEX(Input_Usage[],MATCH($L27&amp;" - Off peak",Input_Usage[Profile name]&amp;" - "&amp;Input_Usage[Usage type],0),MATCH($D$21,Inputs!$C$140:$Q$140,0))),0),0,1))</f>
        <v>0</v>
      </c>
      <c r="Q31" s="84" cm="1">
        <f t="array" ref="Q31">IF($D$21="VDO 2021 - Final",
IF(Q27=
ROUNDUP(
(INDEX(OP_TotalRates_SME_2[[Ausnet]:[United Energy]],MATCH("Anytime - supply",OP_TotalRates_SME_2[Rate name],0),MATCH(Q$24,OP_TotalRates_SME_2[[#Headers],[Ausnet]:[United Energy]],0))*DiY)+
(IFERROR((INDEX(OP_TotalRates_SME_2[[Ausnet]:[United Energy]],MATCH("Block 1",OP_TotalRates_SME_2[Rate name],0),MATCH(Q$24,OP_TotalRates_SME_2[[#Headers],[Ausnet]:[United Energy]],0))*
INDEX(Input_Usage[],MATCH($L27&amp;" - Block 1",Input_Usage[Profile name]&amp;" - "&amp;Input_Usage[Usage type],0),MATCH($D$21,Inputs!$C$140:$Q$140,0))),0)+
IFERROR((INDEX(OP_TotalRates_SME_2[[Ausnet]:[United Energy]],MATCH("Balance",OP_TotalRates_SME_2[Rate name],0),MATCH(Q$24,OP_TotalRates_SME_2[[#Headers],[Ausnet]:[United Energy]],0))*
INDEX(Input_Usage[],MATCH($L27&amp;" - Balance",Input_Usage[Profile name]&amp;" - "&amp;Input_Usage[Usage type],0),MATCH($D$21,Inputs!$C$140:$Q$140,0))),0)+
IFERROR((INDEX(OP_TotalRates_SME_2[[Ausnet]:[United Energy]],MATCH("Single rate",OP_TotalRates_SME_2[Rate name],0),MATCH(Q$24,OP_TotalRates_SME_2[[#Headers],[Ausnet]:[United Energy]],0))*
INDEX(Input_Usage[],MATCH($L27&amp;" - Annual",Input_Usage[Profile name]&amp;" - "&amp;Input_Usage[Usage type],0),MATCH($D$21,Inputs!$C$140:$Q$140,0))),0)),0),0,1),
IF(Q27=
ROUNDUP(
(INDEX(OP_TotalRates_SME_2[[Ausnet]:[United Energy]],MATCH("TOU - supply",OP_TotalRates_SME_2[Rate name],0),MATCH(Q$24,OP_TotalRates_SME_2[[#Headers],[Ausnet]:[United Energy]],0))*DiY)+
(INDEX(OP_TotalRates_SME_2[[Ausnet]:[United Energy]],MATCH("Peak",OP_TotalRates_SME_2[Rate name],0),MATCH(Q$24,OP_TotalRates_SME_2[[#Headers],[Ausnet]:[United Energy]],0))*
INDEX(Input_Usage[],MATCH($L27&amp;" - Peak",Input_Usage[Profile name]&amp;" - "&amp;Input_Usage[Usage type],0),MATCH($D$21,Inputs!$C$140:$Q$140,0)))+
IFERROR((INDEX(OP_TotalRates_SME_2[[Ausnet]:[United Energy]],MATCH("TOU - Shoulder",OP_TotalRates_SME_2[Rate name],0),MATCH(Q$24,OP_TotalRates_SME_2[[#Headers],[Ausnet]:[United Energy]],0))*
INDEX(Input_Usage[],MATCH($L27&amp;" - Shoulder",Input_Usage[Profile name]&amp;" - "&amp;Input_Usage[Usage type],0),MATCH($D$21,Inputs!$C$140:$Q$140,0))),0)+
(INDEX(OP_TotalRates_SME_2[[Ausnet]:[United Energy]],MATCH("Off peak",OP_TotalRates_SME_2[Rate name],0),MATCH(Q$24,OP_TotalRates_SME_2[[#Headers],[Ausnet]:[United Energy]],0))*
INDEX(Input_Usage[],MATCH($L27&amp;" - Off peak",Input_Usage[Profile name]&amp;" - "&amp;Input_Usage[Usage type],0),MATCH($D$21,Inputs!$C$140:$Q$140,0))),0),0,1))</f>
        <v>0</v>
      </c>
    </row>
    <row r="33" spans="1:18" ht="16" thickBot="1">
      <c r="A33" s="1" t="s">
        <v>18</v>
      </c>
      <c r="B33" s="216">
        <f ca="1">MAX(B$3:B32)+0.01</f>
        <v>6.0299999999999994</v>
      </c>
      <c r="C33" s="25" t="s">
        <v>172</v>
      </c>
      <c r="D33" s="25"/>
      <c r="E33" s="25"/>
      <c r="F33" s="25"/>
      <c r="G33" s="25"/>
      <c r="H33" s="25"/>
      <c r="I33" s="25"/>
      <c r="J33" s="25"/>
      <c r="K33" s="25"/>
      <c r="L33" s="25"/>
      <c r="M33" s="25"/>
      <c r="N33" s="25"/>
      <c r="O33" s="25"/>
      <c r="P33" s="25"/>
      <c r="Q33" s="25"/>
      <c r="R33" s="25"/>
    </row>
    <row r="35" spans="1:18" ht="15.5">
      <c r="C35" s="38" t="s">
        <v>57</v>
      </c>
      <c r="D35" s="38" t="s">
        <v>165</v>
      </c>
      <c r="E35" s="45" t="s">
        <v>58</v>
      </c>
      <c r="F35" s="45" t="s">
        <v>59</v>
      </c>
      <c r="G35" s="45" t="s">
        <v>60</v>
      </c>
      <c r="H35" s="45" t="s">
        <v>61</v>
      </c>
      <c r="I35" s="45" t="s">
        <v>62</v>
      </c>
      <c r="K35" s="38" t="s">
        <v>57</v>
      </c>
      <c r="L35" s="38" t="s">
        <v>165</v>
      </c>
      <c r="M35" s="45" t="s">
        <v>58</v>
      </c>
      <c r="N35" s="45" t="s">
        <v>59</v>
      </c>
      <c r="O35" s="45" t="s">
        <v>60</v>
      </c>
      <c r="P35" s="45" t="s">
        <v>61</v>
      </c>
      <c r="Q35" s="45" t="s">
        <v>62</v>
      </c>
    </row>
    <row r="36" spans="1:18" hidden="1">
      <c r="C36" s="20" t="str" cm="1">
        <f t="array" ref="C36:C38">INDEX($C$25:$D$27,0,1)</f>
        <v>Residential</v>
      </c>
      <c r="D36" s="20" t="str" cm="1">
        <f t="array" ref="D36:D38">INDEX($C$25:$D$27,0,2)</f>
        <v>Residential - small</v>
      </c>
      <c r="E36" s="198">
        <f>IFERROR((E11-E25)/E25,"-")</f>
        <v>0.18669314796425024</v>
      </c>
      <c r="F36" s="198">
        <f t="shared" ref="F36:I36" si="0">IFERROR((F11-F25)/F25,"-")</f>
        <v>0.16102683780630106</v>
      </c>
      <c r="G36" s="198">
        <f t="shared" si="0"/>
        <v>0.20625724217844726</v>
      </c>
      <c r="H36" s="198">
        <f t="shared" si="0"/>
        <v>0.19724284199363734</v>
      </c>
      <c r="I36" s="198">
        <f t="shared" si="0"/>
        <v>0.20164126611957797</v>
      </c>
      <c r="J36" s="101"/>
      <c r="K36" s="199" t="str" cm="1">
        <f t="array" ref="K36:K38">INDEX($K$25:$L$27,0,1)</f>
        <v>Small business</v>
      </c>
      <c r="L36" s="199" t="str" cm="1">
        <f t="array" ref="L36:L38">INDEX($K$25:$L$27,0,2)</f>
        <v>Small business - small</v>
      </c>
      <c r="M36" s="198">
        <f t="shared" ref="M36:Q36" si="1">IFERROR((M11-M25)/M25,"-")</f>
        <v>0.23792772625519668</v>
      </c>
      <c r="N36" s="198">
        <f t="shared" si="1"/>
        <v>0.23747195213163799</v>
      </c>
      <c r="O36" s="198">
        <f t="shared" si="1"/>
        <v>0.29088952654232425</v>
      </c>
      <c r="P36" s="198">
        <f t="shared" si="1"/>
        <v>0.25909402882635552</v>
      </c>
      <c r="Q36" s="198">
        <f t="shared" si="1"/>
        <v>0.2806047197640118</v>
      </c>
    </row>
    <row r="37" spans="1:18">
      <c r="C37" s="20" t="str">
        <v>Residential</v>
      </c>
      <c r="D37" s="20" t="str">
        <v>Residential - medium</v>
      </c>
      <c r="E37" s="198">
        <f t="shared" ref="E37:I37" si="2">IFERROR((E12-E26)/E26,"-")</f>
        <v>0.23701298701298701</v>
      </c>
      <c r="F37" s="198">
        <f t="shared" si="2"/>
        <v>0.21661490683229814</v>
      </c>
      <c r="G37" s="198">
        <f t="shared" si="2"/>
        <v>0.27705295471987723</v>
      </c>
      <c r="H37" s="198">
        <f t="shared" si="2"/>
        <v>0.26652452025586354</v>
      </c>
      <c r="I37" s="198">
        <f t="shared" si="2"/>
        <v>0.25971058644325973</v>
      </c>
      <c r="J37" s="101"/>
      <c r="K37" s="199" t="str">
        <v>Small business</v>
      </c>
      <c r="L37" s="199" t="str">
        <v>Small business - medium</v>
      </c>
      <c r="M37" s="198">
        <f t="shared" ref="M37:Q37" si="3">IFERROR((M12-M26)/M26,"-")</f>
        <v>0.25558055026821247</v>
      </c>
      <c r="N37" s="198">
        <f t="shared" si="3"/>
        <v>0.26517967781908303</v>
      </c>
      <c r="O37" s="198">
        <f t="shared" si="3"/>
        <v>0.32374824049869294</v>
      </c>
      <c r="P37" s="198">
        <f t="shared" si="3"/>
        <v>0.28517540550735571</v>
      </c>
      <c r="Q37" s="198">
        <f t="shared" si="3"/>
        <v>0.30367543683470577</v>
      </c>
    </row>
    <row r="38" spans="1:18" hidden="1">
      <c r="C38" s="20" t="str">
        <v>Residential</v>
      </c>
      <c r="D38" s="20" t="str">
        <v>Residential - large</v>
      </c>
      <c r="E38" s="198">
        <f t="shared" ref="E38:I38" si="4">IFERROR((E13-E27)/E27,"-")</f>
        <v>0.27639155470249521</v>
      </c>
      <c r="F38" s="198">
        <f t="shared" si="4"/>
        <v>0.26068773234200743</v>
      </c>
      <c r="G38" s="198">
        <f t="shared" si="4"/>
        <v>0.33211177278973891</v>
      </c>
      <c r="H38" s="198">
        <f t="shared" si="4"/>
        <v>0.32191780821917809</v>
      </c>
      <c r="I38" s="198">
        <f t="shared" si="4"/>
        <v>0.30407523510971785</v>
      </c>
      <c r="J38" s="101"/>
      <c r="K38" s="199" t="str">
        <v>Small business</v>
      </c>
      <c r="L38" s="199" t="str">
        <v>Small business - large</v>
      </c>
      <c r="M38" s="198">
        <f t="shared" ref="M38:Q38" si="5">IFERROR((M13-M27)/M27,"-")</f>
        <v>0.26554182080664079</v>
      </c>
      <c r="N38" s="198">
        <f t="shared" si="5"/>
        <v>0.28132490738723032</v>
      </c>
      <c r="O38" s="198">
        <f t="shared" si="5"/>
        <v>0.34325163223803917</v>
      </c>
      <c r="P38" s="198">
        <f t="shared" si="5"/>
        <v>0.30032741343387243</v>
      </c>
      <c r="Q38" s="198">
        <f t="shared" si="5"/>
        <v>0.31682960159781354</v>
      </c>
    </row>
    <row r="42" spans="1:18">
      <c r="E42" s="175"/>
      <c r="F42" s="175"/>
      <c r="G42" s="175"/>
      <c r="H42" s="175"/>
      <c r="I42" s="175"/>
    </row>
    <row r="43" spans="1:18">
      <c r="E43" s="175"/>
      <c r="F43" s="175"/>
      <c r="G43" s="175"/>
      <c r="H43" s="175"/>
      <c r="I43" s="175"/>
    </row>
    <row r="44" spans="1:18">
      <c r="H44" s="78"/>
    </row>
  </sheetData>
  <sheetProtection algorithmName="SHA-512" hashValue="n7938INa9XAG18JXl2sGix2ydqtNWswst7M/UvemvqKb+zPTo3zNNAC8dmMy0QjqT7Ka6Cu6HejnNyK1snZRZQ==" saltValue="MRL54Ohsd5mLezDQ8AUPNw==" spinCount="100000" sheet="1" objects="1" scenarios="1"/>
  <mergeCells count="1">
    <mergeCell ref="A2:A3"/>
  </mergeCells>
  <hyperlinks>
    <hyperlink ref="B1" location="Contents!A1" display="&lt;&lt; Back to contents" xr:uid="{52B053D7-83AF-4220-B29C-13206DDAA3F8}"/>
  </hyperlinks>
  <pageMargins left="0.7" right="0.7" top="0.75" bottom="0.75" header="0.3" footer="0.3"/>
  <pageSetup paperSize="9" orientation="portrait" r:id="rId1"/>
  <headerFooter>
    <oddHeader>&amp;C&amp;B&amp;"Arial"&amp;12&amp;Kff0000​‌OFFICIAL‌​</oddHeader>
  </headerFooter>
  <ignoredErrors>
    <ignoredError sqref="E11:Q27" calculatedColumn="1"/>
  </ignoredErrors>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B7840FAA-381E-4BFC-8632-0963076DE389}">
          <x14:formula1>
            <xm:f>'Lookup refs'!$G$8:$G$10</xm:f>
          </x14:formula1>
          <xm:sqref>K11:K13 C11:C13 K25:K27 C25:C32</xm:sqref>
        </x14:dataValidation>
        <x14:dataValidation type="list" allowBlank="1" showInputMessage="1" showErrorMessage="1" xr:uid="{63AEA5C8-119D-41ED-8ABB-2707A0C4A19F}">
          <x14:formula1>
            <xm:f>'Lookup refs'!$I$8:$I$13</xm:f>
          </x14:formula1>
          <xm:sqref>D11:D13 L11:L13 L25:L27 D25:D32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E7EE-6F2A-4C83-9336-271EA32D8B1F}">
  <sheetPr>
    <tabColor rgb="FFFFB13F"/>
    <pageSetUpPr autoPageBreaks="0"/>
  </sheetPr>
  <dimension ref="A1:X107"/>
  <sheetViews>
    <sheetView showGridLines="0" topLeftCell="B1" zoomScale="90" zoomScaleNormal="90" workbookViewId="0">
      <pane ySplit="3" topLeftCell="A8" activePane="bottomLeft" state="frozen"/>
      <selection activeCell="B33" sqref="B33"/>
      <selection pane="bottomLeft" activeCell="D31" sqref="D31"/>
    </sheetView>
  </sheetViews>
  <sheetFormatPr defaultColWidth="9.453125" defaultRowHeight="14.5" outlineLevelRow="1" outlineLevelCol="1"/>
  <cols>
    <col min="1" max="1" width="100.54296875" hidden="1" customWidth="1" outlineLevel="1"/>
    <col min="2" max="2" width="10.54296875" style="6" customWidth="1" collapsed="1"/>
    <col min="3" max="17" width="25.54296875" customWidth="1"/>
    <col min="18" max="18" width="5.54296875" customWidth="1"/>
    <col min="19" max="19" width="11.453125" bestFit="1" customWidth="1"/>
    <col min="22" max="22" width="13.453125" bestFit="1" customWidth="1"/>
  </cols>
  <sheetData>
    <row r="1" spans="1:18" ht="15" customHeight="1">
      <c r="A1" s="1" t="s">
        <v>15</v>
      </c>
      <c r="B1" s="231" t="s">
        <v>569</v>
      </c>
      <c r="C1" s="19"/>
      <c r="D1" s="19"/>
      <c r="E1" s="19"/>
      <c r="F1" s="102" t="s">
        <v>52</v>
      </c>
      <c r="G1" s="87"/>
      <c r="H1" s="19"/>
      <c r="I1" s="19"/>
      <c r="J1" s="19"/>
      <c r="K1" s="19"/>
      <c r="L1" s="19"/>
      <c r="M1" s="19"/>
      <c r="N1" s="19"/>
      <c r="O1" s="19"/>
      <c r="P1" s="19"/>
      <c r="Q1" s="19"/>
      <c r="R1" s="19"/>
    </row>
    <row r="2" spans="1:18" s="4" customFormat="1" ht="50.15" customHeight="1">
      <c r="A2" s="236" t="s">
        <v>16</v>
      </c>
      <c r="B2" s="22"/>
      <c r="C2" s="22" t="str">
        <f>[1]Disclaimer!$B$1</f>
        <v>VDO calculation model</v>
      </c>
      <c r="D2" s="22"/>
      <c r="E2" s="22"/>
      <c r="F2" s="156" t="str">
        <f>[1]Calc_Rates!$D$5</f>
        <v>VDO 2023-24 - Final</v>
      </c>
      <c r="G2" s="156" t="str">
        <f>[1]Calc_Rates!$D$266</f>
        <v>VDO 2022-23 - Final</v>
      </c>
      <c r="H2" s="22"/>
      <c r="I2" s="22"/>
      <c r="J2" s="22"/>
      <c r="K2" s="22"/>
      <c r="L2" s="22"/>
      <c r="M2" s="22"/>
      <c r="N2" s="22"/>
      <c r="O2" s="22"/>
      <c r="P2" s="22"/>
      <c r="Q2" s="22"/>
      <c r="R2" s="22"/>
    </row>
    <row r="3" spans="1:18" s="4" customFormat="1" ht="30" customHeight="1">
      <c r="A3" s="237"/>
      <c r="B3" s="24">
        <f ca="1">_xlfn.SHEET()</f>
        <v>7</v>
      </c>
      <c r="C3" s="23" t="s">
        <v>544</v>
      </c>
      <c r="D3" s="23"/>
      <c r="E3" s="23"/>
      <c r="F3" s="86">
        <f>SUM(D68:H68,M35)</f>
        <v>0</v>
      </c>
      <c r="G3" s="86">
        <f>SUM(L68:P68,M36)</f>
        <v>0</v>
      </c>
      <c r="H3" s="23"/>
      <c r="I3" s="23"/>
      <c r="J3" s="23"/>
      <c r="K3" s="23"/>
      <c r="L3" s="23"/>
      <c r="M3" s="23"/>
      <c r="N3" s="23"/>
      <c r="O3" s="23"/>
      <c r="P3" s="23"/>
      <c r="Q3" s="23"/>
      <c r="R3" s="23"/>
    </row>
    <row r="4" spans="1:18">
      <c r="B4"/>
    </row>
    <row r="5" spans="1:18" ht="16" thickBot="1">
      <c r="A5" s="1" t="s">
        <v>18</v>
      </c>
      <c r="B5" s="216">
        <f ca="1">MAX(B$3:B4)+0.01</f>
        <v>7.01</v>
      </c>
      <c r="C5" s="25" t="str">
        <f>"VDO cost stack chart - Flat VDO - "&amp;IF(ISNUMBER(SEARCH("Residential",$C$48)),"Residential","Small business")</f>
        <v>VDO cost stack chart - Flat VDO - Residential</v>
      </c>
      <c r="D5" s="25"/>
      <c r="E5" s="25"/>
      <c r="F5" s="25"/>
      <c r="G5" s="25"/>
      <c r="H5" s="25"/>
      <c r="I5" s="25"/>
      <c r="J5" s="25"/>
      <c r="K5" s="25"/>
      <c r="L5" s="25"/>
      <c r="M5" s="25"/>
      <c r="N5" s="25"/>
      <c r="O5" s="25"/>
      <c r="P5" s="25"/>
      <c r="Q5" s="25"/>
      <c r="R5" s="25"/>
    </row>
    <row r="6" spans="1:18" outlineLevel="1">
      <c r="B6"/>
    </row>
    <row r="7" spans="1:18" outlineLevel="1">
      <c r="B7"/>
    </row>
    <row r="8" spans="1:18" outlineLevel="1">
      <c r="B8"/>
    </row>
    <row r="9" spans="1:18" outlineLevel="1">
      <c r="B9"/>
    </row>
    <row r="10" spans="1:18" outlineLevel="1">
      <c r="B10"/>
    </row>
    <row r="11" spans="1:18" outlineLevel="1">
      <c r="B11"/>
    </row>
    <row r="12" spans="1:18" outlineLevel="1">
      <c r="B12"/>
    </row>
    <row r="13" spans="1:18" outlineLevel="1">
      <c r="B13"/>
    </row>
    <row r="14" spans="1:18" outlineLevel="1">
      <c r="B14"/>
    </row>
    <row r="15" spans="1:18" outlineLevel="1">
      <c r="B15"/>
    </row>
    <row r="16" spans="1:18" outlineLevel="1">
      <c r="B16"/>
    </row>
    <row r="17" spans="2:18" outlineLevel="1">
      <c r="B17"/>
    </row>
    <row r="18" spans="2:18" outlineLevel="1">
      <c r="B18"/>
    </row>
    <row r="19" spans="2:18" outlineLevel="1">
      <c r="B19"/>
    </row>
    <row r="20" spans="2:18" outlineLevel="1">
      <c r="B20"/>
    </row>
    <row r="21" spans="2:18" outlineLevel="1">
      <c r="B21"/>
    </row>
    <row r="22" spans="2:18" outlineLevel="1">
      <c r="B22"/>
    </row>
    <row r="23" spans="2:18" outlineLevel="1">
      <c r="B23"/>
    </row>
    <row r="24" spans="2:18" outlineLevel="1">
      <c r="B24"/>
    </row>
    <row r="25" spans="2:18" outlineLevel="1">
      <c r="B25"/>
    </row>
    <row r="26" spans="2:18" outlineLevel="1">
      <c r="B26"/>
    </row>
    <row r="27" spans="2:18" outlineLevel="1">
      <c r="B27"/>
    </row>
    <row r="28" spans="2:18" outlineLevel="1">
      <c r="B28"/>
    </row>
    <row r="29" spans="2:18" outlineLevel="1">
      <c r="B29"/>
    </row>
    <row r="30" spans="2:18" outlineLevel="1">
      <c r="B30"/>
    </row>
    <row r="31" spans="2:18" ht="15.5" outlineLevel="1">
      <c r="B31"/>
      <c r="C31" s="38" t="s">
        <v>464</v>
      </c>
      <c r="D31" s="233" t="s">
        <v>465</v>
      </c>
    </row>
    <row r="32" spans="2:18" ht="15.5" outlineLevel="1">
      <c r="B32"/>
      <c r="C32" s="38" t="s">
        <v>545</v>
      </c>
      <c r="D32" s="91" t="s">
        <v>65</v>
      </c>
      <c r="R32" s="179"/>
    </row>
    <row r="33" spans="1:22" outlineLevel="1">
      <c r="B33"/>
      <c r="R33" s="179"/>
    </row>
    <row r="34" spans="1:22" ht="15.5" outlineLevel="1">
      <c r="B34"/>
      <c r="C34" s="38" t="s">
        <v>466</v>
      </c>
      <c r="D34" s="38" t="s">
        <v>140</v>
      </c>
      <c r="E34" s="38" t="s">
        <v>80</v>
      </c>
      <c r="F34" s="38" t="s">
        <v>89</v>
      </c>
      <c r="G34" s="38" t="s">
        <v>82</v>
      </c>
      <c r="H34" s="38" t="s">
        <v>92</v>
      </c>
      <c r="I34" s="38" t="s">
        <v>383</v>
      </c>
      <c r="J34" s="38" t="s">
        <v>98</v>
      </c>
      <c r="K34" s="38" t="s">
        <v>467</v>
      </c>
    </row>
    <row r="35" spans="1:22" ht="15.5" outlineLevel="1">
      <c r="B35"/>
      <c r="C35" s="75" t="str">
        <f>$L$45</f>
        <v>VDO 2022-23 - Final</v>
      </c>
      <c r="D35" s="92">
        <f>INDEX(CostStackCalcs_RES_2[[Ausnet]:[Average]],MATCH(D$34,CostStackCalcs_RES_2[Labels],0),MATCH($D$31,CostStackCalcs_RES_2[[#Headers],[Ausnet]:[Average]],0))</f>
        <v>340.44816120348582</v>
      </c>
      <c r="E35" s="92">
        <f>INDEX(CostStackCalcs_RES_2[[Ausnet]:[Average]],MATCH(E$34,CostStackCalcs_RES_2[[Labels]:[Labels]],0),MATCH($D$31,CostStackCalcs_RES_2[[#Headers],[Ausnet]:[Average]],0))</f>
        <v>526.52793310670654</v>
      </c>
      <c r="F35" s="92">
        <f>INDEX(CostStackCalcs_RES_2[[Ausnet]:[Average]],MATCH(F$34,CostStackCalcs_RES_2[[Labels]:[Labels]],0),MATCH($D$31,CostStackCalcs_RES_2[[#Headers],[Ausnet]:[Average]],0))</f>
        <v>187.35930628726288</v>
      </c>
      <c r="G35" s="92">
        <f>INDEX(CostStackCalcs_RES_2[[Ausnet]:[Average]],MATCH("Environmental schemes",CostStackCalcs_RES_2[[Labels]:[Labels]],0),MATCH($D$31,CostStackCalcs_RES_2[[#Headers],[Ausnet]:[Average]],0))+
INDEX(CostStackCalcs_RES_2[[Ausnet]:[Average]],MATCH("FiT",CostStackCalcs_RES_2[[Labels]:[Labels]],0),MATCH($D$31,CostStackCalcs_RES_2[[#Headers],[Ausnet]:[Average]],0))+
IF(INDEX(CostStackCalcs_RES_2[[Ausnet]:[Average]],MATCH("Environmental true up",CostStackCalcs_RES_2[[Labels]:[Labels]],0),MATCH($D$31,CostStackCalcs_RES_2[[#Headers],[Ausnet]:[Average]],0))="-",0,
INDEX(CostStackCalcs_RES_2[[Ausnet]:[Average]],MATCH("Environmental true up",CostStackCalcs_RES_2[[Labels]:[Labels]],0),MATCH($D$31,CostStackCalcs_RES_2[[#Headers],[Ausnet]:[Average]],0)))</f>
        <v>137.93848075266567</v>
      </c>
      <c r="H35" s="92">
        <f>INDEX(CostStackCalcs_RES_2[[Ausnet]:[Average]],MATCH(H$34,CostStackCalcs_RES_2[[Labels]:[Labels]],0),MATCH($D$31,CostStackCalcs_RES_2[[#Headers],[Ausnet]:[Average]],0))</f>
        <v>9.7687112584369906</v>
      </c>
      <c r="I35" s="92">
        <f>INDEX(CostStackCalcs_RES_2[[Ausnet]:[Average]],MATCH(I$34,CostStackCalcs_RES_2[[Labels]:[Labels]],0),MATCH($D$31,CostStackCalcs_RES_2[[#Headers],[Ausnet]:[Average]],0))</f>
        <v>72.500125839836628</v>
      </c>
      <c r="J35" s="92">
        <f>INDEX(CostStackCalcs_RES_2[[Ausnet]:[Average]],MATCH(J$34,CostStackCalcs_RES_2[[Labels]:[Labels]],0),MATCH($D$31,CostStackCalcs_RES_2[[#Headers],[Ausnet]:[Average]],0))</f>
        <v>127.28333351086549</v>
      </c>
      <c r="K35" s="92">
        <f>INDEX(CostStackCalcs_RES_2[[Ausnet]:[Average]],MATCH(K$34,CostStackCalcs_RES_2[[Labels]:[Labels]],0),MATCH($D$31,CostStackCalcs_RES_2[[#Headers],[Ausnet]:[Average]],0))</f>
        <v>1403</v>
      </c>
      <c r="M35" s="21">
        <f>IF(OR(ROUNDUP(SUM(D35:J35),0)-K35&lt;1,ROUNDUP(SUM(D35:J35),0)-K35&gt;-1),0,1)</f>
        <v>0</v>
      </c>
    </row>
    <row r="36" spans="1:22" ht="15.5" outlineLevel="1">
      <c r="B36"/>
      <c r="C36" s="75" t="str">
        <f>$D$45</f>
        <v>VDO 2023-24 - Final</v>
      </c>
      <c r="D36" s="92">
        <f>INDEX(CostStackCalcs_RES_1[[Ausnet]:[Average]],MATCH(D$34,CostStackCalcs_RES_1[[Labels]:[Labels]],0),MATCH($D$31,CostStackCalcs_RES_1[[#Headers],[Ausnet]:[Average]],0))</f>
        <v>635.56598304666477</v>
      </c>
      <c r="E36" s="92">
        <f>INDEX(CostStackCalcs_RES_1[[Ausnet]:[Average]],MATCH(E$34,CostStackCalcs_RES_1[[Labels]:[Labels]],0),MATCH($D$31,CostStackCalcs_RES_1[[#Headers],[Ausnet]:[Average]],0))</f>
        <v>548.78546404067549</v>
      </c>
      <c r="F36" s="92">
        <f>INDEX(CostStackCalcs_RES_1[[Ausnet]:[Average]],MATCH(F$34,CostStackCalcs_RES_1[[Labels]:[Labels]],0),MATCH($D$31,CostStackCalcs_RES_1[[#Headers],[Ausnet]:[Average]],0))</f>
        <v>175.92415101117138</v>
      </c>
      <c r="G36" s="92">
        <f>INDEX(CostStackCalcs_RES_1[[Ausnet]:[Average]],MATCH("Environmental schemes",CostStackCalcs_RES_1[[Labels]:[Labels]],0),MATCH($D$31,CostStackCalcs_RES_1[[#Headers],[Ausnet]:[Average]],0))+
INDEX(CostStackCalcs_RES_1[[Ausnet]:[Average]],MATCH("FiT",CostStackCalcs_RES_1[[Labels]:[Labels]],0),MATCH($D$31,CostStackCalcs_RES_1[[#Headers],[Ausnet]:[Average]],0))+
IF(INDEX(CostStackCalcs_RES_1[[Ausnet]:[Average]],MATCH("Environmental true up",CostStackCalcs_RES_1[[Labels]:[Labels]],0),MATCH($D$31,CostStackCalcs_RES_1[[#Headers],[Ausnet]:[Average]],0))="-",0,
INDEX(CostStackCalcs_RES_1[[Ausnet]:[Average]],MATCH("Environmental true up",CostStackCalcs_RES_1[[Labels]:[Labels]],0),MATCH($D$31,CostStackCalcs_RES_1[[#Headers],[Ausnet]:[Average]],0)))</f>
        <v>131.69618635885368</v>
      </c>
      <c r="H36" s="92">
        <f>INDEX(CostStackCalcs_RES_1[[Ausnet]:[Average]],MATCH(H$34,CostStackCalcs_RES_1[[Labels]:[Labels]],0),MATCH($D$31,CostStackCalcs_RES_1[[#Headers],[Ausnet]:[Average]],0))</f>
        <v>17.775747550251065</v>
      </c>
      <c r="I36" s="92">
        <f>INDEX(CostStackCalcs_RES_1[[Ausnet]:[Average]],MATCH(I$34,CostStackCalcs_RES_1[[Labels]:[Labels]],0),MATCH($D$31,CostStackCalcs_RES_1[[#Headers],[Ausnet]:[Average]],0))</f>
        <v>84.863307286151937</v>
      </c>
      <c r="J36" s="92">
        <f>INDEX(CostStackCalcs_RES_1[[Ausnet]:[Average]],MATCH(J$34,CostStackCalcs_RES_1[[Labels]:[Labels]],0),MATCH($D$31,CostStackCalcs_RES_1[[#Headers],[Ausnet]:[Average]],0))</f>
        <v>160.0279508824579</v>
      </c>
      <c r="K36" s="92">
        <f>INDEX(CostStackCalcs_RES_1[[Ausnet]:[Average]],MATCH(K$34,CostStackCalcs_RES_1[[Labels]:[Labels]],0),MATCH($D$31,CostStackCalcs_RES_1[[#Headers],[Ausnet]:[Average]],0))</f>
        <v>1755</v>
      </c>
      <c r="M36" s="21">
        <f>IF(OR(ROUNDUP(SUM(D36:J36),0)-K36&lt;1,ROUNDUP(SUM(D36:J36),0)-K36&gt;-1),0,1)</f>
        <v>0</v>
      </c>
    </row>
    <row r="37" spans="1:22" outlineLevel="1">
      <c r="B37"/>
    </row>
    <row r="38" spans="1:22" outlineLevel="1">
      <c r="B38"/>
      <c r="C38" s="75" t="str">
        <f>$L$45</f>
        <v>VDO 2022-23 - Final</v>
      </c>
      <c r="D38" s="97">
        <f>D35/$K35</f>
        <v>0.24265727812080243</v>
      </c>
      <c r="E38" s="97">
        <f t="shared" ref="E38:K39" si="0">E35/$K35</f>
        <v>0.37528719394633397</v>
      </c>
      <c r="F38" s="97">
        <f t="shared" si="0"/>
        <v>0.13354191467374404</v>
      </c>
      <c r="G38" s="97">
        <f t="shared" si="0"/>
        <v>9.8316807378949156E-2</v>
      </c>
      <c r="H38" s="97">
        <f t="shared" si="0"/>
        <v>6.9627307615374133E-3</v>
      </c>
      <c r="I38" s="97">
        <f t="shared" si="0"/>
        <v>5.167507187443808E-2</v>
      </c>
      <c r="J38" s="97">
        <f t="shared" si="0"/>
        <v>9.0722261946447252E-2</v>
      </c>
      <c r="K38" s="97">
        <f t="shared" si="0"/>
        <v>1</v>
      </c>
    </row>
    <row r="39" spans="1:22" outlineLevel="1">
      <c r="B39"/>
      <c r="C39" s="75" t="str">
        <f>$D$45</f>
        <v>VDO 2023-24 - Final</v>
      </c>
      <c r="D39" s="97">
        <f>D36/$K36</f>
        <v>0.36214585928584886</v>
      </c>
      <c r="E39" s="97">
        <f>E36/$K36</f>
        <v>0.31269827010864698</v>
      </c>
      <c r="F39" s="97">
        <f t="shared" si="0"/>
        <v>0.10024168148784694</v>
      </c>
      <c r="G39" s="97">
        <f>G36/$K36</f>
        <v>7.5040562027836849E-2</v>
      </c>
      <c r="H39" s="97">
        <f t="shared" si="0"/>
        <v>1.012863108276414E-2</v>
      </c>
      <c r="I39" s="97">
        <f t="shared" si="0"/>
        <v>4.835516084681022E-2</v>
      </c>
      <c r="J39" s="97">
        <f t="shared" si="0"/>
        <v>9.118401759684211E-2</v>
      </c>
      <c r="K39" s="97">
        <f t="shared" si="0"/>
        <v>1</v>
      </c>
      <c r="L39" s="97"/>
    </row>
    <row r="40" spans="1:22" ht="15.5" outlineLevel="1">
      <c r="B40"/>
      <c r="C40" s="26" t="s">
        <v>546</v>
      </c>
      <c r="D40" s="97">
        <f>(D36-D35)/D35</f>
        <v>0.86685097901523711</v>
      </c>
      <c r="E40" s="97">
        <f t="shared" ref="E40:K40" si="1">(E36-E35)/E35</f>
        <v>4.2272269967979503E-2</v>
      </c>
      <c r="F40" s="97">
        <f t="shared" si="1"/>
        <v>-6.1033292141671934E-2</v>
      </c>
      <c r="G40" s="97">
        <f>(G36-G35)/G35</f>
        <v>-4.5254191286946993E-2</v>
      </c>
      <c r="H40" s="97">
        <f t="shared" si="1"/>
        <v>0.81966147631793274</v>
      </c>
      <c r="I40" s="97">
        <f t="shared" si="1"/>
        <v>0.17052634465252356</v>
      </c>
      <c r="J40" s="97">
        <f t="shared" si="1"/>
        <v>0.25725769799073639</v>
      </c>
      <c r="K40" s="97">
        <f t="shared" si="1"/>
        <v>0.25089094796863864</v>
      </c>
    </row>
    <row r="41" spans="1:22" ht="15.5" outlineLevel="1">
      <c r="B41"/>
      <c r="C41" s="26" t="s">
        <v>547</v>
      </c>
      <c r="D41" s="97">
        <f t="shared" ref="D41:J41" si="2">D38*D40</f>
        <v>0.21034769910419027</v>
      </c>
      <c r="E41" s="97">
        <f t="shared" si="2"/>
        <v>1.5864241578024914E-2</v>
      </c>
      <c r="F41" s="97">
        <f t="shared" si="2"/>
        <v>-8.150502691440846E-3</v>
      </c>
      <c r="G41" s="97">
        <f t="shared" si="2"/>
        <v>-4.4492476078488866E-3</v>
      </c>
      <c r="H41" s="97">
        <f t="shared" si="2"/>
        <v>5.7070821752060403E-3</v>
      </c>
      <c r="I41" s="97">
        <f t="shared" si="2"/>
        <v>8.811961116404355E-3</v>
      </c>
      <c r="J41" s="97">
        <f t="shared" si="2"/>
        <v>2.3339000264855605E-2</v>
      </c>
      <c r="K41" s="97">
        <f>SUM(D41:J41)</f>
        <v>0.25147023393939144</v>
      </c>
      <c r="M41" s="21">
        <f>IF(ROUND(K41,2)=ROUND(K40,2),0,1)</f>
        <v>0</v>
      </c>
    </row>
    <row r="42" spans="1:22">
      <c r="B42"/>
      <c r="K42" s="100"/>
      <c r="L42" s="101"/>
    </row>
    <row r="43" spans="1:22" ht="16" thickBot="1">
      <c r="A43" s="1" t="s">
        <v>18</v>
      </c>
      <c r="B43" s="216">
        <f ca="1">MAX(B$3:B42)+0.01</f>
        <v>7.02</v>
      </c>
      <c r="C43" s="25" t="str">
        <f>"VDO cost stack calcs - Flat VDO - "&amp;IF(ISNUMBER(SEARCH("Residential",$C$48)),"Residential","Small business")</f>
        <v>VDO cost stack calcs - Flat VDO - Residential</v>
      </c>
      <c r="D43" s="25"/>
      <c r="E43" s="25"/>
      <c r="F43" s="25"/>
      <c r="G43" s="25"/>
      <c r="H43" s="25"/>
      <c r="I43" s="25"/>
      <c r="J43" s="25"/>
      <c r="K43" s="25"/>
      <c r="L43" s="25"/>
      <c r="M43" s="25"/>
      <c r="N43" s="25"/>
      <c r="O43" s="25"/>
      <c r="P43" s="25"/>
      <c r="Q43" s="25"/>
      <c r="R43" s="25"/>
    </row>
    <row r="44" spans="1:22" outlineLevel="1">
      <c r="V44" s="97"/>
    </row>
    <row r="45" spans="1:22" ht="15.5" outlineLevel="1">
      <c r="C45" s="49" t="s">
        <v>31</v>
      </c>
      <c r="D45" s="37" t="str">
        <f>FY</f>
        <v>VDO 2023-24 - Final</v>
      </c>
      <c r="K45" s="49" t="s">
        <v>31</v>
      </c>
      <c r="L45" s="37" t="str">
        <f>PY</f>
        <v>VDO 2022-23 - Final</v>
      </c>
    </row>
    <row r="46" spans="1:22" ht="15.5" outlineLevel="1">
      <c r="C46" s="26"/>
      <c r="K46" s="26"/>
    </row>
    <row r="47" spans="1:22" ht="15.5" outlineLevel="1">
      <c r="C47" s="38" t="s">
        <v>165</v>
      </c>
      <c r="D47" s="45" t="s">
        <v>548</v>
      </c>
      <c r="F47" s="26"/>
      <c r="K47" s="38" t="s">
        <v>165</v>
      </c>
      <c r="L47" s="45" t="s">
        <v>548</v>
      </c>
    </row>
    <row r="48" spans="1:22" outlineLevel="1">
      <c r="C48" s="218" t="s">
        <v>168</v>
      </c>
      <c r="D48" s="219">
        <f>INDEX(Input_Usage[#Data],MATCH(C48&amp;" - Annual",Input_Usage[Ref],0),MATCH($D$45,[1]Inputs!$C$140:$Q$140,0))</f>
        <v>4000</v>
      </c>
      <c r="K48" s="75" t="str">
        <f>$C$48</f>
        <v>Residential - medium</v>
      </c>
      <c r="L48" s="219">
        <f>INDEX(Input_Usage[#Data],MATCH(K48&amp;" - Annual",Input_Usage[Ref],0),MATCH($L$45,[1]Inputs!$C$140:$Q$140,0))</f>
        <v>4000</v>
      </c>
    </row>
    <row r="49" spans="3:24" ht="15.5" outlineLevel="1">
      <c r="C49" s="26"/>
      <c r="K49" s="26"/>
    </row>
    <row r="50" spans="3:24" ht="15.5" outlineLevel="1">
      <c r="C50" s="38" t="s">
        <v>67</v>
      </c>
      <c r="D50" s="219">
        <f>INDEX(Input_Usage[#Data],MATCH(C$48&amp;" - "&amp;C50,Input_Usage[Ref],0),MATCH(D$45,[1]Inputs!$C$140:$Q$140,0))</f>
        <v>4000</v>
      </c>
      <c r="G50" s="49" t="s">
        <v>501</v>
      </c>
      <c r="H50" s="75" t="str">
        <f>INDEX(Input_DecisionActual[Decision],MATCH(H51,Input_DecisionActual[Actual],0),1)</f>
        <v>VDO 2022-23 - Final</v>
      </c>
      <c r="I50" s="69">
        <f>INDEX(Input_TU_Periods[#Data],1,MATCH(H50,[1]Inputs!$C$244:$N$244,0))</f>
        <v>365</v>
      </c>
      <c r="K50" s="38" t="s">
        <v>67</v>
      </c>
      <c r="L50" s="219">
        <f>INDEX(Input_Usage[#Data],MATCH(K$48&amp;" - "&amp;K50,Input_Usage[Ref],0),MATCH(L$45,[1]Inputs!$C$140:$Q$140,0))</f>
        <v>4000</v>
      </c>
      <c r="O50" s="49" t="s">
        <v>501</v>
      </c>
      <c r="P50" s="75" t="str">
        <f>INDEX(Input_DecisionActual[Decision],MATCH(P51,Input_DecisionActual[Actual],0),1)</f>
        <v>VDO 2022 - Final</v>
      </c>
      <c r="Q50" s="69">
        <f>INDEX(Input_TU_Periods[#Data],1,MATCH(P50,[1]Inputs!$C$244:$N$244,0))</f>
        <v>365</v>
      </c>
    </row>
    <row r="51" spans="3:24" ht="15.5" outlineLevel="1">
      <c r="C51" s="38" t="s">
        <v>69</v>
      </c>
      <c r="D51" s="219">
        <f>INDEX(Input_Usage[#Data],MATCH(C$48&amp;" - "&amp;C51,Input_Usage[Ref],0),MATCH(D$45,[1]Inputs!$C$140:$Q$140,0))</f>
        <v>0</v>
      </c>
      <c r="G51" s="49" t="s">
        <v>549</v>
      </c>
      <c r="H51" s="75" t="str">
        <f>D45</f>
        <v>VDO 2023-24 - Final</v>
      </c>
      <c r="I51" s="69">
        <f>INDEX(Input_TU_Periods[#Data],2,MATCH(H51,[1]Inputs!$C$244:$N$244,0))</f>
        <v>366</v>
      </c>
      <c r="K51" s="38" t="s">
        <v>69</v>
      </c>
      <c r="L51" s="219">
        <f>INDEX(Input_Usage[#Data],MATCH(K$48&amp;" - "&amp;K51,Input_Usage[Ref],0),MATCH(L$45,[1]Inputs!$C$140:$Q$140,0))</f>
        <v>0</v>
      </c>
      <c r="O51" s="49" t="s">
        <v>549</v>
      </c>
      <c r="P51" s="75" t="str">
        <f>L45</f>
        <v>VDO 2022-23 - Final</v>
      </c>
      <c r="Q51" s="69">
        <f>INDEX(Input_TU_Periods[#Data],2,MATCH(P51,[1]Inputs!$C$244:$N$244,0))</f>
        <v>365</v>
      </c>
    </row>
    <row r="52" spans="3:24" ht="15.5" outlineLevel="1">
      <c r="C52" s="26"/>
      <c r="D52" s="95"/>
      <c r="G52" s="49" t="s">
        <v>270</v>
      </c>
      <c r="I52" s="177">
        <f>I50/I51</f>
        <v>0.99726775956284153</v>
      </c>
      <c r="K52" s="26"/>
      <c r="O52" s="49" t="s">
        <v>270</v>
      </c>
      <c r="Q52" s="177">
        <f>Q50/Q51</f>
        <v>1</v>
      </c>
    </row>
    <row r="53" spans="3:24" ht="15.5" outlineLevel="1">
      <c r="C53" s="26"/>
      <c r="D53" s="95"/>
      <c r="K53" s="26"/>
    </row>
    <row r="54" spans="3:24" ht="15.5" outlineLevel="1">
      <c r="C54" s="39" t="s">
        <v>550</v>
      </c>
      <c r="D54" s="54" t="s">
        <v>58</v>
      </c>
      <c r="E54" s="54" t="s">
        <v>59</v>
      </c>
      <c r="F54" s="54" t="s">
        <v>60</v>
      </c>
      <c r="G54" s="54" t="s">
        <v>61</v>
      </c>
      <c r="H54" s="54" t="s">
        <v>62</v>
      </c>
      <c r="I54" s="54" t="s">
        <v>465</v>
      </c>
      <c r="K54" s="39" t="s">
        <v>550</v>
      </c>
      <c r="L54" s="54" t="s">
        <v>58</v>
      </c>
      <c r="M54" s="54" t="s">
        <v>59</v>
      </c>
      <c r="N54" s="54" t="s">
        <v>60</v>
      </c>
      <c r="O54" s="54" t="s">
        <v>61</v>
      </c>
      <c r="P54" s="54" t="s">
        <v>62</v>
      </c>
      <c r="Q54" s="54" t="s">
        <v>465</v>
      </c>
    </row>
    <row r="55" spans="3:24" outlineLevel="1">
      <c r="C55" s="20" t="s">
        <v>140</v>
      </c>
      <c r="D55" s="220">
        <f>D$86*($D$48*(1+D$72))</f>
        <v>676.53521980466178</v>
      </c>
      <c r="E55" s="220">
        <f>E$86*($D$48*(1+E$72))</f>
        <v>572.64874159002306</v>
      </c>
      <c r="F55" s="220">
        <f>F$86*($D$48*(1+F$72))</f>
        <v>639.7312569602434</v>
      </c>
      <c r="G55" s="220">
        <f>G$86*($D$48*(1+G$72))</f>
        <v>658.77971890459719</v>
      </c>
      <c r="H55" s="220">
        <f>H$86*($D$48*(1+H$72))</f>
        <v>630.13497797379864</v>
      </c>
      <c r="I55" s="221">
        <f>AVERAGE(D55:H55)</f>
        <v>635.56598304666477</v>
      </c>
      <c r="K55" s="20" t="s">
        <v>140</v>
      </c>
      <c r="L55" s="220">
        <f>L$86*($L$48*(1+L$72))</f>
        <v>353.24418279820156</v>
      </c>
      <c r="M55" s="220">
        <f>M$86*($L$48*(1+M$72))</f>
        <v>322.18135193088</v>
      </c>
      <c r="N55" s="220">
        <f>N$86*($L$48*(1+N$72))</f>
        <v>341.23050910485</v>
      </c>
      <c r="O55" s="220">
        <f>O$86*($L$48*(1+O$72))</f>
        <v>345.28385053700799</v>
      </c>
      <c r="P55" s="220">
        <f>P$86*($L$48*(1+P$72))</f>
        <v>340.30091164648957</v>
      </c>
      <c r="Q55" s="221">
        <f>AVERAGE(L55:P55)</f>
        <v>340.44816120348582</v>
      </c>
      <c r="U55" s="222"/>
      <c r="V55" s="223"/>
    </row>
    <row r="56" spans="3:24" outlineLevel="1">
      <c r="C56" s="20" t="s">
        <v>80</v>
      </c>
      <c r="D56" s="220">
        <f>D$77+(D$91*$D$50)+(D$92*$D$51)+(D$93*$D$48)</f>
        <v>737.8936390239096</v>
      </c>
      <c r="E56" s="220">
        <f>E$77+(E$91*$D$50)+(E$92*$D$51)+(E$93*$D$48)</f>
        <v>454.38949568695608</v>
      </c>
      <c r="F56" s="220">
        <f>F$77+(F$91*$D$50)+(F$92*$D$51)+(F$93*$D$48)</f>
        <v>515.93934275504375</v>
      </c>
      <c r="G56" s="220">
        <f>G$77+(G$91*$D$50)+(G$92*$D$51)+(G$93*$D$48)</f>
        <v>556.92355510552034</v>
      </c>
      <c r="H56" s="220">
        <f>H$77+(H$91*$D$50)+(H$92*$D$51)+(H$93*$D$48)</f>
        <v>478.78128763194758</v>
      </c>
      <c r="I56" s="221">
        <f t="shared" ref="I56:I63" si="3">AVERAGE(D56:H56)</f>
        <v>548.78546404067549</v>
      </c>
      <c r="K56" s="20" t="s">
        <v>80</v>
      </c>
      <c r="L56" s="220">
        <f>L$77+(L$91*$L$50)+(L$92*$L$51)+(L$93*$L$48)</f>
        <v>707.60769167398337</v>
      </c>
      <c r="M56" s="220">
        <f>M$77+(M$91*$L$50)+(M$92*$L$51)+(M$93*$L$48)</f>
        <v>451.85206917734371</v>
      </c>
      <c r="N56" s="220">
        <f>N$77+(N$91*$L$50)+(N$92*$L$51)+(N$93*$L$48)</f>
        <v>484.43901243411329</v>
      </c>
      <c r="O56" s="220">
        <f>O$77+(O$91*$L$50)+(O$92*$L$51)+(O$93*$L$48)</f>
        <v>528.12813140596847</v>
      </c>
      <c r="P56" s="220">
        <f>P$77+(P$91*$L$50)+(P$92*$L$51)+(P$93*$L$48)</f>
        <v>460.61276084212449</v>
      </c>
      <c r="Q56" s="221">
        <f t="shared" ref="Q56:Q63" si="4">AVERAGE(L56:P56)</f>
        <v>526.52793310670654</v>
      </c>
      <c r="T56" s="100"/>
      <c r="U56" s="222"/>
      <c r="V56" s="223"/>
      <c r="X56" s="78"/>
    </row>
    <row r="57" spans="3:24" outlineLevel="1">
      <c r="C57" s="20" t="s">
        <v>89</v>
      </c>
      <c r="D57" s="220">
        <f>D$75</f>
        <v>175.92415101117138</v>
      </c>
      <c r="E57" s="220">
        <f>E$75</f>
        <v>175.92415101117138</v>
      </c>
      <c r="F57" s="220">
        <f>F$75</f>
        <v>175.92415101117138</v>
      </c>
      <c r="G57" s="220">
        <f>G$75</f>
        <v>175.92415101117138</v>
      </c>
      <c r="H57" s="220">
        <f>H$75</f>
        <v>175.92415101117138</v>
      </c>
      <c r="I57" s="221">
        <f t="shared" si="3"/>
        <v>175.92415101117138</v>
      </c>
      <c r="K57" s="20" t="s">
        <v>89</v>
      </c>
      <c r="L57" s="220">
        <f>L$75</f>
        <v>187.35930628726288</v>
      </c>
      <c r="M57" s="220">
        <f>M$75</f>
        <v>187.35930628726288</v>
      </c>
      <c r="N57" s="220">
        <f>N$75</f>
        <v>187.35930628726288</v>
      </c>
      <c r="O57" s="220">
        <f>O$75</f>
        <v>187.35930628726288</v>
      </c>
      <c r="P57" s="220">
        <f>P$75</f>
        <v>187.35930628726288</v>
      </c>
      <c r="Q57" s="221">
        <f t="shared" si="4"/>
        <v>187.35930628726288</v>
      </c>
      <c r="U57" s="222"/>
      <c r="V57" s="223"/>
      <c r="X57" s="78"/>
    </row>
    <row r="58" spans="3:24" outlineLevel="1">
      <c r="C58" s="20" t="s">
        <v>469</v>
      </c>
      <c r="D58" s="220">
        <f>(D$84*($D$48*(1+D$72)))</f>
        <v>123.44352389876008</v>
      </c>
      <c r="E58" s="220">
        <f>(E$84*($D$48*(1+E$72)))</f>
        <v>118.84545109557654</v>
      </c>
      <c r="F58" s="220">
        <f>(F$84*($D$48*(1+F$72)))</f>
        <v>118.88677873503472</v>
      </c>
      <c r="G58" s="220">
        <f>(G$84*($D$48*(1+G$72)))</f>
        <v>121.85262309750216</v>
      </c>
      <c r="H58" s="220">
        <f>(H$84*($D$48*(1+H$72)))</f>
        <v>119.06804004723617</v>
      </c>
      <c r="I58" s="221">
        <f t="shared" si="3"/>
        <v>120.41928337482193</v>
      </c>
      <c r="K58" s="20" t="s">
        <v>469</v>
      </c>
      <c r="L58" s="220">
        <f>(L$84*($L$48*(1+L$72)))</f>
        <v>122.55112760452178</v>
      </c>
      <c r="M58" s="220">
        <f>(M$84*($L$48*(1+M$72)))</f>
        <v>118.86206039063467</v>
      </c>
      <c r="N58" s="220">
        <f>(N$84*($L$48*(1+N$72)))</f>
        <v>117.85041590911655</v>
      </c>
      <c r="O58" s="220">
        <f>(O$84*($L$48*(1+O$72)))</f>
        <v>121.46658806167338</v>
      </c>
      <c r="P58" s="220">
        <f>(P$84*($L$48*(1+P$72)))</f>
        <v>118.53869262653906</v>
      </c>
      <c r="Q58" s="221">
        <f>AVERAGE(L58:P58)</f>
        <v>119.85377691849708</v>
      </c>
      <c r="U58" s="222"/>
      <c r="V58" s="223"/>
      <c r="X58" s="78"/>
    </row>
    <row r="59" spans="3:24" outlineLevel="1">
      <c r="C59" s="20" t="s">
        <v>470</v>
      </c>
      <c r="D59" s="220">
        <f>D81</f>
        <v>16.945572514842485</v>
      </c>
      <c r="E59" s="220">
        <f>E81</f>
        <v>16.945572514842485</v>
      </c>
      <c r="F59" s="220">
        <f>F81</f>
        <v>16.945572514842485</v>
      </c>
      <c r="G59" s="220">
        <f>G81</f>
        <v>16.945572514842485</v>
      </c>
      <c r="H59" s="220">
        <f>H81</f>
        <v>16.945572514842485</v>
      </c>
      <c r="I59" s="221">
        <f>AVERAGE(D59:H59)</f>
        <v>16.945572514842485</v>
      </c>
      <c r="K59" s="20" t="s">
        <v>470</v>
      </c>
      <c r="L59" s="220">
        <f>L81</f>
        <v>16.375320494428642</v>
      </c>
      <c r="M59" s="220">
        <f t="shared" ref="M59:P59" si="5">M81</f>
        <v>16.375320494428642</v>
      </c>
      <c r="N59" s="220">
        <f t="shared" si="5"/>
        <v>16.375320494428642</v>
      </c>
      <c r="O59" s="220">
        <f t="shared" si="5"/>
        <v>16.375320494428642</v>
      </c>
      <c r="P59" s="220">
        <f t="shared" si="5"/>
        <v>16.375320494428642</v>
      </c>
      <c r="Q59" s="221">
        <f>AVERAGE(L59:P59)</f>
        <v>16.375320494428642</v>
      </c>
      <c r="U59" s="222"/>
      <c r="V59" s="223"/>
    </row>
    <row r="60" spans="3:24" outlineLevel="1">
      <c r="C60" s="20" t="s">
        <v>92</v>
      </c>
      <c r="D60" s="220">
        <f>D$79+(D$88*($D$48*(1+D$72)))</f>
        <v>17.954355674104985</v>
      </c>
      <c r="E60" s="220">
        <f>E$79+(E$88*($D$48*(1+E$72)))</f>
        <v>17.682798848442552</v>
      </c>
      <c r="F60" s="220">
        <f>F$79+(F$88*($D$48*(1+F$72)))</f>
        <v>17.685239610706169</v>
      </c>
      <c r="G60" s="220">
        <f>G$79+(G$88*($D$48*(1+G$72)))</f>
        <v>17.860398925261357</v>
      </c>
      <c r="H60" s="220">
        <f>H$79+(H$88*($D$48*(1+H$72)))</f>
        <v>17.695944692740266</v>
      </c>
      <c r="I60" s="221">
        <f t="shared" si="3"/>
        <v>17.775747550251065</v>
      </c>
      <c r="K60" s="20" t="s">
        <v>92</v>
      </c>
      <c r="L60" s="220">
        <f>L$79+(L$88*($L$48*(1+L$72)))</f>
        <v>9.8958542460319077</v>
      </c>
      <c r="M60" s="220">
        <f>M$79+(M$88*($L$48*(1+M$72)))</f>
        <v>9.7219654634415633</v>
      </c>
      <c r="N60" s="220">
        <f>N$79+(N$88*($L$48*(1+N$72)))</f>
        <v>9.6742803395047545</v>
      </c>
      <c r="O60" s="220">
        <f>O$79+(O$88*($L$48*(1+O$72)))</f>
        <v>9.8447331224950219</v>
      </c>
      <c r="P60" s="220">
        <f>P$79+(P$88*($L$48*(1+P$72)))</f>
        <v>9.7067231207117075</v>
      </c>
      <c r="Q60" s="221">
        <f t="shared" si="4"/>
        <v>9.7687112584369906</v>
      </c>
      <c r="U60" s="222"/>
      <c r="V60" s="223"/>
    </row>
    <row r="61" spans="3:24" outlineLevel="1">
      <c r="C61" s="20" t="s">
        <v>383</v>
      </c>
      <c r="D61" s="220">
        <f>SUM(D55:D60)*D$70</f>
        <v>97.927001867937221</v>
      </c>
      <c r="E61" s="220">
        <f>SUM(E55:E60)*E$70</f>
        <v>75.96042780183268</v>
      </c>
      <c r="F61" s="220">
        <f>SUM(F55:F60)*F$70</f>
        <v>83.166291128874363</v>
      </c>
      <c r="G61" s="220">
        <f>SUM(G55:G60)*G$70</f>
        <v>86.704017095298127</v>
      </c>
      <c r="H61" s="220">
        <f>SUM(H55:H60)*H$70</f>
        <v>80.55879853681725</v>
      </c>
      <c r="I61" s="221">
        <f t="shared" si="3"/>
        <v>84.863307286151937</v>
      </c>
      <c r="K61" s="20" t="s">
        <v>383</v>
      </c>
      <c r="L61" s="220">
        <f>SUM(L55:L60)*L$70</f>
        <v>84.380822379507592</v>
      </c>
      <c r="M61" s="220">
        <f>SUM(M55:M60)*M$70</f>
        <v>66.823665254137097</v>
      </c>
      <c r="N61" s="220">
        <f>SUM(N55:N60)*N$70</f>
        <v>69.878502211984284</v>
      </c>
      <c r="O61" s="220">
        <f>SUM(O55:O60)*O$70</f>
        <v>72.990858966493718</v>
      </c>
      <c r="P61" s="220">
        <f>SUM(P55:P60)*P$70</f>
        <v>68.426780387060418</v>
      </c>
      <c r="Q61" s="221">
        <f t="shared" si="4"/>
        <v>72.500125839836628</v>
      </c>
      <c r="U61" s="222"/>
      <c r="V61" s="223"/>
    </row>
    <row r="62" spans="3:24" outlineLevel="1">
      <c r="C62" s="20" t="s">
        <v>98</v>
      </c>
      <c r="D62" s="220">
        <f>SUM(D55:D61)*GST</f>
        <v>184.66234637953877</v>
      </c>
      <c r="E62" s="220">
        <f>SUM(E55:E61)*GST</f>
        <v>143.23966385488447</v>
      </c>
      <c r="F62" s="220">
        <f>SUM(F55:F61)*GST</f>
        <v>156.82786327159167</v>
      </c>
      <c r="G62" s="220">
        <f>SUM(G55:G61)*GST</f>
        <v>163.49900366541934</v>
      </c>
      <c r="H62" s="220">
        <f>SUM(H55:H61)*GST</f>
        <v>151.91087724085537</v>
      </c>
      <c r="I62" s="221">
        <f t="shared" si="3"/>
        <v>160.0279508824579</v>
      </c>
      <c r="K62" s="20" t="s">
        <v>98</v>
      </c>
      <c r="L62" s="220">
        <f>SUM(L55:L61)*GST</f>
        <v>148.1414305483938</v>
      </c>
      <c r="M62" s="220">
        <f>SUM(M55:M61)*GST</f>
        <v>117.31757389981288</v>
      </c>
      <c r="N62" s="220">
        <f>SUM(N55:N61)*GST</f>
        <v>122.68073467812606</v>
      </c>
      <c r="O62" s="220">
        <f>SUM(O55:O61)*GST</f>
        <v>128.14487888753303</v>
      </c>
      <c r="P62" s="220">
        <f>SUM(P55:P61)*GST</f>
        <v>120.13204954046171</v>
      </c>
      <c r="Q62" s="221">
        <f t="shared" si="4"/>
        <v>127.28333351086549</v>
      </c>
      <c r="U62" s="222"/>
      <c r="V62" s="223"/>
    </row>
    <row r="63" spans="3:24" outlineLevel="1">
      <c r="C63" s="20" t="s">
        <v>472</v>
      </c>
      <c r="D63" s="224">
        <f>(D$99*($D$50/$I$52))+(D$100*($D$51/$I$52))+(D$101*($D$48/$I$52))</f>
        <v>-5.7962448984036916</v>
      </c>
      <c r="E63" s="224">
        <f>(E$99*($D$50/$I$52))+(E$100*($D$51/$I$52))+(E$101*($D$48/$I$52))</f>
        <v>-5.6217647656107506</v>
      </c>
      <c r="F63" s="224">
        <f>(F$99*($D$50/$I$52))+(F$100*($D$51/$I$52))+(F$101*($D$48/$I$52))</f>
        <v>-5.573917477057682</v>
      </c>
      <c r="G63" s="224">
        <f>(G$99*($D$50/$I$52))+(G$100*($D$51/$I$52))+(G$101*($D$48/$I$52))</f>
        <v>-5.7449499253159031</v>
      </c>
      <c r="H63" s="224">
        <f>(H$99*($D$50/$I$52))+(H$100*($D$51/$I$52))+(H$101*($D$48/$I$52))</f>
        <v>-5.6064705876657248</v>
      </c>
      <c r="I63" s="221">
        <f t="shared" si="3"/>
        <v>-5.6686695308107513</v>
      </c>
      <c r="K63" s="20" t="s">
        <v>472</v>
      </c>
      <c r="L63" s="224">
        <f>(L$99*($L$50/$Q$52))+(L$100*($L$51/$Q$52))+(L$101*($L$48/$Q$52))</f>
        <v>1.7443791881999173</v>
      </c>
      <c r="M63" s="224">
        <f>(M$99*($L$50/$Q$52))+(M$100*($L$51/$Q$52))+(M$101*($L$48/$Q$52))</f>
        <v>1.6931828460913578</v>
      </c>
      <c r="N63" s="224">
        <f>(N$99*($L$50/$Q$52))+(N$100*($L$51/$Q$52))+(N$101*($L$48/$Q$52))</f>
        <v>1.684334212848601</v>
      </c>
      <c r="O63" s="224">
        <f>(O$99*($L$50/$Q$52))+(O$100*($L$51/$Q$52))+(O$101*($L$48/$Q$52))</f>
        <v>1.7315720820644649</v>
      </c>
      <c r="P63" s="224">
        <f>(P$99*($L$50/$Q$52))+(P$100*($L$51/$Q$52))+(P$101*($L$48/$Q$52))</f>
        <v>1.6934483694954197</v>
      </c>
      <c r="Q63" s="221">
        <f t="shared" si="4"/>
        <v>1.709383339739952</v>
      </c>
      <c r="U63" s="222"/>
      <c r="V63" s="223"/>
    </row>
    <row r="64" spans="3:24" outlineLevel="1">
      <c r="C64" s="40" t="s">
        <v>551</v>
      </c>
      <c r="D64" s="225">
        <f>ROUNDUP(SUM(D55:D63),0)</f>
        <v>2026</v>
      </c>
      <c r="E64" s="225">
        <f>ROUNDUP(SUM(E55:E63),0)</f>
        <v>1571</v>
      </c>
      <c r="F64" s="225">
        <f>ROUNDUP(SUM(F55:F63),0)</f>
        <v>1720</v>
      </c>
      <c r="G64" s="225">
        <f>ROUNDUP(SUM(G55:G63),0)</f>
        <v>1793</v>
      </c>
      <c r="H64" s="225">
        <f>ROUNDUP(SUM(H55:H63),0)</f>
        <v>1666</v>
      </c>
      <c r="I64" s="221">
        <f>AVERAGE(D64:H64)</f>
        <v>1755.2</v>
      </c>
      <c r="K64" s="40" t="s">
        <v>551</v>
      </c>
      <c r="L64" s="225">
        <f>ROUNDUP(SUM(L55:L63),0)</f>
        <v>1632</v>
      </c>
      <c r="M64" s="225">
        <f>ROUNDUP(SUM(M55:M63),0)</f>
        <v>1293</v>
      </c>
      <c r="N64" s="225">
        <f>ROUNDUP(SUM(N55:N63),0)</f>
        <v>1352</v>
      </c>
      <c r="O64" s="225">
        <f>ROUNDUP(SUM(O55:O63),0)</f>
        <v>1412</v>
      </c>
      <c r="P64" s="225">
        <f>ROUNDUP(SUM(P55:P63),0)</f>
        <v>1324</v>
      </c>
      <c r="Q64" s="221">
        <f>AVERAGE(L64:P64)</f>
        <v>1402.6</v>
      </c>
      <c r="T64" s="95"/>
      <c r="U64" s="222"/>
      <c r="V64" s="223"/>
      <c r="X64" s="78"/>
    </row>
    <row r="65" spans="3:24" outlineLevel="1">
      <c r="C65" s="20"/>
      <c r="D65" s="220"/>
      <c r="E65" s="220"/>
      <c r="F65" s="220"/>
      <c r="G65" s="220"/>
      <c r="H65" s="220"/>
      <c r="I65" s="221"/>
      <c r="K65" s="20"/>
      <c r="L65" s="220"/>
      <c r="M65" s="220"/>
      <c r="N65" s="220"/>
      <c r="O65" s="220"/>
      <c r="P65" s="220"/>
      <c r="Q65" s="221"/>
      <c r="S65" s="93"/>
      <c r="V65" s="223"/>
    </row>
    <row r="66" spans="3:24" outlineLevel="1">
      <c r="C66" s="20" t="s">
        <v>467</v>
      </c>
      <c r="D66" s="221">
        <f>IF($D$32="Residential",
ROUNDUP(
(INDEX(OP_Rates_RES_1[[Ausnet]:[United Energy]],MATCH("Anytime - supply",OP_Rates_RES_1[[Rate name]:[Rate name]],0),MATCH(CostStackCalcs_RES_1[[#Headers],[Ausnet]],OP_Rates_RES_1[[#Headers],[Ausnet]:[United Energy]],0))*DiLY)+
(IFERROR((INDEX(OP_Rates_RES_1[[Ausnet]:[United Energy]],MATCH("Block 1",OP_Rates_RES_1[[Rate name]:[Rate name]],0),MATCH(CostStackCalcs_RES_1[[#Headers],[Ausnet]],OP_Rates_RES_1[[#Headers],[Ausnet]:[United Energy]],0))*$D$50),0)+
IFERROR((INDEX(OP_Rates_RES_1[[Ausnet]:[United Energy]],MATCH("Balance",OP_Rates_RES_1[[Rate name]:[Rate name]],0),MATCH(CostStackCalcs_RES_1[[#Headers],[Ausnet]],OP_Rates_RES_1[[#Headers],[Ausnet]:[United Energy]],0))*$D$51),0)+
IFERROR((INDEX(OP_Rates_RES_1[[Ausnet]:[United Energy]],MATCH("Single rate",OP_Rates_RES_1[[Rate name]:[Rate name]],0),MATCH(CostStackCalcs_RES_1[[#Headers],[Ausnet]],OP_Rates_RES_1[[#Headers],[Ausnet]:[United Energy]],0))*$D$48),0))
+
(IFERROR((INDEX(OP_RatesTU_RES_1[[Ausnet]:[United Energy]],MATCH("Block 1",OP_RatesTU_RES_1[[Rate name]:[Rate name]],0),MATCH(CostStackCalcs_RES_1[[#Headers],[Ausnet]],OP_RatesTU_RES_1[[#Headers],[Ausnet]:[United Energy]],0))*($D$50/$I$52)),0)+
IFERROR((INDEX(OP_RatesTU_RES_1[[Ausnet]:[United Energy]],MATCH("Balance",OP_RatesTU_RES_1[[Rate name]:[Rate name]],0),MATCH(CostStackCalcs_RES_1[[#Headers],[Ausnet]],OP_RatesTU_RES_1[[#Headers],[Ausnet]:[United Energy]],0))*($D$51/$I$52)),0)+
IFERROR((INDEX(OP_RatesTU_RES_1[[Ausnet]:[United Energy]],MATCH("Single rate",OP_RatesTU_RES_1[[Rate name]:[Rate name]],0),MATCH(CostStackCalcs_RES_1[[#Headers],[Ausnet]],OP_RatesTU_RES_1[[#Headers],[Ausnet]:[United Energy]],0))*($D$48/$I$52)),0)),0),
ROUNDUP(
(INDEX(OP_Rates_SME_1[[Ausnet]:[United Energy]],MATCH("Anytime - supply",OP_Rates_SME_1[[Rate name]:[Rate name]],0),MATCH(CostStackCalcs_SME_1[[#Headers],[Ausnet]],OP_Rates_SME_1[[#Headers],[Ausnet]:[United Energy]],0))*DiLY)+
(IFERROR((INDEX(OP_Rates_SME_1[[Ausnet]:[United Energy]],MATCH("Block 1",OP_Rates_SME_1[[Rate name]:[Rate name]],0),MATCH(CostStackCalcs_SME_1[[#Headers],[Ausnet]],OP_Rates_SME_1[[#Headers],[Ausnet]:[United Energy]],0))*$D$50),0)+
IFERROR((INDEX(OP_Rates_SME_1[[Ausnet]:[United Energy]],MATCH("Balance",OP_Rates_SME_1[[Rate name]:[Rate name]],0),MATCH(CostStackCalcs_SME_1[[#Headers],[Ausnet]],OP_Rates_SME_1[[#Headers],[Ausnet]:[United Energy]],0))*$D$51),0)+
IFERROR((INDEX(OP_Rates_SME_1[[Ausnet]:[United Energy]],MATCH("Single rate",OP_Rates_SME_1[[Rate name]:[Rate name]],0),MATCH(CostStackCalcs_SME_1[[#Headers],[Ausnet]],OP_Rates_SME_1[[#Headers],[Ausnet]:[United Energy]],0))*$D$48),0))
+
(IFERROR((INDEX(OP_RatesTU_SME_1[[Ausnet]:[United Energy]],MATCH("Block 1",OP_RatesTU_SME_1[[Rate name]:[Rate name]],0),MATCH(CostStackCalcs_SME_1[[#Headers],[Ausnet]],OP_RatesTU_SME_1[[#Headers],[Ausnet]:[United Energy]],0))*($D$50/$I$52)),0)+
IFERROR((INDEX(OP_RatesTU_SME_1[[Ausnet]:[United Energy]],MATCH("Balance",OP_RatesTU_SME_1[[Rate name]:[Rate name]],0),MATCH(CostStackCalcs_SME_1[[#Headers],[Ausnet]],OP_RatesTU_SME_1[[#Headers],[Ausnet]:[United Energy]],0))*($D$51/$I$52)),0)+
IFERROR((INDEX(OP_RatesTU_SME_1[[Ausnet]:[United Energy]],MATCH("Single rate",OP_RatesTU_SME_1[[Rate name]:[Rate name]],0),MATCH(CostStackCalcs_SME_1[[#Headers],[Ausnet]],OP_RatesTU_SME_1[[#Headers],[Ausnet]:[United Energy]],0))*($D$48/$I$52)),0)),0))</f>
        <v>2026</v>
      </c>
      <c r="E66" s="221">
        <f>IF($D$32="Residential",
ROUNDUP(
(INDEX(OP_Rates_RES_1[[Ausnet]:[United Energy]],MATCH("Anytime - supply",OP_Rates_RES_1[[Rate name]:[Rate name]],0),MATCH(CostStackCalcs_RES_1[[#Headers],[Citipower]],OP_Rates_RES_1[[#Headers],[Ausnet]:[United Energy]],0))*DiLY)+
(IFERROR((INDEX(OP_Rates_RES_1[[Ausnet]:[United Energy]],MATCH("Block 1",OP_Rates_RES_1[[Rate name]:[Rate name]],0),MATCH(CostStackCalcs_RES_1[[#Headers],[Citipower]],OP_Rates_RES_1[[#Headers],[Ausnet]:[United Energy]],0))*$D$50),0)+
IFERROR((INDEX(OP_Rates_RES_1[[Ausnet]:[United Energy]],MATCH("Balance",OP_Rates_RES_1[[Rate name]:[Rate name]],0),MATCH(CostStackCalcs_RES_1[[#Headers],[Citipower]],OP_Rates_RES_1[[#Headers],[Ausnet]:[United Energy]],0))*$D$51),0)+
IFERROR((INDEX(OP_Rates_RES_1[[Ausnet]:[United Energy]],MATCH("Single rate",OP_Rates_RES_1[[Rate name]:[Rate name]],0),MATCH(CostStackCalcs_RES_1[[#Headers],[Citipower]],OP_Rates_RES_1[[#Headers],[Ausnet]:[United Energy]],0))*$D$48),0))
+
(IFERROR((INDEX(OP_RatesTU_RES_1[[Ausnet]:[United Energy]],MATCH("Block 1",OP_RatesTU_RES_1[[Rate name]:[Rate name]],0),MATCH(CostStackCalcs_RES_1[[#Headers],[Citipower]],OP_RatesTU_RES_1[[#Headers],[Ausnet]:[United Energy]],0))*($D$50/$I$52)),0)+
IFERROR((INDEX(OP_RatesTU_RES_1[[Ausnet]:[United Energy]],MATCH("Balance",OP_RatesTU_RES_1[[Rate name]:[Rate name]],0),MATCH(CostStackCalcs_RES_1[[#Headers],[Citipower]],OP_RatesTU_RES_1[[#Headers],[Ausnet]:[United Energy]],0))*($D$51/$I$52)),0)+
IFERROR((INDEX(OP_RatesTU_RES_1[[Ausnet]:[United Energy]],MATCH("Single rate",OP_RatesTU_RES_1[[Rate name]:[Rate name]],0),MATCH(CostStackCalcs_RES_1[[#Headers],[Citipower]],OP_RatesTU_RES_1[[#Headers],[Ausnet]:[United Energy]],0))*($D$48/$I$52)),0)),0),
ROUNDUP(
(INDEX(OP_Rates_SME_1[[Ausnet]:[United Energy]],MATCH("Anytime - supply",OP_Rates_SME_1[[Rate name]:[Rate name]],0),MATCH(CostStackCalcs_SME_1[[#Headers],[Citipower]],OP_Rates_SME_1[[#Headers],[Ausnet]:[United Energy]],0))*DiLY)+
(IFERROR((INDEX(OP_Rates_SME_1[[Ausnet]:[United Energy]],MATCH("Block 1",OP_Rates_SME_1[[Rate name]:[Rate name]],0),MATCH(CostStackCalcs_SME_1[[#Headers],[Citipower]],OP_Rates_SME_1[[#Headers],[Ausnet]:[United Energy]],0))*$D$50),0)+
IFERROR((INDEX(OP_Rates_SME_1[[Ausnet]:[United Energy]],MATCH("Balance",OP_Rates_SME_1[[Rate name]:[Rate name]],0),MATCH(CostStackCalcs_SME_1[[#Headers],[Citipower]],OP_Rates_SME_1[[#Headers],[Ausnet]:[United Energy]],0))*$D$51),0)+
IFERROR((INDEX(OP_Rates_SME_1[[Ausnet]:[United Energy]],MATCH("Single rate",OP_Rates_SME_1[[Rate name]:[Rate name]],0),MATCH(CostStackCalcs_SME_1[[#Headers],[Citipower]],OP_Rates_SME_1[[#Headers],[Ausnet]:[United Energy]],0))*$D$48),0))
+
(IFERROR((INDEX(OP_RatesTU_SME_1[[Ausnet]:[United Energy]],MATCH("Block 1",OP_RatesTU_SME_1[[Rate name]:[Rate name]],0),MATCH(CostStackCalcs_SME_1[[#Headers],[Citipower]],OP_RatesTU_SME_1[[#Headers],[Ausnet]:[United Energy]],0))*($D$50/$I$52)),0)+
IFERROR((INDEX(OP_RatesTU_SME_1[[Ausnet]:[United Energy]],MATCH("Balance",OP_RatesTU_SME_1[[Rate name]:[Rate name]],0),MATCH(CostStackCalcs_SME_1[[#Headers],[Citipower]],OP_RatesTU_SME_1[[#Headers],[Ausnet]:[United Energy]],0))*($D$51/$I$52)),0)+
IFERROR((INDEX(OP_RatesTU_SME_1[[Ausnet]:[United Energy]],MATCH("Single rate",OP_RatesTU_SME_1[[Rate name]:[Rate name]],0),MATCH(CostStackCalcs_SME_1[[#Headers],[Citipower]],OP_RatesTU_SME_1[[#Headers],[Ausnet]:[United Energy]],0))*($D$48/$I$52)),0)),0))</f>
        <v>1571</v>
      </c>
      <c r="F66" s="221">
        <f>IF($D$32="Residential",
ROUNDUP(
(INDEX(OP_Rates_RES_1[[Ausnet]:[United Energy]],MATCH("Anytime - supply",OP_Rates_RES_1[[Rate name]:[Rate name]],0),MATCH(CostStackCalcs_RES_1[[#Headers],[Jemena]],OP_Rates_RES_1[[#Headers],[Ausnet]:[United Energy]],0))*DiLY)+
(IFERROR((INDEX(OP_Rates_RES_1[[Ausnet]:[United Energy]],MATCH("Block 1",OP_Rates_RES_1[[Rate name]:[Rate name]],0),MATCH(CostStackCalcs_RES_1[[#Headers],[Jemena]],OP_Rates_RES_1[[#Headers],[Ausnet]:[United Energy]],0))*$D$50),0)+
IFERROR((INDEX(OP_Rates_RES_1[[Ausnet]:[United Energy]],MATCH("Balance",OP_Rates_RES_1[[Rate name]:[Rate name]],0),MATCH(CostStackCalcs_RES_1[[#Headers],[Jemena]],OP_Rates_RES_1[[#Headers],[Ausnet]:[United Energy]],0))*$D$51),0)+
IFERROR((INDEX(OP_Rates_RES_1[[Ausnet]:[United Energy]],MATCH("Single rate",OP_Rates_RES_1[[Rate name]:[Rate name]],0),MATCH(CostStackCalcs_RES_1[[#Headers],[Jemena]],OP_Rates_RES_1[[#Headers],[Ausnet]:[United Energy]],0))*$D$48),0))
+
(IFERROR((INDEX(OP_RatesTU_RES_1[[Ausnet]:[United Energy]],MATCH("Block 1",OP_RatesTU_RES_1[[Rate name]:[Rate name]],0),MATCH(CostStackCalcs_RES_1[[#Headers],[Jemena]],OP_RatesTU_RES_1[[#Headers],[Ausnet]:[United Energy]],0))*($D$50/$I$52)),0)+
IFERROR((INDEX(OP_RatesTU_RES_1[[Ausnet]:[United Energy]],MATCH("Balance",OP_RatesTU_RES_1[[Rate name]:[Rate name]],0),MATCH(CostStackCalcs_RES_1[[#Headers],[Jemena]],OP_RatesTU_RES_1[[#Headers],[Ausnet]:[United Energy]],0))*($D$51/$I$52)),0)+
IFERROR((INDEX(OP_RatesTU_RES_1[[Ausnet]:[United Energy]],MATCH("Single rate",OP_RatesTU_RES_1[[Rate name]:[Rate name]],0),MATCH(CostStackCalcs_RES_1[[#Headers],[Jemena]],OP_RatesTU_RES_1[[#Headers],[Ausnet]:[United Energy]],0))*($D$48/$I$52)),0)),0),
ROUNDUP(
(INDEX(OP_Rates_SME_1[[Ausnet]:[United Energy]],MATCH("Anytime - supply",OP_Rates_SME_1[[Rate name]:[Rate name]],0),MATCH(CostStackCalcs_SME_1[[#Headers],[Jemena]],OP_Rates_SME_1[[#Headers],[Ausnet]:[United Energy]],0))*DiLY)+
(IFERROR((INDEX(OP_Rates_SME_1[[Ausnet]:[United Energy]],MATCH("Block 1",OP_Rates_SME_1[[Rate name]:[Rate name]],0),MATCH(CostStackCalcs_SME_1[[#Headers],[Jemena]],OP_Rates_SME_1[[#Headers],[Ausnet]:[United Energy]],0))*$D$50),0)+
IFERROR((INDEX(OP_Rates_SME_1[[Ausnet]:[United Energy]],MATCH("Balance",OP_Rates_SME_1[[Rate name]:[Rate name]],0),MATCH(CostStackCalcs_SME_1[[#Headers],[Jemena]],OP_Rates_SME_1[[#Headers],[Ausnet]:[United Energy]],0))*$D$51),0)+
IFERROR((INDEX(OP_Rates_SME_1[[Ausnet]:[United Energy]],MATCH("Single rate",OP_Rates_SME_1[[Rate name]:[Rate name]],0),MATCH(CostStackCalcs_SME_1[[#Headers],[Jemena]],OP_Rates_SME_1[[#Headers],[Ausnet]:[United Energy]],0))*$D$48),0))
+
(IFERROR((INDEX(OP_RatesTU_SME_1[[Ausnet]:[United Energy]],MATCH("Block 1",OP_RatesTU_SME_1[[Rate name]:[Rate name]],0),MATCH(CostStackCalcs_SME_1[[#Headers],[Jemena]],OP_RatesTU_SME_1[[#Headers],[Ausnet]:[United Energy]],0))*($D$50/$I$52)),0)+
IFERROR((INDEX(OP_RatesTU_SME_1[[Ausnet]:[United Energy]],MATCH("Balance",OP_RatesTU_SME_1[[Rate name]:[Rate name]],0),MATCH(CostStackCalcs_SME_1[[#Headers],[Jemena]],OP_RatesTU_SME_1[[#Headers],[Ausnet]:[United Energy]],0))*($D$51/$I$52)),0)+
IFERROR((INDEX(OP_RatesTU_SME_1[[Ausnet]:[United Energy]],MATCH("Single rate",OP_RatesTU_SME_1[[Rate name]:[Rate name]],0),MATCH(CostStackCalcs_SME_1[[#Headers],[Jemena]],OP_RatesTU_SME_1[[#Headers],[Ausnet]:[United Energy]],0))*($D$48/$I$52)),0)),0))</f>
        <v>1720</v>
      </c>
      <c r="G66" s="221">
        <f>IF($D$32="Residential",
ROUNDUP(
(INDEX(OP_Rates_RES_1[[Ausnet]:[United Energy]],MATCH("Anytime - supply",OP_Rates_RES_1[[Rate name]:[Rate name]],0),MATCH(CostStackCalcs_RES_1[[#Headers],[Powercor]],OP_Rates_RES_1[[#Headers],[Ausnet]:[United Energy]],0))*DiLY)+
(IFERROR((INDEX(OP_Rates_RES_1[[Ausnet]:[United Energy]],MATCH("Block 1",OP_Rates_RES_1[[Rate name]:[Rate name]],0),MATCH(CostStackCalcs_RES_1[[#Headers],[Powercor]],OP_Rates_RES_1[[#Headers],[Ausnet]:[United Energy]],0))*$D$50),0)+
IFERROR((INDEX(OP_Rates_RES_1[[Ausnet]:[United Energy]],MATCH("Balance",OP_Rates_RES_1[[Rate name]:[Rate name]],0),MATCH(CostStackCalcs_RES_1[[#Headers],[Powercor]],OP_Rates_RES_1[[#Headers],[Ausnet]:[United Energy]],0))*$D$51),0)+
IFERROR((INDEX(OP_Rates_RES_1[[Ausnet]:[United Energy]],MATCH("Single rate",OP_Rates_RES_1[[Rate name]:[Rate name]],0),MATCH(CostStackCalcs_RES_1[[#Headers],[Powercor]],OP_Rates_RES_1[[#Headers],[Ausnet]:[United Energy]],0))*$D$48),0))
+
(IFERROR((INDEX(OP_RatesTU_RES_1[[Ausnet]:[United Energy]],MATCH("Block 1",OP_RatesTU_RES_1[[Rate name]:[Rate name]],0),MATCH(CostStackCalcs_RES_1[[#Headers],[Powercor]],OP_RatesTU_RES_1[[#Headers],[Ausnet]:[United Energy]],0))*($D$50/$I$52)),0)+
IFERROR((INDEX(OP_RatesTU_RES_1[[Ausnet]:[United Energy]],MATCH("Balance",OP_RatesTU_RES_1[[Rate name]:[Rate name]],0),MATCH(CostStackCalcs_RES_1[[#Headers],[Powercor]],OP_RatesTU_RES_1[[#Headers],[Ausnet]:[United Energy]],0))*($D$51/$I$52)),0)+
IFERROR((INDEX(OP_RatesTU_RES_1[[Ausnet]:[United Energy]],MATCH("Single rate",OP_RatesTU_RES_1[[Rate name]:[Rate name]],0),MATCH(CostStackCalcs_RES_1[[#Headers],[Powercor]],OP_RatesTU_RES_1[[#Headers],[Ausnet]:[United Energy]],0))*($D$48/$I$52)),0)),0),
ROUNDUP(
(INDEX(OP_Rates_SME_1[[Ausnet]:[United Energy]],MATCH("Anytime - supply",OP_Rates_SME_1[[Rate name]:[Rate name]],0),MATCH(CostStackCalcs_SME_1[[#Headers],[Powercor]],OP_Rates_SME_1[[#Headers],[Ausnet]:[United Energy]],0))*DiLY)+
(IFERROR((INDEX(OP_Rates_SME_1[[Ausnet]:[United Energy]],MATCH("Block 1",OP_Rates_SME_1[[Rate name]:[Rate name]],0),MATCH(CostStackCalcs_SME_1[[#Headers],[Powercor]],OP_Rates_SME_1[[#Headers],[Ausnet]:[United Energy]],0))*$D$50),0)+
IFERROR((INDEX(OP_Rates_SME_1[[Ausnet]:[United Energy]],MATCH("Balance",OP_Rates_SME_1[[Rate name]:[Rate name]],0),MATCH(CostStackCalcs_SME_1[[#Headers],[Powercor]],OP_Rates_SME_1[[#Headers],[Ausnet]:[United Energy]],0))*$D$51),0)+
IFERROR((INDEX(OP_Rates_SME_1[[Ausnet]:[United Energy]],MATCH("Single rate",OP_Rates_SME_1[[Rate name]:[Rate name]],0),MATCH(CostStackCalcs_SME_1[[#Headers],[Powercor]],OP_Rates_SME_1[[#Headers],[Ausnet]:[United Energy]],0))*$D$48),0))
+
(IFERROR((INDEX(OP_RatesTU_SME_1[[Ausnet]:[United Energy]],MATCH("Block 1",OP_RatesTU_SME_1[[Rate name]:[Rate name]],0),MATCH(CostStackCalcs_SME_1[[#Headers],[Powercor]],OP_RatesTU_SME_1[[#Headers],[Ausnet]:[United Energy]],0))*($D$50/$I$52)),0)+
IFERROR((INDEX(OP_RatesTU_SME_1[[Ausnet]:[United Energy]],MATCH("Balance",OP_RatesTU_SME_1[[Rate name]:[Rate name]],0),MATCH(CostStackCalcs_SME_1[[#Headers],[Powercor]],OP_RatesTU_SME_1[[#Headers],[Ausnet]:[United Energy]],0))*($D$51/$I$52)),0)+
IFERROR((INDEX(OP_RatesTU_SME_1[[Ausnet]:[United Energy]],MATCH("Single rate",OP_RatesTU_SME_1[[Rate name]:[Rate name]],0),MATCH(CostStackCalcs_SME_1[[#Headers],[Powercor]],OP_RatesTU_SME_1[[#Headers],[Ausnet]:[United Energy]],0))*($D$48/$I$52)),0)),0))</f>
        <v>1793</v>
      </c>
      <c r="H66" s="221">
        <f>IF($D$32="Residential",
ROUNDUP(
(INDEX(OP_Rates_RES_1[[Ausnet]:[United Energy]],MATCH("Anytime - supply",OP_Rates_RES_1[[Rate name]:[Rate name]],0),MATCH(CostStackCalcs_RES_1[[#Headers],[United Energy]],OP_Rates_RES_1[[#Headers],[Ausnet]:[United Energy]],0))*DiLY)+
(IFERROR((INDEX(OP_Rates_RES_1[[Ausnet]:[United Energy]],MATCH("Block 1",OP_Rates_RES_1[[Rate name]:[Rate name]],0),MATCH(CostStackCalcs_RES_1[[#Headers],[United Energy]],OP_Rates_RES_1[[#Headers],[Ausnet]:[United Energy]],0))*$D$50),0)+
IFERROR((INDEX(OP_Rates_RES_1[[Ausnet]:[United Energy]],MATCH("Balance",OP_Rates_RES_1[[Rate name]:[Rate name]],0),MATCH(CostStackCalcs_RES_1[[#Headers],[United Energy]],OP_Rates_RES_1[[#Headers],[Ausnet]:[United Energy]],0))*$D$51),0)+
IFERROR((INDEX(OP_Rates_RES_1[[Ausnet]:[United Energy]],MATCH("Single rate",OP_Rates_RES_1[[Rate name]:[Rate name]],0),MATCH(CostStackCalcs_RES_1[[#Headers],[United Energy]],OP_Rates_RES_1[[#Headers],[Ausnet]:[United Energy]],0))*$D$48),0))
+
(IFERROR((INDEX(OP_RatesTU_RES_1[[Ausnet]:[United Energy]],MATCH("Block 1",OP_RatesTU_RES_1[[Rate name]:[Rate name]],0),MATCH(CostStackCalcs_RES_1[[#Headers],[United Energy]],OP_RatesTU_RES_1[[#Headers],[Ausnet]:[United Energy]],0))*($D$50/$I$52)),0)+
IFERROR((INDEX(OP_RatesTU_RES_1[[Ausnet]:[United Energy]],MATCH("Balance",OP_RatesTU_RES_1[[Rate name]:[Rate name]],0),MATCH(CostStackCalcs_RES_1[[#Headers],[United Energy]],OP_RatesTU_RES_1[[#Headers],[Ausnet]:[United Energy]],0))*($D$51/$I$52)),0)+
IFERROR((INDEX(OP_RatesTU_RES_1[[Ausnet]:[United Energy]],MATCH("Single rate",OP_RatesTU_RES_1[[Rate name]:[Rate name]],0),MATCH(CostStackCalcs_RES_1[[#Headers],[United Energy]],OP_RatesTU_RES_1[[#Headers],[Ausnet]:[United Energy]],0))*($D$48/$I$52)),0)),0),
ROUNDUP(
(INDEX(OP_Rates_SME_1[[Ausnet]:[United Energy]],MATCH("Anytime - supply",OP_Rates_SME_1[[Rate name]:[Rate name]],0),MATCH(CostStackCalcs_SME_1[[#Headers],[United Energy]],OP_Rates_SME_1[[#Headers],[Ausnet]:[United Energy]],0))*DiLY)+
(IFERROR((INDEX(OP_Rates_SME_1[[Ausnet]:[United Energy]],MATCH("Block 1",OP_Rates_SME_1[[Rate name]:[Rate name]],0),MATCH(CostStackCalcs_SME_1[[#Headers],[United Energy]],OP_Rates_SME_1[[#Headers],[Ausnet]:[United Energy]],0))*$D$50),0)+
IFERROR((INDEX(OP_Rates_SME_1[[Ausnet]:[United Energy]],MATCH("Balance",OP_Rates_SME_1[[Rate name]:[Rate name]],0),MATCH(CostStackCalcs_SME_1[[#Headers],[United Energy]],OP_Rates_SME_1[[#Headers],[Ausnet]:[United Energy]],0))*$D$51),0)+
IFERROR((INDEX(OP_Rates_SME_1[[Ausnet]:[United Energy]],MATCH("Single rate",OP_Rates_SME_1[[Rate name]:[Rate name]],0),MATCH(CostStackCalcs_SME_1[[#Headers],[United Energy]],OP_Rates_SME_1[[#Headers],[Ausnet]:[United Energy]],0))*$D$48),0))
+
(IFERROR((INDEX(OP_RatesTU_SME_1[[Ausnet]:[United Energy]],MATCH("Block 1",OP_RatesTU_SME_1[[Rate name]:[Rate name]],0),MATCH(CostStackCalcs_SME_1[[#Headers],[United Energy]],OP_RatesTU_SME_1[[#Headers],[Ausnet]:[United Energy]],0))*($D$50/$I$52)),0)+
IFERROR((INDEX(OP_RatesTU_SME_1[[Ausnet]:[United Energy]],MATCH("Balance",OP_RatesTU_SME_1[[Rate name]:[Rate name]],0),MATCH(CostStackCalcs_SME_1[[#Headers],[United Energy]],OP_RatesTU_SME_1[[#Headers],[Ausnet]:[United Energy]],0))*($D$51/$I$52)),0)+
IFERROR((INDEX(OP_RatesTU_SME_1[[Ausnet]:[United Energy]],MATCH("Single rate",OP_RatesTU_SME_1[[Rate name]:[Rate name]],0),MATCH(CostStackCalcs_SME_1[[#Headers],[United Energy]],OP_RatesTU_SME_1[[#Headers],[Ausnet]:[United Energy]],0))*($D$48/$I$52)),0)),0))</f>
        <v>1666</v>
      </c>
      <c r="I66" s="221">
        <f>ROUND(AVERAGE(D66:H66),0)</f>
        <v>1755</v>
      </c>
      <c r="K66" s="20" t="s">
        <v>467</v>
      </c>
      <c r="L66" s="221">
        <f>IF($D$32="Residential",
ROUNDUP(
(INDEX(OP_Rates_RES_2[[Ausnet]:[United Energy]],MATCH("Anytime - supply",OP_Rates_RES_2[[Rate name]:[Rate name]],0),MATCH(CostStackCalcs_RES_2[[#Headers],[Ausnet]],OP_Rates_RES_2[[#Headers],[Ausnet]:[United Energy]],0))*DiY)+
(IFERROR((INDEX(OP_Rates_RES_2[[Ausnet]:[United Energy]],MATCH("Block 1",OP_Rates_RES_2[[Rate name]:[Rate name]],0),MATCH(CostStackCalcs_RES_2[[#Headers],[Ausnet]],OP_Rates_RES_2[[#Headers],[Ausnet]:[United Energy]],0))*$L$50),0)+
IFERROR((INDEX(OP_Rates_RES_2[[Ausnet]:[United Energy]],MATCH("Balance",OP_Rates_RES_2[[Rate name]:[Rate name]],0),MATCH(CostStackCalcs_RES_2[[#Headers],[Ausnet]],OP_Rates_RES_2[[#Headers],[Ausnet]:[United Energy]],0))*$L$51),0)+
IFERROR((INDEX(OP_Rates_RES_2[[Ausnet]:[United Energy]],MATCH("Single rate",OP_Rates_RES_2[[Rate name]:[Rate name]],0),MATCH(CostStackCalcs_RES_2[[#Headers],[Ausnet]],OP_Rates_RES_2[[#Headers],[Ausnet]:[United Energy]],0))*$L$48),0))
+
(IFERROR((INDEX(OP_RatesTU_RES_2[[Ausnet]:[United Energy]],MATCH("Block 1",OP_RatesTU_RES_2[[Rate name]:[Rate name]],0),MATCH(CostStackCalcs_RES_2[[#Headers],[Ausnet]],OP_RatesTU_RES_2[[#Headers],[Ausnet]:[United Energy]],0))*($L$50/$Q$52)),0)+
IFERROR((INDEX(OP_RatesTU_RES_2[[Ausnet]:[United Energy]],MATCH("Balance",OP_RatesTU_RES_2[[Rate name]:[Rate name]],0),MATCH(CostStackCalcs_RES_2[[#Headers],[Ausnet]],OP_RatesTU_RES_2[[#Headers],[Ausnet]:[United Energy]],0))*($L$51/$Q$52)),0)+
IFERROR((INDEX(OP_RatesTU_RES_2[[Ausnet]:[United Energy]],MATCH("Single rate",OP_RatesTU_RES_2[[Rate name]:[Rate name]],0),MATCH(CostStackCalcs_RES_2[[#Headers],[Ausnet]],OP_RatesTU_RES_2[[#Headers],[Ausnet]:[United Energy]],0))*($L$48/$Q$52)),0)),0),ROUNDUP(
(INDEX(OP_Rates_SME_2[[Ausnet]:[United Energy]],MATCH("Anytime - supply",OP_Rates_SME_2[[Rate name]:[Rate name]],0),MATCH(CostStackCalcs_SME_2[[#Headers],[Ausnet]],OP_Rates_SME_2[[#Headers],[Ausnet]:[United Energy]],0))*DiY)+
(IFERROR((INDEX(OP_Rates_SME_2[[Ausnet]:[United Energy]],MATCH("Block 1",OP_Rates_SME_2[[Rate name]:[Rate name]],0),MATCH(CostStackCalcs_SME_2[[#Headers],[Ausnet]],OP_Rates_SME_2[[#Headers],[Ausnet]:[United Energy]],0))*$L$50),0)+
IFERROR((INDEX(OP_Rates_SME_2[[Ausnet]:[United Energy]],MATCH("Balance",OP_Rates_SME_2[[Rate name]:[Rate name]],0),MATCH(CostStackCalcs_SME_2[[#Headers],[Ausnet]],OP_Rates_SME_2[[#Headers],[Ausnet]:[United Energy]],0))*$L$51),0)+
IFERROR((INDEX(OP_Rates_SME_2[[Ausnet]:[United Energy]],MATCH("Single rate",OP_Rates_SME_2[[Rate name]:[Rate name]],0),MATCH(CostStackCalcs_SME_2[[#Headers],[Ausnet]],OP_Rates_SME_2[[#Headers],[Ausnet]:[United Energy]],0))*$L$48),0))
+
(IFERROR((INDEX(OP_RatesTU_SME_2[[Ausnet]:[United Energy]],MATCH("Block 1",OP_RatesTU_SME_2[[Rate name]:[Rate name]],0),MATCH(CostStackCalcs_SME_2[[#Headers],[Ausnet]],OP_RatesTU_SME_2[[#Headers],[Ausnet]:[United Energy]],0))*($L$50/$Q$52)),0)+
IFERROR((INDEX(OP_RatesTU_SME_2[[Ausnet]:[United Energy]],MATCH("Balance",OP_RatesTU_SME_2[[Rate name]:[Rate name]],0),MATCH(CostStackCalcs_SME_2[[#Headers],[Ausnet]],OP_RatesTU_SME_2[[#Headers],[Ausnet]:[United Energy]],0))*($L$51/$Q$52)),0)+
IFERROR((INDEX(OP_RatesTU_SME_2[[Ausnet]:[United Energy]],MATCH("Single rate",OP_RatesTU_SME_2[[Rate name]:[Rate name]],0),MATCH(CostStackCalcs_SME_2[[#Headers],[Ausnet]],OP_RatesTU_SME_2[[#Headers],[Ausnet]:[United Energy]],0))*($L$48/$Q$52)),0)),0))</f>
        <v>1632</v>
      </c>
      <c r="M66" s="221">
        <f>IF($D$32="Residential",
ROUNDUP(
(INDEX(OP_Rates_RES_2[[Ausnet]:[United Energy]],MATCH("Anytime - supply",OP_Rates_RES_2[[Rate name]:[Rate name]],0),MATCH(CostStackCalcs_RES_2[[#Headers],[Citipower]],OP_Rates_RES_2[[#Headers],[Ausnet]:[United Energy]],0))*DiY)+
(IFERROR((INDEX(OP_Rates_RES_2[[Ausnet]:[United Energy]],MATCH("Block 1",OP_Rates_RES_2[[Rate name]:[Rate name]],0),MATCH(CostStackCalcs_RES_2[[#Headers],[Citipower]],OP_Rates_RES_2[[#Headers],[Ausnet]:[United Energy]],0))*$L$50),0)+
IFERROR((INDEX(OP_Rates_RES_2[[Ausnet]:[United Energy]],MATCH("Balance",OP_Rates_RES_2[[Rate name]:[Rate name]],0),MATCH(CostStackCalcs_RES_2[[#Headers],[Citipower]],OP_Rates_RES_2[[#Headers],[Ausnet]:[United Energy]],0))*$L$51),0)+
IFERROR((INDEX(OP_Rates_RES_2[[Ausnet]:[United Energy]],MATCH("Single rate",OP_Rates_RES_2[[Rate name]:[Rate name]],0),MATCH(CostStackCalcs_RES_2[[#Headers],[Citipower]],OP_Rates_RES_2[[#Headers],[Ausnet]:[United Energy]],0))*$L$48),0))
+
(IFERROR((INDEX(OP_RatesTU_RES_2[[Ausnet]:[United Energy]],MATCH("Block 1",OP_RatesTU_RES_2[[Rate name]:[Rate name]],0),MATCH(CostStackCalcs_RES_2[[#Headers],[Citipower]],OP_RatesTU_RES_2[[#Headers],[Ausnet]:[United Energy]],0))*($L$50/$Q$52)),0)+
IFERROR((INDEX(OP_RatesTU_RES_2[[Ausnet]:[United Energy]],MATCH("Balance",OP_RatesTU_RES_2[[Rate name]:[Rate name]],0),MATCH(CostStackCalcs_RES_2[[#Headers],[Citipower]],OP_RatesTU_RES_2[[#Headers],[Ausnet]:[United Energy]],0))*($L$51/$Q$52)),0)+
IFERROR((INDEX(OP_RatesTU_RES_2[[Ausnet]:[United Energy]],MATCH("Single rate",OP_RatesTU_RES_2[[Rate name]:[Rate name]],0),MATCH(CostStackCalcs_RES_2[[#Headers],[Citipower]],OP_RatesTU_RES_2[[#Headers],[Ausnet]:[United Energy]],0))*($L$48/$Q$52)),0)),0),ROUNDUP(
(INDEX(OP_Rates_SME_2[[Ausnet]:[United Energy]],MATCH("Anytime - supply",OP_Rates_SME_2[[Rate name]:[Rate name]],0),MATCH(CostStackCalcs_SME_2[[#Headers],[Citipower]],OP_Rates_SME_2[[#Headers],[Ausnet]:[United Energy]],0))*DiY)+
(IFERROR((INDEX(OP_Rates_SME_2[[Ausnet]:[United Energy]],MATCH("Block 1",OP_Rates_SME_2[[Rate name]:[Rate name]],0),MATCH(CostStackCalcs_SME_2[[#Headers],[Citipower]],OP_Rates_SME_2[[#Headers],[Ausnet]:[United Energy]],0))*$L$50),0)+
IFERROR((INDEX(OP_Rates_SME_2[[Ausnet]:[United Energy]],MATCH("Balance",OP_Rates_SME_2[[Rate name]:[Rate name]],0),MATCH(CostStackCalcs_SME_2[[#Headers],[Citipower]],OP_Rates_SME_2[[#Headers],[Ausnet]:[United Energy]],0))*$L$51),0)+
IFERROR((INDEX(OP_Rates_SME_2[[Ausnet]:[United Energy]],MATCH("Single rate",OP_Rates_SME_2[[Rate name]:[Rate name]],0),MATCH(CostStackCalcs_SME_2[[#Headers],[Citipower]],OP_Rates_SME_2[[#Headers],[Ausnet]:[United Energy]],0))*$L$48),0))
+
(IFERROR((INDEX(OP_RatesTU_SME_2[[Ausnet]:[United Energy]],MATCH("Block 1",OP_RatesTU_SME_2[[Rate name]:[Rate name]],0),MATCH(CostStackCalcs_SME_2[[#Headers],[Citipower]],OP_RatesTU_SME_2[[#Headers],[Ausnet]:[United Energy]],0))*($L$50/$Q$52)),0)+
IFERROR((INDEX(OP_RatesTU_SME_2[[Ausnet]:[United Energy]],MATCH("Balance",OP_RatesTU_SME_2[[Rate name]:[Rate name]],0),MATCH(CostStackCalcs_SME_2[[#Headers],[Citipower]],OP_RatesTU_SME_2[[#Headers],[Ausnet]:[United Energy]],0))*($L$51/$Q$52)),0)+
IFERROR((INDEX(OP_RatesTU_SME_2[[Ausnet]:[United Energy]],MATCH("Single rate",OP_RatesTU_SME_2[[Rate name]:[Rate name]],0),MATCH(CostStackCalcs_SME_2[[#Headers],[Citipower]],OP_RatesTU_SME_2[[#Headers],[Ausnet]:[United Energy]],0))*($L$48/$Q$52)),0)),0))</f>
        <v>1293</v>
      </c>
      <c r="N66" s="221">
        <f>IF($D$32="Residential",
ROUNDUP(
(INDEX(OP_Rates_RES_2[[Ausnet]:[United Energy]],MATCH("Anytime - supply",OP_Rates_RES_2[[Rate name]:[Rate name]],0),MATCH(CostStackCalcs_RES_2[[#Headers],[Jemena]],OP_Rates_RES_2[[#Headers],[Ausnet]:[United Energy]],0))*DiY)+
(IFERROR((INDEX(OP_Rates_RES_2[[Ausnet]:[United Energy]],MATCH("Block 1",OP_Rates_RES_2[[Rate name]:[Rate name]],0),MATCH(CostStackCalcs_RES_2[[#Headers],[Jemena]],OP_Rates_RES_2[[#Headers],[Ausnet]:[United Energy]],0))*$L$50),0)+
IFERROR((INDEX(OP_Rates_RES_2[[Ausnet]:[United Energy]],MATCH("Balance",OP_Rates_RES_2[[Rate name]:[Rate name]],0),MATCH(CostStackCalcs_RES_2[[#Headers],[Jemena]],OP_Rates_RES_2[[#Headers],[Ausnet]:[United Energy]],0))*$L$51),0)+
IFERROR((INDEX(OP_Rates_RES_2[[Ausnet]:[United Energy]],MATCH("Single rate",OP_Rates_RES_2[[Rate name]:[Rate name]],0),MATCH(CostStackCalcs_RES_2[[#Headers],[Jemena]],OP_Rates_RES_2[[#Headers],[Ausnet]:[United Energy]],0))*$L$48),0))
+
(IFERROR((INDEX(OP_RatesTU_RES_2[[Ausnet]:[United Energy]],MATCH("Block 1",OP_RatesTU_RES_2[[Rate name]:[Rate name]],0),MATCH(CostStackCalcs_RES_2[[#Headers],[Jemena]],OP_RatesTU_RES_2[[#Headers],[Ausnet]:[United Energy]],0))*($L$50/$Q$52)),0)+
IFERROR((INDEX(OP_RatesTU_RES_2[[Ausnet]:[United Energy]],MATCH("Balance",OP_RatesTU_RES_2[[Rate name]:[Rate name]],0),MATCH(CostStackCalcs_RES_2[[#Headers],[Jemena]],OP_RatesTU_RES_2[[#Headers],[Ausnet]:[United Energy]],0))*($L$51/$Q$52)),0)+
IFERROR((INDEX(OP_RatesTU_RES_2[[Ausnet]:[United Energy]],MATCH("Single rate",OP_RatesTU_RES_2[[Rate name]:[Rate name]],0),MATCH(CostStackCalcs_RES_2[[#Headers],[Jemena]],OP_RatesTU_RES_2[[#Headers],[Ausnet]:[United Energy]],0))*($L$48/$Q$52)),0)),0),ROUNDUP(
(INDEX(OP_Rates_SME_2[[Ausnet]:[United Energy]],MATCH("Anytime - supply",OP_Rates_SME_2[[Rate name]:[Rate name]],0),MATCH(CostStackCalcs_SME_2[[#Headers],[Jemena]],OP_Rates_SME_2[[#Headers],[Ausnet]:[United Energy]],0))*DiY)+
(IFERROR((INDEX(OP_Rates_SME_2[[Ausnet]:[United Energy]],MATCH("Block 1",OP_Rates_SME_2[[Rate name]:[Rate name]],0),MATCH(CostStackCalcs_SME_2[[#Headers],[Jemena]],OP_Rates_SME_2[[#Headers],[Ausnet]:[United Energy]],0))*$L$50),0)+
IFERROR((INDEX(OP_Rates_SME_2[[Ausnet]:[United Energy]],MATCH("Balance",OP_Rates_SME_2[[Rate name]:[Rate name]],0),MATCH(CostStackCalcs_SME_2[[#Headers],[Jemena]],OP_Rates_SME_2[[#Headers],[Ausnet]:[United Energy]],0))*$L$51),0)+
IFERROR((INDEX(OP_Rates_SME_2[[Ausnet]:[United Energy]],MATCH("Single rate",OP_Rates_SME_2[[Rate name]:[Rate name]],0),MATCH(CostStackCalcs_SME_2[[#Headers],[Jemena]],OP_Rates_SME_2[[#Headers],[Ausnet]:[United Energy]],0))*$L$48),0))
+
(IFERROR((INDEX(OP_RatesTU_SME_2[[Ausnet]:[United Energy]],MATCH("Block 1",OP_RatesTU_SME_2[[Rate name]:[Rate name]],0),MATCH(CostStackCalcs_SME_2[[#Headers],[Jemena]],OP_RatesTU_SME_2[[#Headers],[Ausnet]:[United Energy]],0))*($L$50/$Q$52)),0)+
IFERROR((INDEX(OP_RatesTU_SME_2[[Ausnet]:[United Energy]],MATCH("Balance",OP_RatesTU_SME_2[[Rate name]:[Rate name]],0),MATCH(CostStackCalcs_SME_2[[#Headers],[Jemena]],OP_RatesTU_SME_2[[#Headers],[Ausnet]:[United Energy]],0))*($L$51/$Q$52)),0)+
IFERROR((INDEX(OP_RatesTU_SME_2[[Ausnet]:[United Energy]],MATCH("Single rate",OP_RatesTU_SME_2[[Rate name]:[Rate name]],0),MATCH(CostStackCalcs_SME_2[[#Headers],[Jemena]],OP_RatesTU_SME_2[[#Headers],[Ausnet]:[United Energy]],0))*($L$48/$Q$52)),0)),0))</f>
        <v>1352</v>
      </c>
      <c r="O66" s="221">
        <f>IF($D$32="Residential",
ROUNDUP(
(INDEX(OP_Rates_RES_2[[Ausnet]:[United Energy]],MATCH("Anytime - supply",OP_Rates_RES_2[[Rate name]:[Rate name]],0),MATCH(CostStackCalcs_RES_2[[#Headers],[Powercor]],OP_Rates_RES_2[[#Headers],[Ausnet]:[United Energy]],0))*DiY)+
(IFERROR((INDEX(OP_Rates_RES_2[[Ausnet]:[United Energy]],MATCH("Block 1",OP_Rates_RES_2[[Rate name]:[Rate name]],0),MATCH(CostStackCalcs_RES_2[[#Headers],[Powercor]],OP_Rates_RES_2[[#Headers],[Ausnet]:[United Energy]],0))*$L$50),0)+
IFERROR((INDEX(OP_Rates_RES_2[[Ausnet]:[United Energy]],MATCH("Balance",OP_Rates_RES_2[[Rate name]:[Rate name]],0),MATCH(CostStackCalcs_RES_2[[#Headers],[Powercor]],OP_Rates_RES_2[[#Headers],[Ausnet]:[United Energy]],0))*$L$51),0)+
IFERROR((INDEX(OP_Rates_RES_2[[Ausnet]:[United Energy]],MATCH("Single rate",OP_Rates_RES_2[[Rate name]:[Rate name]],0),MATCH(CostStackCalcs_RES_2[[#Headers],[Powercor]],OP_Rates_RES_2[[#Headers],[Ausnet]:[United Energy]],0))*$L$48),0))
+
(IFERROR((INDEX(OP_RatesTU_RES_2[[Ausnet]:[United Energy]],MATCH("Block 1",OP_RatesTU_RES_2[[Rate name]:[Rate name]],0),MATCH(CostStackCalcs_RES_2[[#Headers],[Powercor]],OP_RatesTU_RES_2[[#Headers],[Ausnet]:[United Energy]],0))*($L$50/$Q$52)),0)+
IFERROR((INDEX(OP_RatesTU_RES_2[[Ausnet]:[United Energy]],MATCH("Balance",OP_RatesTU_RES_2[[Rate name]:[Rate name]],0),MATCH(CostStackCalcs_RES_2[[#Headers],[Powercor]],OP_RatesTU_RES_2[[#Headers],[Ausnet]:[United Energy]],0))*($L$51/$Q$52)),0)+
IFERROR((INDEX(OP_RatesTU_RES_2[[Ausnet]:[United Energy]],MATCH("Single rate",OP_RatesTU_RES_2[[Rate name]:[Rate name]],0),MATCH(CostStackCalcs_RES_2[[#Headers],[Powercor]],OP_RatesTU_RES_2[[#Headers],[Ausnet]:[United Energy]],0))*($L$48/$Q$52)),0)),0),ROUNDUP(
(INDEX(OP_Rates_SME_2[[Ausnet]:[United Energy]],MATCH("Anytime - supply",OP_Rates_SME_2[[Rate name]:[Rate name]],0),MATCH(CostStackCalcs_SME_2[[#Headers],[Powercor]],OP_Rates_SME_2[[#Headers],[Ausnet]:[United Energy]],0))*DiY)+
(IFERROR((INDEX(OP_Rates_SME_2[[Ausnet]:[United Energy]],MATCH("Block 1",OP_Rates_SME_2[[Rate name]:[Rate name]],0),MATCH(CostStackCalcs_SME_2[[#Headers],[Powercor]],OP_Rates_SME_2[[#Headers],[Ausnet]:[United Energy]],0))*$L$50),0)+
IFERROR((INDEX(OP_Rates_SME_2[[Ausnet]:[United Energy]],MATCH("Balance",OP_Rates_SME_2[[Rate name]:[Rate name]],0),MATCH(CostStackCalcs_SME_2[[#Headers],[Powercor]],OP_Rates_SME_2[[#Headers],[Ausnet]:[United Energy]],0))*$L$51),0)+
IFERROR((INDEX(OP_Rates_SME_2[[Ausnet]:[United Energy]],MATCH("Single rate",OP_Rates_SME_2[[Rate name]:[Rate name]],0),MATCH(CostStackCalcs_SME_2[[#Headers],[Powercor]],OP_Rates_SME_2[[#Headers],[Ausnet]:[United Energy]],0))*$L$48),0))
+
(IFERROR((INDEX(OP_RatesTU_SME_2[[Ausnet]:[United Energy]],MATCH("Block 1",OP_RatesTU_SME_2[[Rate name]:[Rate name]],0),MATCH(CostStackCalcs_SME_2[[#Headers],[Powercor]],OP_RatesTU_SME_2[[#Headers],[Ausnet]:[United Energy]],0))*($L$50/$Q$52)),0)+
IFERROR((INDEX(OP_RatesTU_SME_2[[Ausnet]:[United Energy]],MATCH("Balance",OP_RatesTU_SME_2[[Rate name]:[Rate name]],0),MATCH(CostStackCalcs_SME_2[[#Headers],[Powercor]],OP_RatesTU_SME_2[[#Headers],[Ausnet]:[United Energy]],0))*($L$51/$Q$52)),0)+
IFERROR((INDEX(OP_RatesTU_SME_2[[Ausnet]:[United Energy]],MATCH("Single rate",OP_RatesTU_SME_2[[Rate name]:[Rate name]],0),MATCH(CostStackCalcs_SME_2[[#Headers],[Powercor]],OP_RatesTU_SME_2[[#Headers],[Ausnet]:[United Energy]],0))*($L$48/$Q$52)),0)),0))</f>
        <v>1412</v>
      </c>
      <c r="P66" s="221">
        <f>IF($D$32="Residential",
ROUNDUP(
(INDEX(OP_Rates_RES_2[[Ausnet]:[United Energy]],MATCH("Anytime - supply",OP_Rates_RES_2[[Rate name]:[Rate name]],0),MATCH(CostStackCalcs_RES_2[[#Headers],[United Energy]],OP_Rates_RES_2[[#Headers],[Ausnet]:[United Energy]],0))*DiY)+
(IFERROR((INDEX(OP_Rates_RES_2[[Ausnet]:[United Energy]],MATCH("Block 1",OP_Rates_RES_2[[Rate name]:[Rate name]],0),MATCH(CostStackCalcs_RES_2[[#Headers],[United Energy]],OP_Rates_RES_2[[#Headers],[Ausnet]:[United Energy]],0))*$L$50),0)+
IFERROR((INDEX(OP_Rates_RES_2[[Ausnet]:[United Energy]],MATCH("Balance",OP_Rates_RES_2[[Rate name]:[Rate name]],0),MATCH(CostStackCalcs_RES_2[[#Headers],[United Energy]],OP_Rates_RES_2[[#Headers],[Ausnet]:[United Energy]],0))*$L$51),0)+
IFERROR((INDEX(OP_Rates_RES_2[[Ausnet]:[United Energy]],MATCH("Single rate",OP_Rates_RES_2[[Rate name]:[Rate name]],0),MATCH(CostStackCalcs_RES_2[[#Headers],[United Energy]],OP_Rates_RES_2[[#Headers],[Ausnet]:[United Energy]],0))*$L$48),0))
+
(IFERROR((INDEX(OP_RatesTU_RES_2[[Ausnet]:[United Energy]],MATCH("Block 1",OP_RatesTU_RES_2[[Rate name]:[Rate name]],0),MATCH(CostStackCalcs_RES_2[[#Headers],[United Energy]],OP_RatesTU_RES_2[[#Headers],[Ausnet]:[United Energy]],0))*($L$50/$Q$52)),0)+
IFERROR((INDEX(OP_RatesTU_RES_2[[Ausnet]:[United Energy]],MATCH("Balance",OP_RatesTU_RES_2[[Rate name]:[Rate name]],0),MATCH(CostStackCalcs_RES_2[[#Headers],[United Energy]],OP_RatesTU_RES_2[[#Headers],[Ausnet]:[United Energy]],0))*($L$51/$Q$52)),0)+
IFERROR((INDEX(OP_RatesTU_RES_2[[Ausnet]:[United Energy]],MATCH("Single rate",OP_RatesTU_RES_2[[Rate name]:[Rate name]],0),MATCH(CostStackCalcs_RES_2[[#Headers],[United Energy]],OP_RatesTU_RES_2[[#Headers],[Ausnet]:[United Energy]],0))*($L$48/$Q$52)),0)),0),ROUNDUP(
(INDEX(OP_Rates_SME_2[[Ausnet]:[United Energy]],MATCH("Anytime - supply",OP_Rates_SME_2[[Rate name]:[Rate name]],0),MATCH(CostStackCalcs_SME_2[[#Headers],[United Energy]],OP_Rates_SME_2[[#Headers],[Ausnet]:[United Energy]],0))*DiY)+
(IFERROR((INDEX(OP_Rates_SME_2[[Ausnet]:[United Energy]],MATCH("Block 1",OP_Rates_SME_2[[Rate name]:[Rate name]],0),MATCH(CostStackCalcs_SME_2[[#Headers],[United Energy]],OP_Rates_SME_2[[#Headers],[Ausnet]:[United Energy]],0))*$L$50),0)+
IFERROR((INDEX(OP_Rates_SME_2[[Ausnet]:[United Energy]],MATCH("Balance",OP_Rates_SME_2[[Rate name]:[Rate name]],0),MATCH(CostStackCalcs_SME_2[[#Headers],[United Energy]],OP_Rates_SME_2[[#Headers],[Ausnet]:[United Energy]],0))*$L$51),0)+
IFERROR((INDEX(OP_Rates_SME_2[[Ausnet]:[United Energy]],MATCH("Single rate",OP_Rates_SME_2[[Rate name]:[Rate name]],0),MATCH(CostStackCalcs_SME_2[[#Headers],[United Energy]],OP_Rates_SME_2[[#Headers],[Ausnet]:[United Energy]],0))*$L$48),0))
+
(IFERROR((INDEX(OP_RatesTU_SME_2[[Ausnet]:[United Energy]],MATCH("Block 1",OP_RatesTU_SME_2[[Rate name]:[Rate name]],0),MATCH(CostStackCalcs_SME_2[[#Headers],[United Energy]],OP_RatesTU_SME_2[[#Headers],[Ausnet]:[United Energy]],0))*($L$50/$Q$52)),0)+
IFERROR((INDEX(OP_RatesTU_SME_2[[Ausnet]:[United Energy]],MATCH("Balance",OP_RatesTU_SME_2[[Rate name]:[Rate name]],0),MATCH(CostStackCalcs_SME_2[[#Headers],[United Energy]],OP_RatesTU_SME_2[[#Headers],[Ausnet]:[United Energy]],0))*($L$51/$Q$52)),0)+
IFERROR((INDEX(OP_RatesTU_SME_2[[Ausnet]:[United Energy]],MATCH("Single rate",OP_RatesTU_SME_2[[Rate name]:[Rate name]],0),MATCH(CostStackCalcs_SME_2[[#Headers],[United Energy]],OP_RatesTU_SME_2[[#Headers],[Ausnet]:[United Energy]],0))*($L$48/$Q$52)),0)),0))</f>
        <v>1324</v>
      </c>
      <c r="Q66" s="221">
        <f>ROUND(AVERAGE(L66:P66),0)</f>
        <v>1403</v>
      </c>
    </row>
    <row r="67" spans="3:24" outlineLevel="1"/>
    <row r="68" spans="3:24" ht="15.5" outlineLevel="1">
      <c r="C68" s="226" t="s">
        <v>14</v>
      </c>
      <c r="D68" s="84">
        <f>IF(AND(D66-D64&lt;=1,D66-D64&gt;=-1),0,1)</f>
        <v>0</v>
      </c>
      <c r="E68" s="84">
        <f t="shared" ref="E68:I68" si="6">IF(AND(E66-E64&lt;=1,E66-E64&gt;=-1),0,1)</f>
        <v>0</v>
      </c>
      <c r="F68" s="84">
        <f t="shared" si="6"/>
        <v>0</v>
      </c>
      <c r="G68" s="84">
        <f t="shared" si="6"/>
        <v>0</v>
      </c>
      <c r="H68" s="84">
        <f t="shared" si="6"/>
        <v>0</v>
      </c>
      <c r="I68" s="84">
        <f t="shared" si="6"/>
        <v>0</v>
      </c>
      <c r="K68" s="226" t="s">
        <v>14</v>
      </c>
      <c r="L68" s="84">
        <f t="shared" ref="L68:Q68" si="7">IF(AND(L66-L64&lt;=1,L66-L64&gt;=-1),0,1)</f>
        <v>0</v>
      </c>
      <c r="M68" s="84">
        <f t="shared" si="7"/>
        <v>0</v>
      </c>
      <c r="N68" s="84">
        <f t="shared" si="7"/>
        <v>0</v>
      </c>
      <c r="O68" s="84">
        <f t="shared" si="7"/>
        <v>0</v>
      </c>
      <c r="P68" s="84">
        <f t="shared" si="7"/>
        <v>0</v>
      </c>
      <c r="Q68" s="84">
        <f t="shared" si="7"/>
        <v>0</v>
      </c>
    </row>
    <row r="69" spans="3:24" outlineLevel="1">
      <c r="T69" s="78"/>
    </row>
    <row r="70" spans="3:24" ht="15.5" outlineLevel="1">
      <c r="C70" s="38" t="s">
        <v>97</v>
      </c>
      <c r="D70" s="227">
        <f>INDEX(Input_ForRateCalc[#Data],MATCH($C70,Input_ForRateCalc[[Cost item]:[Cost item]],0),MATCH($D$45,[1]Inputs!$C$8:$Y$8,0))</f>
        <v>5.6000000000000001E-2</v>
      </c>
      <c r="E70" s="227">
        <f>INDEX(Input_ForRateCalc[#Data],MATCH($C70,Input_ForRateCalc[[Cost item]:[Cost item]],0),MATCH($D$45,[1]Inputs!$C$8:$Y$8,0))</f>
        <v>5.6000000000000001E-2</v>
      </c>
      <c r="F70" s="227">
        <f>INDEX(Input_ForRateCalc[#Data],MATCH($C70,Input_ForRateCalc[[Cost item]:[Cost item]],0),MATCH($D$45,[1]Inputs!$C$8:$Y$8,0))</f>
        <v>5.6000000000000001E-2</v>
      </c>
      <c r="G70" s="227">
        <f>INDEX(Input_ForRateCalc[#Data],MATCH($C70,Input_ForRateCalc[[Cost item]:[Cost item]],0),MATCH($D$45,[1]Inputs!$C$8:$Y$8,0))</f>
        <v>5.6000000000000001E-2</v>
      </c>
      <c r="H70" s="227">
        <f>INDEX(Input_ForRateCalc[#Data],MATCH($C70,Input_ForRateCalc[[Cost item]:[Cost item]],0),MATCH($D$45,[1]Inputs!$C$8:$Y$8,0))</f>
        <v>5.6000000000000001E-2</v>
      </c>
      <c r="K70" s="38" t="s">
        <v>97</v>
      </c>
      <c r="L70" s="227">
        <f>INDEX(Input_ForRateCalc[#Data],MATCH($K70,Input_ForRateCalc[[Cost item]:[Cost item]],0),MATCH($L$45,[1]Inputs!$C$8:$Y$8,0))</f>
        <v>6.0400000000000002E-2</v>
      </c>
      <c r="M70" s="227">
        <f>INDEX(Input_ForRateCalc[#Data],MATCH($K70,Input_ForRateCalc[[Cost item]:[Cost item]],0),MATCH($L$45,[1]Inputs!$C$8:$Y$8,0))</f>
        <v>6.0400000000000002E-2</v>
      </c>
      <c r="N70" s="227">
        <f>INDEX(Input_ForRateCalc[#Data],MATCH($K70,Input_ForRateCalc[[Cost item]:[Cost item]],0),MATCH($L$45,[1]Inputs!$C$8:$Y$8,0))</f>
        <v>6.0400000000000002E-2</v>
      </c>
      <c r="O70" s="227">
        <f>INDEX(Input_ForRateCalc[#Data],MATCH($K70,Input_ForRateCalc[[Cost item]:[Cost item]],0),MATCH($L$45,[1]Inputs!$C$8:$Y$8,0))</f>
        <v>6.0400000000000002E-2</v>
      </c>
      <c r="P70" s="227">
        <f>INDEX(Input_ForRateCalc[#Data],MATCH($K70,Input_ForRateCalc[[Cost item]:[Cost item]],0),MATCH($L$45,[1]Inputs!$C$8:$Y$8,0))</f>
        <v>6.0400000000000002E-2</v>
      </c>
      <c r="U70" s="100"/>
    </row>
    <row r="71" spans="3:24" outlineLevel="1">
      <c r="U71" s="97"/>
    </row>
    <row r="72" spans="3:24" ht="15.5" outlineLevel="1">
      <c r="C72" s="38" t="s">
        <v>105</v>
      </c>
      <c r="D72" s="227">
        <f>INDEX(Calc_Losses_1[[Ausnet]:[United Energy]],MATCH("Total loss factor",Calc_Losses_1[Cost item],0),MATCH(D$54,Calc_Losses_1[[#Headers],[Ausnet]:[United Energy]],0))</f>
        <v>8.5419688344982481E-2</v>
      </c>
      <c r="E72" s="227">
        <f>INDEX(Calc_Losses_1[[Ausnet]:[United Energy]],MATCH("Total loss factor",Calc_Losses_1[Cost item],0),MATCH(E$54,Calc_Losses_1[[#Headers],[Ausnet]:[United Energy]],0))</f>
        <v>4.4989549999999934E-2</v>
      </c>
      <c r="F72" s="227">
        <f>INDEX(Calc_Losses_1[[Ausnet]:[United Energy]],MATCH("Total loss factor",Calc_Losses_1[Cost item],0),MATCH(F$54,Calc_Losses_1[[#Headers],[Ausnet]:[United Energy]],0))</f>
        <v>4.5352937499999912E-2</v>
      </c>
      <c r="G72" s="227">
        <f>INDEX(Calc_Losses_1[[Ausnet]:[United Energy]],MATCH("Total loss factor",Calc_Losses_1[Cost item],0),MATCH(G$54,Calc_Losses_1[[#Headers],[Ausnet]:[United Energy]],0))</f>
        <v>7.1431145265919538E-2</v>
      </c>
      <c r="H72" s="227">
        <f>INDEX(Calc_Losses_1[[Ausnet]:[United Energy]],MATCH("Total loss factor",Calc_Losses_1[Cost item],0),MATCH(H$54,Calc_Losses_1[[#Headers],[Ausnet]:[United Energy]],0))</f>
        <v>4.6946740000000098E-2</v>
      </c>
      <c r="K72" s="38" t="s">
        <v>105</v>
      </c>
      <c r="L72" s="227">
        <f>INDEX(Calc_Losses_2[[Ausnet]:[United Energy]],MATCH("Total loss factor",Calc_Losses_2[Cost item],0),MATCH(L$54,Calc_Losses_2[[#Headers],[Ausnet]:[United Energy]],0))</f>
        <v>7.9069473357165077E-2</v>
      </c>
      <c r="M72" s="227">
        <f>INDEX(Calc_Losses_2[[Ausnet]:[United Energy]],MATCH("Total loss factor",Calc_Losses_2[Cost item],0),MATCH(M$54,Calc_Losses_2[[#Headers],[Ausnet]:[United Energy]],0))</f>
        <v>4.6587031999999917E-2</v>
      </c>
      <c r="N72" s="227">
        <f>INDEX(Calc_Losses_2[[Ausnet]:[United Energy]],MATCH("Total loss factor",Calc_Losses_2[Cost item],0),MATCH(N$54,Calc_Losses_2[[#Headers],[Ausnet]:[United Energy]],0))</f>
        <v>3.7679446250000082E-2</v>
      </c>
      <c r="O72" s="227">
        <f>INDEX(Calc_Losses_2[[Ausnet]:[United Energy]],MATCH("Total loss factor",Calc_Losses_2[Cost item],0),MATCH(O$54,Calc_Losses_2[[#Headers],[Ausnet]:[United Energy]],0))</f>
        <v>6.9520042550514027E-2</v>
      </c>
      <c r="P72" s="227">
        <f>INDEX(Calc_Losses_2[[Ausnet]:[United Energy]],MATCH("Total loss factor",Calc_Losses_2[Cost item],0),MATCH(P$54,Calc_Losses_2[[#Headers],[Ausnet]:[United Energy]],0))</f>
        <v>4.3739760908138914E-2</v>
      </c>
    </row>
    <row r="73" spans="3:24" outlineLevel="1">
      <c r="U73" s="179"/>
    </row>
    <row r="74" spans="3:24" ht="15.5" outlineLevel="1">
      <c r="C74" s="26" t="s">
        <v>552</v>
      </c>
      <c r="K74" s="26" t="s">
        <v>552</v>
      </c>
    </row>
    <row r="75" spans="3:24" ht="15.5" outlineLevel="1">
      <c r="C75" s="38" t="s">
        <v>553</v>
      </c>
      <c r="D75" s="228">
        <f>SUM(Calc_Retail_1[Ausnet])</f>
        <v>175.92415101117138</v>
      </c>
      <c r="E75" s="228">
        <f>SUM(Calc_Retail_1[Citipower])</f>
        <v>175.92415101117138</v>
      </c>
      <c r="F75" s="228">
        <f>SUM(Calc_Retail_1[Jemena])</f>
        <v>175.92415101117138</v>
      </c>
      <c r="G75" s="228">
        <f>SUM(Calc_Retail_1[Powercor])</f>
        <v>175.92415101117138</v>
      </c>
      <c r="H75" s="228">
        <f>SUM(Calc_Retail_1[United Energy])</f>
        <v>175.92415101117138</v>
      </c>
      <c r="K75" s="38" t="s">
        <v>553</v>
      </c>
      <c r="L75" s="228">
        <f>SUM(Calc_Retail_2[Ausnet])</f>
        <v>187.35930628726288</v>
      </c>
      <c r="M75" s="228">
        <f>SUM(Calc_Retail_2[Citipower])</f>
        <v>187.35930628726288</v>
      </c>
      <c r="N75" s="228">
        <f>SUM(Calc_Retail_2[Jemena])</f>
        <v>187.35930628726288</v>
      </c>
      <c r="O75" s="228">
        <f>SUM(Calc_Retail_2[Powercor])</f>
        <v>187.35930628726288</v>
      </c>
      <c r="P75" s="228">
        <f>SUM(Calc_Retail_2[United Energy])</f>
        <v>187.35930628726288</v>
      </c>
    </row>
    <row r="76" spans="3:24" outlineLevel="1">
      <c r="T76" s="78"/>
      <c r="V76" s="229"/>
    </row>
    <row r="77" spans="3:24" ht="15.5" outlineLevel="1">
      <c r="C77" s="38" t="s">
        <v>554</v>
      </c>
      <c r="D77" s="228">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213.97054227419011</v>
      </c>
      <c r="E77" s="228">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159.58949568695607</v>
      </c>
      <c r="F77" s="228">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156.85934275504374</v>
      </c>
      <c r="G77" s="228">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206.12355510552027</v>
      </c>
      <c r="H77" s="228">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137.18128763194755</v>
      </c>
      <c r="K77" s="38" t="s">
        <v>554</v>
      </c>
      <c r="L77" s="228">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198.75969167398341</v>
      </c>
      <c r="M77" s="228">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155.85206917734365</v>
      </c>
      <c r="N77" s="228">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154.39901243411327</v>
      </c>
      <c r="O77" s="228">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202.12813140596847</v>
      </c>
      <c r="P77" s="228">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128.61276084212449</v>
      </c>
      <c r="T77" s="78"/>
      <c r="V77" s="229"/>
    </row>
    <row r="78" spans="3:24" outlineLevel="1">
      <c r="V78" s="229"/>
    </row>
    <row r="79" spans="3:24" ht="15.5" outlineLevel="1">
      <c r="C79" s="38" t="s">
        <v>92</v>
      </c>
      <c r="D79" s="228">
        <f>SUMIFS(Calc_OtherCosts_1[Ausnet],Calc_OtherCosts_1[[Fixed/Variable]:[Fixed/Variable]],"Fixed")</f>
        <v>10.663924892904003</v>
      </c>
      <c r="E79" s="228">
        <f>SUMIFS(Calc_OtherCosts_1[Citipower],Calc_OtherCosts_1[[Fixed/Variable]:[Fixed/Variable]],"Fixed")</f>
        <v>10.663924892904003</v>
      </c>
      <c r="F79" s="228">
        <f>SUMIFS(Calc_OtherCosts_1[Jemena],Calc_OtherCosts_1[[Fixed/Variable]:[Fixed/Variable]],"Fixed")</f>
        <v>10.663924892904003</v>
      </c>
      <c r="G79" s="228">
        <f>SUMIFS(Calc_OtherCosts_1[Powercor],Calc_OtherCosts_1[[Fixed/Variable]:[Fixed/Variable]],"Fixed")</f>
        <v>10.663924892904003</v>
      </c>
      <c r="H79" s="228">
        <f>SUMIFS(Calc_OtherCosts_1[United Energy],Calc_OtherCosts_1[[Fixed/Variable]:[Fixed/Variable]],"Fixed")</f>
        <v>10.663924892904003</v>
      </c>
      <c r="K79" s="38" t="s">
        <v>92</v>
      </c>
      <c r="L79" s="228">
        <f>SUMIFS(Calc_OtherCosts_2[Ausnet],Calc_OtherCosts_2[[Fixed/Variable]:[Fixed/Variable]],"Fixed")</f>
        <v>4.1192540518137655</v>
      </c>
      <c r="M79" s="228">
        <f>SUMIFS(Calc_OtherCosts_2[Citipower],Calc_OtherCosts_2[[Fixed/Variable]:[Fixed/Variable]],"Fixed")</f>
        <v>4.1192540518137655</v>
      </c>
      <c r="N79" s="228">
        <f>SUMIFS(Calc_OtherCosts_2[Jemena],Calc_OtherCosts_2[[Fixed/Variable]:[Fixed/Variable]],"Fixed")</f>
        <v>4.1192540518137655</v>
      </c>
      <c r="O79" s="228">
        <f>SUMIFS(Calc_OtherCosts_2[Powercor],Calc_OtherCosts_2[[Fixed/Variable]:[Fixed/Variable]],"Fixed")</f>
        <v>4.1192540518137655</v>
      </c>
      <c r="P79" s="228">
        <f>SUMIFS(Calc_OtherCosts_2[United Energy],Calc_OtherCosts_2[[Fixed/Variable]:[Fixed/Variable]],"Fixed")</f>
        <v>4.1192540518137655</v>
      </c>
      <c r="T79" s="78"/>
      <c r="V79" s="229"/>
    </row>
    <row r="80" spans="3:24" outlineLevel="1">
      <c r="V80" s="229"/>
      <c r="X80" s="93"/>
    </row>
    <row r="81" spans="3:16" ht="15.5" outlineLevel="1">
      <c r="C81" s="38" t="s">
        <v>555</v>
      </c>
      <c r="D81" s="228">
        <f>INDEX(Calc_FiT_1[[Ausnet]:[United Energy]],1,MATCH(D$54,Calc_FiT_1[[#Headers],[Ausnet]:[United Energy]],0))</f>
        <v>16.945572514842485</v>
      </c>
      <c r="E81" s="228">
        <f>INDEX(Calc_FiT_1[[Ausnet]:[United Energy]],1,MATCH(E$54,Calc_FiT_1[[#Headers],[Ausnet]:[United Energy]],0))</f>
        <v>16.945572514842485</v>
      </c>
      <c r="F81" s="228">
        <f>INDEX(Calc_FiT_1[[Ausnet]:[United Energy]],1,MATCH(F$54,Calc_FiT_1[[#Headers],[Ausnet]:[United Energy]],0))</f>
        <v>16.945572514842485</v>
      </c>
      <c r="G81" s="228">
        <f>INDEX(Calc_FiT_1[[Ausnet]:[United Energy]],1,MATCH(G$54,Calc_FiT_1[[#Headers],[Ausnet]:[United Energy]],0))</f>
        <v>16.945572514842485</v>
      </c>
      <c r="H81" s="228">
        <f>INDEX(Calc_FiT_1[[Ausnet]:[United Energy]],1,MATCH(H$54,Calc_FiT_1[[#Headers],[Ausnet]:[United Energy]],0))</f>
        <v>16.945572514842485</v>
      </c>
      <c r="K81" s="38" t="s">
        <v>555</v>
      </c>
      <c r="L81" s="228">
        <f>INDEX(Calc_FiT_2[[Ausnet]:[United Energy]],1,MATCH(L$54,Calc_FiT_2[[#Headers],[Ausnet]:[United Energy]],0))</f>
        <v>16.375320494428642</v>
      </c>
      <c r="M81" s="228">
        <f>INDEX(Calc_FiT_2[[Ausnet]:[United Energy]],1,MATCH(M$54,Calc_FiT_2[[#Headers],[Ausnet]:[United Energy]],0))</f>
        <v>16.375320494428642</v>
      </c>
      <c r="N81" s="228">
        <f>INDEX(Calc_FiT_2[[Ausnet]:[United Energy]],1,MATCH(N$54,Calc_FiT_2[[#Headers],[Ausnet]:[United Energy]],0))</f>
        <v>16.375320494428642</v>
      </c>
      <c r="O81" s="228">
        <f>INDEX(Calc_FiT_2[[Ausnet]:[United Energy]],1,MATCH(O$54,Calc_FiT_2[[#Headers],[Ausnet]:[United Energy]],0))</f>
        <v>16.375320494428642</v>
      </c>
      <c r="P81" s="228">
        <f>INDEX(Calc_FiT_2[[Ausnet]:[United Energy]],1,MATCH(P$54,Calc_FiT_2[[#Headers],[Ausnet]:[United Energy]],0))</f>
        <v>16.375320494428642</v>
      </c>
    </row>
    <row r="82" spans="3:16" outlineLevel="1"/>
    <row r="83" spans="3:16" ht="15.5" outlineLevel="1">
      <c r="C83" s="26" t="s">
        <v>556</v>
      </c>
      <c r="K83" s="26" t="s">
        <v>556</v>
      </c>
    </row>
    <row r="84" spans="3:16" ht="15.5" outlineLevel="1">
      <c r="C84" s="38" t="s">
        <v>82</v>
      </c>
      <c r="D84" s="228">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2.843221042152444E-2</v>
      </c>
      <c r="E84" s="228">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2.843221042152444E-2</v>
      </c>
      <c r="F84" s="228">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2.843221042152444E-2</v>
      </c>
      <c r="G84" s="228">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2.843221042152444E-2</v>
      </c>
      <c r="H84" s="228">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2.843221042152444E-2</v>
      </c>
      <c r="K84" s="38" t="s">
        <v>82</v>
      </c>
      <c r="L84" s="228">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2.8392779758481347E-2</v>
      </c>
      <c r="M84" s="228">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2.8392779758481347E-2</v>
      </c>
      <c r="N84" s="228">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2.8392779758481347E-2</v>
      </c>
      <c r="O84" s="228">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2.8392779758481347E-2</v>
      </c>
      <c r="P84" s="228">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2.8392779758481347E-2</v>
      </c>
    </row>
    <row r="85" spans="3:16" outlineLevel="1"/>
    <row r="86" spans="3:16" ht="15.5" outlineLevel="1">
      <c r="C86" s="38" t="s">
        <v>140</v>
      </c>
      <c r="D86" s="228">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0.15582341721574622</v>
      </c>
      <c r="E86" s="228">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0.13699867658724985</v>
      </c>
      <c r="F86" s="228">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0.15299408314912863</v>
      </c>
      <c r="G86" s="228">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0.15371489848306913</v>
      </c>
      <c r="H86" s="228">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0.15046968338948136</v>
      </c>
      <c r="K86" s="38" t="s">
        <v>140</v>
      </c>
      <c r="L86" s="228">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8.1839999999999996E-2</v>
      </c>
      <c r="M86" s="228">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7.6960000000000001E-2</v>
      </c>
      <c r="N86" s="228">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8.2209999999999991E-2</v>
      </c>
      <c r="O86" s="228">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8.0710000000000004E-2</v>
      </c>
      <c r="P86" s="228">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8.1509999999999999E-2</v>
      </c>
    </row>
    <row r="87" spans="3:16" outlineLevel="1"/>
    <row r="88" spans="3:16" ht="15.5" outlineLevel="1">
      <c r="C88" s="38" t="s">
        <v>92</v>
      </c>
      <c r="D88" s="228">
        <f>SUMIFS(Calc_OtherCosts_1[Ausnet],Calc_OtherCosts_1[[Fixed/Variable]:[Fixed/Variable]],"Variable")</f>
        <v>1.6791732404258365E-3</v>
      </c>
      <c r="E88" s="228">
        <f>SUMIFS(Calc_OtherCosts_1[Citipower],Calc_OtherCosts_1[[Fixed/Variable]:[Fixed/Variable]],"Variable")</f>
        <v>1.6791732404258365E-3</v>
      </c>
      <c r="F88" s="228">
        <f>SUMIFS(Calc_OtherCosts_1[Jemena],Calc_OtherCosts_1[[Fixed/Variable]:[Fixed/Variable]],"Variable")</f>
        <v>1.6791732404258365E-3</v>
      </c>
      <c r="G88" s="228">
        <f>SUMIFS(Calc_OtherCosts_1[Powercor],Calc_OtherCosts_1[[Fixed/Variable]:[Fixed/Variable]],"Variable")</f>
        <v>1.6791732404258365E-3</v>
      </c>
      <c r="H88" s="228">
        <f>SUMIFS(Calc_OtherCosts_1[United Energy],Calc_OtherCosts_1[[Fixed/Variable]:[Fixed/Variable]],"Variable")</f>
        <v>1.6791732404258365E-3</v>
      </c>
      <c r="K88" s="38" t="s">
        <v>92</v>
      </c>
      <c r="L88" s="228">
        <f>SUMIFS(Calc_OtherCosts_2[Ausnet],Calc_OtherCosts_2[[Fixed/Variable]:[Fixed/Variable]],"Variable")</f>
        <v>1.3383290735317938E-3</v>
      </c>
      <c r="M88" s="228">
        <f>SUMIFS(Calc_OtherCosts_2[Citipower],Calc_OtherCosts_2[[Fixed/Variable]:[Fixed/Variable]],"Variable")</f>
        <v>1.3383290735317938E-3</v>
      </c>
      <c r="N88" s="228">
        <f>SUMIFS(Calc_OtherCosts_2[Jemena],Calc_OtherCosts_2[[Fixed/Variable]:[Fixed/Variable]],"Variable")</f>
        <v>1.3383290735317938E-3</v>
      </c>
      <c r="O88" s="228">
        <f>SUMIFS(Calc_OtherCosts_2[Powercor],Calc_OtherCosts_2[[Fixed/Variable]:[Fixed/Variable]],"Variable")</f>
        <v>1.3383290735317938E-3</v>
      </c>
      <c r="P88" s="228">
        <f>SUMIFS(Calc_OtherCosts_2[United Energy],Calc_OtherCosts_2[[Fixed/Variable]:[Fixed/Variable]],"Variable")</f>
        <v>1.3383290735317938E-3</v>
      </c>
    </row>
    <row r="89" spans="3:16" outlineLevel="1"/>
    <row r="90" spans="3:16" ht="15.5" outlineLevel="1">
      <c r="C90" s="38" t="s">
        <v>557</v>
      </c>
      <c r="K90" s="38" t="s">
        <v>557</v>
      </c>
    </row>
    <row r="91" spans="3:16" outlineLevel="1">
      <c r="C91" t="s">
        <v>67</v>
      </c>
      <c r="D91" s="228">
        <f>SUMIFS(Calc_NetworkV_1[Ausnet],Calc_NetworkV_1[[Cost item]:[Cost item]],$C91,Calc_NetworkV_1[[Customer type]:[Customer type]],IF(ISNUMBER(SEARCH("Residential",$C$48)),"Residential","Small business"))</f>
        <v>0.1309807741874299</v>
      </c>
      <c r="E91" s="228">
        <f>SUMIFS(Calc_NetworkV_1[Citipower],Calc_NetworkV_1[[Cost item]:[Cost item]],$C91,Calc_NetworkV_1[[Customer type]:[Customer type]],IF(ISNUMBER(SEARCH("Residential",$C$48)),"Residential","Small business"))</f>
        <v>0</v>
      </c>
      <c r="F91" s="228">
        <f>SUMIFS(Calc_NetworkV_1[Jemena],Calc_NetworkV_1[[Cost item]:[Cost item]],$C91,Calc_NetworkV_1[[Customer type]:[Customer type]],IF(ISNUMBER(SEARCH("Residential",$C$48)),"Residential","Small business"))</f>
        <v>0</v>
      </c>
      <c r="G91" s="228">
        <f>SUMIFS(Calc_NetworkV_1[Powercor],Calc_NetworkV_1[Cost item],$C91,Calc_NetworkV_1[Customer type],IF(ISNUMBER(SEARCH("Residential",$C$48)),"Residential","Small business"))</f>
        <v>0</v>
      </c>
      <c r="H91" s="228">
        <f>SUMIFS(Calc_NetworkV_1[United Energy],Calc_NetworkV_1[[Cost item]:[Cost item]],$C91,Calc_NetworkV_1[[Customer type]:[Customer type]],IF(ISNUMBER(SEARCH("Residential",$C$48)),"Residential","Small business"))</f>
        <v>0</v>
      </c>
      <c r="K91" t="s">
        <v>67</v>
      </c>
      <c r="L91" s="228">
        <f>SUMIFS(Calc_NetworkV_2[Ausnet],Calc_NetworkV_2[Cost item],$K91,Calc_NetworkV_2[Customer type],IF(ISNUMBER(SEARCH("Residential",$K$48)),"Residential","Small business"))</f>
        <v>0.12721199999999999</v>
      </c>
      <c r="M91" s="228">
        <f>SUMIFS(Calc_NetworkV_2[Citipower],Calc_NetworkV_2[[Cost item]:[Cost item]],$K91,Calc_NetworkV_2[[Customer type]:[Customer type]],IF(ISNUMBER(SEARCH("Residential",$K$48)),"Residential","Small business"))</f>
        <v>0</v>
      </c>
      <c r="N91" s="228">
        <f>SUMIFS(Calc_NetworkV_2[Jemena],Calc_NetworkV_2[[Cost item]:[Cost item]],$K91,Calc_NetworkV_2[[Customer type]:[Customer type]],IF(ISNUMBER(SEARCH("Residential",$K$48)),"Residential","Small business"))</f>
        <v>0</v>
      </c>
      <c r="O91" s="228">
        <f>SUMIFS(Calc_NetworkV_2[Powercor],Calc_NetworkV_2[[Cost item]:[Cost item]],$K91,Calc_NetworkV_2[[Customer type]:[Customer type]],IF(ISNUMBER(SEARCH("Residential",$K$48)),"Residential","Small business"))</f>
        <v>0</v>
      </c>
      <c r="P91" s="228">
        <f>SUMIFS(Calc_NetworkV_2[United Energy],Calc_NetworkV_2[[Cost item]:[Cost item]],$K91,Calc_NetworkV_2[[Customer type]:[Customer type]],IF(ISNUMBER(SEARCH("Residential",$K$48)),"Residential","Small business"))</f>
        <v>0</v>
      </c>
    </row>
    <row r="92" spans="3:16" outlineLevel="1">
      <c r="C92" t="s">
        <v>69</v>
      </c>
      <c r="D92" s="228">
        <f>SUMIFS(Calc_NetworkV_1[Ausnet],Calc_NetworkV_1[[Cost item]:[Cost item]],$C92,Calc_NetworkV_1[[Customer type]:[Customer type]],IF(ISNUMBER(SEARCH("Residential",$C$48)),"Residential","Small business"))</f>
        <v>0.13989069468735993</v>
      </c>
      <c r="E92" s="228">
        <f>SUMIFS(Calc_NetworkV_1[Citipower],Calc_NetworkV_1[[Cost item]:[Cost item]],$C92,Calc_NetworkV_1[[Customer type]:[Customer type]],IF(ISNUMBER(SEARCH("Residential",$C$48)),"Residential","Small business"))</f>
        <v>0</v>
      </c>
      <c r="F92" s="228">
        <f>SUMIFS(Calc_NetworkV_1[Jemena],Calc_NetworkV_1[[Cost item]:[Cost item]],$C92,Calc_NetworkV_1[[Customer type]:[Customer type]],IF(ISNUMBER(SEARCH("Residential",$C$48)),"Residential","Small business"))</f>
        <v>0</v>
      </c>
      <c r="G92" s="228">
        <f>SUMIFS(Calc_NetworkV_1[Powercor],Calc_NetworkV_1[[Cost item]:[Cost item]],$C92,Calc_NetworkV_1[[Customer type]:[Customer type]],IF(ISNUMBER(SEARCH("Residential",$C$48)),"Residential","Small business"))</f>
        <v>0</v>
      </c>
      <c r="H92" s="228">
        <f>SUMIFS(Calc_NetworkV_1[United Energy],Calc_NetworkV_1[[Cost item]:[Cost item]],$C92,Calc_NetworkV_1[[Customer type]:[Customer type]],IF(ISNUMBER(SEARCH("Residential",$C$48)),"Residential","Small business"))</f>
        <v>0</v>
      </c>
      <c r="K92" t="s">
        <v>69</v>
      </c>
      <c r="L92" s="228">
        <f>SUMIFS(Calc_NetworkV_2[Ausnet],Calc_NetworkV_2[[Cost item]:[Cost item]],$K92,Calc_NetworkV_2[[Customer type]:[Customer type]],IF(ISNUMBER(SEARCH("Residential",$K$48)),"Residential","Small business"))</f>
        <v>0.14239199999999999</v>
      </c>
      <c r="M92" s="228">
        <f>SUMIFS(Calc_NetworkV_2[Citipower],Calc_NetworkV_2[[Cost item]:[Cost item]],$K92,Calc_NetworkV_2[[Customer type]:[Customer type]],IF(ISNUMBER(SEARCH("Residential",$K$48)),"Residential","Small business"))</f>
        <v>0</v>
      </c>
      <c r="N92" s="228">
        <f>SUMIFS(Calc_NetworkV_2[Jemena],Calc_NetworkV_2[[Cost item]:[Cost item]],$K92,Calc_NetworkV_2[[Customer type]:[Customer type]],IF(ISNUMBER(SEARCH("Residential",$K$48)),"Residential","Small business"))</f>
        <v>0</v>
      </c>
      <c r="O92" s="228">
        <f>SUMIFS(Calc_NetworkV_2[Powercor],Calc_NetworkV_2[[Cost item]:[Cost item]],$K92,Calc_NetworkV_2[[Customer type]:[Customer type]],IF(ISNUMBER(SEARCH("Residential",$K$48)),"Residential","Small business"))</f>
        <v>0</v>
      </c>
      <c r="P92" s="228">
        <f>SUMIFS(Calc_NetworkV_2[United Energy],Calc_NetworkV_2[[Cost item]:[Cost item]],$K92,Calc_NetworkV_2[[Customer type]:[Customer type]],IF(ISNUMBER(SEARCH("Residential",$K$48)),"Residential","Small business"))</f>
        <v>0</v>
      </c>
    </row>
    <row r="93" spans="3:16" outlineLevel="1">
      <c r="C93" t="s">
        <v>70</v>
      </c>
      <c r="D93" s="228">
        <f>SUMIFS(Calc_NetworkV_1[Ausnet],Calc_NetworkV_1[[Cost item]:[Cost item]],$C93,Calc_NetworkV_1[[Customer type]:[Customer type]],IF(ISNUMBER(SEARCH("Residential",$C$48)),"Residential","Small business"))</f>
        <v>0</v>
      </c>
      <c r="E93" s="228">
        <f>SUMIFS(Calc_NetworkV_1[Citipower],Calc_NetworkV_1[[Cost item]:[Cost item]],$C93,Calc_NetworkV_1[[Customer type]:[Customer type]],IF(ISNUMBER(SEARCH("Residential",$C$48)),"Residential","Small business"))</f>
        <v>7.3700000000000002E-2</v>
      </c>
      <c r="F93" s="228">
        <f>SUMIFS(Calc_NetworkV_1[Jemena],Calc_NetworkV_1[[Cost item]:[Cost item]],$C93,Calc_NetworkV_1[[Customer type]:[Customer type]],IF(ISNUMBER(SEARCH("Residential",$C$48)),"Residential","Small business"))</f>
        <v>8.9770000000000003E-2</v>
      </c>
      <c r="G93" s="228">
        <f>SUMIFS(Calc_NetworkV_1[Powercor],Calc_NetworkV_1[[Cost item]:[Cost item]],$C93,Calc_NetworkV_1[[Customer type]:[Customer type]],IF(ISNUMBER(SEARCH("Residential",$C$48)),"Residential","Small business"))</f>
        <v>8.77E-2</v>
      </c>
      <c r="H93" s="228">
        <f>SUMIFS(Calc_NetworkV_1[United Energy],Calc_NetworkV_1[[Cost item]:[Cost item]],$C93,Calc_NetworkV_1[[Customer type]:[Customer type]],IF(ISNUMBER(SEARCH("Residential",$C$48)),"Residential","Small business"))</f>
        <v>8.5400000000000004E-2</v>
      </c>
      <c r="K93" t="s">
        <v>70</v>
      </c>
      <c r="L93" s="228">
        <f>SUMIFS(Calc_NetworkV_2[Ausnet],Calc_NetworkV_2[[Cost item]:[Cost item]],$K93,Calc_NetworkV_2[[Customer type]:[Customer type]],IF(ISNUMBER(SEARCH("Residential",$K$48)),"Residential","Small business"))</f>
        <v>0</v>
      </c>
      <c r="M93" s="228">
        <f>SUMIFS(Calc_NetworkV_2[Citipower],Calc_NetworkV_2[[Cost item]:[Cost item]],$K93,Calc_NetworkV_2[[Customer type]:[Customer type]],IF(ISNUMBER(SEARCH("Residential",$K$48)),"Residential","Small business"))</f>
        <v>7.400000000000001E-2</v>
      </c>
      <c r="N93" s="228">
        <f>SUMIFS(Calc_NetworkV_2[Jemena],Calc_NetworkV_2[[Cost item]:[Cost item]],$K93,Calc_NetworkV_2[[Customer type]:[Customer type]],IF(ISNUMBER(SEARCH("Residential",$K$48)),"Residential","Small business"))</f>
        <v>8.251E-2</v>
      </c>
      <c r="O93" s="228">
        <f>SUMIFS(Calc_NetworkV_2[Powercor],Calc_NetworkV_2[[Cost item]:[Cost item]],$K93,Calc_NetworkV_2[[Customer type]:[Customer type]],IF(ISNUMBER(SEARCH("Residential",$K$48)),"Residential","Small business"))</f>
        <v>8.1500000000000003E-2</v>
      </c>
      <c r="P93" s="228">
        <f>SUMIFS(Calc_NetworkV_2[United Energy],Calc_NetworkV_2[[Cost item]:[Cost item]],$K93,Calc_NetworkV_2[[Customer type]:[Customer type]],IF(ISNUMBER(SEARCH("Residential",$K$48)),"Residential","Small business"))</f>
        <v>8.3000000000000004E-2</v>
      </c>
    </row>
    <row r="94" spans="3:16" outlineLevel="1"/>
    <row r="95" spans="3:16" ht="15.5" outlineLevel="1">
      <c r="C95" s="38" t="s">
        <v>558</v>
      </c>
      <c r="K95" s="38" t="s">
        <v>558</v>
      </c>
    </row>
    <row r="96" spans="3:16" outlineLevel="1">
      <c r="C96" t="s">
        <v>79</v>
      </c>
      <c r="D96" s="228" t="str" cm="1">
        <f t="array" ref="D96">IF(ISNUMBER(SEARCH("Residential",$C$48)),
INDEX(OP_RatesTU_RES_1[Ausnet],MATCH(1,(OP_RatesTU_RES_1[Cost element]="Network")*(OP_RatesTU_RES_1[Rate name]=CH_CostStack_RES!$C96),0),1),
INDEX(OP_RatesTU_SME_1[Ausnet],MATCH(1,(OP_RatesTU_SME_1[Cost element]="Network")*(OP_RatesTU_SME_1[Rate name]=CH_CostStack_RES!$C96),0),1))</f>
        <v>-</v>
      </c>
      <c r="E96" s="228" t="str" cm="1">
        <f t="array" ref="E96">IF(ISNUMBER(SEARCH("Residential",$C$48)),
INDEX(OP_RatesTU_RES_1[Citipower],MATCH(1,(OP_RatesTU_RES_1[Cost element]="Network")*(OP_RatesTU_RES_1[Rate name]=CH_CostStack_RES!$C96),0),1),
INDEX(OP_RatesTU_SME_1[Citipower],MATCH(1,(OP_RatesTU_SME_1[Cost element]="Network")*(OP_RatesTU_SME_1[Rate name]=CH_CostStack_RES!$C96),0),1))</f>
        <v>-</v>
      </c>
      <c r="F96" s="228" t="str" cm="1">
        <f t="array" ref="F96">IF(ISNUMBER(SEARCH("Residential",$C$48)),
INDEX(OP_RatesTU_RES_1[Jemena],MATCH(1,(OP_RatesTU_RES_1[Cost element]="Network")*(OP_RatesTU_RES_1[Rate name]=CH_CostStack_RES!$C96),0),1),
INDEX(OP_RatesTU_SME_1[Jemena],MATCH(1,(OP_RatesTU_SME_1[Cost element]="Network")*(OP_RatesTU_SME_1[Rate name]=CH_CostStack_RES!$C96),0),1))</f>
        <v>-</v>
      </c>
      <c r="G96" s="228" t="str" cm="1">
        <f t="array" ref="G96">IF(ISNUMBER(SEARCH("Residential",$C$48)),
INDEX(OP_RatesTU_RES_1[Powercor],MATCH(1,(OP_RatesTU_RES_1[Cost element]="Network")*(OP_RatesTU_RES_1[Rate name]=CH_CostStack_RES!$C96),0),1),
INDEX(OP_RatesTU_SME_1[Powercor],MATCH(1,(OP_RatesTU_SME_1[Cost element]="Network")*(OP_RatesTU_SME_1[Rate name]=CH_CostStack_RES!$C96),0),1))</f>
        <v>-</v>
      </c>
      <c r="H96" s="228" t="str" cm="1">
        <f t="array" ref="H96">IF(ISNUMBER(SEARCH("Residential",$C$48)),
INDEX(OP_RatesTU_RES_1[United Energy],MATCH(1,(OP_RatesTU_RES_1[Cost element]="Network")*(OP_RatesTU_RES_1[Rate name]=CH_CostStack_RES!$C96),0),1),
INDEX(OP_RatesTU_SME_1[United Energy],MATCH(1,(OP_RatesTU_SME_1[Cost element]="Network")*(OP_RatesTU_SME_1[Rate name]=CH_CostStack_RES!$C96),0),1))</f>
        <v>-</v>
      </c>
      <c r="K96" t="s">
        <v>79</v>
      </c>
      <c r="L96" s="228" t="str" cm="1">
        <f t="array" ref="L96">IF(ISNUMBER(SEARCH("Residential",$K$48)),
INDEX(OP_RatesTU_RES_2[Ausnet],MATCH(1,(OP_RatesTU_RES_2[Cost element]="Network")*(OP_RatesTU_RES_2[Rate name]=CH_CostStack_RES!$K96),0),1),
INDEX(OP_RatesTU_SME_2[Ausnet],MATCH(1,(OP_RatesTU_SME_2[Cost element]="Network")*(OP_RatesTU_SME_2[Rate name]=CH_CostStack_RES!$K96),0),1))</f>
        <v>-</v>
      </c>
      <c r="M96" s="228" t="str" cm="1">
        <f t="array" ref="M96">IF(ISNUMBER(SEARCH("Residential",$K$48)),
INDEX(OP_RatesTU_RES_2[Citipower],MATCH(1,(OP_RatesTU_RES_2[Cost element]="Network")*(OP_RatesTU_RES_2[Rate name]=CH_CostStack_RES!$K96),0),1),
INDEX(OP_RatesTU_SME_2[Citipower],MATCH(1,(OP_RatesTU_SME_2[Cost element]="Network")*(OP_RatesTU_SME_2[Rate name]=CH_CostStack_RES!$K96),0),1))</f>
        <v>-</v>
      </c>
      <c r="N96" s="228" t="str" cm="1">
        <f t="array" ref="N96">IF(ISNUMBER(SEARCH("Residential",$K$48)),
INDEX(OP_RatesTU_RES_2[Jemena],MATCH(1,(OP_RatesTU_RES_2[Cost element]="Network")*(OP_RatesTU_RES_2[Rate name]=CH_CostStack_RES!$K96),0),1),
INDEX(OP_RatesTU_SME_2[Jemena],MATCH(1,(OP_RatesTU_SME_2[Cost element]="Network")*(OP_RatesTU_SME_2[Rate name]=CH_CostStack_RES!$K96),0),1))</f>
        <v>-</v>
      </c>
      <c r="O96" s="228" t="str" cm="1">
        <f t="array" ref="O96">IF(ISNUMBER(SEARCH("Residential",$K$48)),
INDEX(OP_RatesTU_RES_2[Powercor],MATCH(1,(OP_RatesTU_RES_2[Cost element]="Network")*(OP_RatesTU_RES_2[Rate name]=CH_CostStack_RES!$K96),0),1),
INDEX(OP_RatesTU_SME_2[Powercor],MATCH(1,(OP_RatesTU_SME_2[Cost element]="Network")*(OP_RatesTU_SME_2[Rate name]=CH_CostStack_RES!$K96),0),1))</f>
        <v>-</v>
      </c>
      <c r="P96" s="228" t="str" cm="1">
        <f t="array" ref="P96">IF(ISNUMBER(SEARCH("Residential",$K$48)),
INDEX(OP_RatesTU_RES_2[United Energy],MATCH(1,(OP_RatesTU_RES_2[Cost element]="Network")*(OP_RatesTU_RES_2[Rate name]=CH_CostStack_RES!$K96),0),1),
INDEX(OP_RatesTU_SME_2[United Energy],MATCH(1,(OP_RatesTU_SME_2[Cost element]="Network")*(OP_RatesTU_SME_2[Rate name]=CH_CostStack_RES!$K96),0),1))</f>
        <v>-</v>
      </c>
    </row>
    <row r="97" spans="3:16" outlineLevel="1"/>
    <row r="98" spans="3:16" ht="15.5" outlineLevel="1">
      <c r="C98" s="38" t="s">
        <v>559</v>
      </c>
      <c r="K98" s="38" t="s">
        <v>559</v>
      </c>
    </row>
    <row r="99" spans="3:16" outlineLevel="1">
      <c r="C99" t="s">
        <v>67</v>
      </c>
      <c r="D99" s="228" cm="1">
        <f t="array" ref="D99">IF(ISNUMBER(SEARCH("Residential",$C$48)),
INDEX(OP_RatesTU_RES_1[Ausnet],MATCH(1,(OP_RatesTU_RES_1[Cost element]="Environmental")*(OP_RatesTU_RES_1[Rate name]=CH_CostStack_RES!$C99),0),1),
INDEX(OP_RatesTU_SME_1[Ausnet],MATCH(1,(OP_RatesTU_SME_1[Cost element]="Environmental")*(OP_RatesTU_SME_1[Rate name]=CH_CostStack_RES!$C99),0),1))</f>
        <v>-1.4451020409271499E-3</v>
      </c>
      <c r="E99" s="228" cm="1">
        <f t="array" ref="E99">IF(ISNUMBER(SEARCH("Residential",$C$48)),
INDEX(OP_RatesTU_RES_1[Citipower],MATCH(1,(OP_RatesTU_RES_1[Cost element]="Environmental")*(OP_RatesTU_RES_1[Rate name]=CH_CostStack_RES!$C99),0),1),
INDEX(OP_RatesTU_SME_1[Citipower],MATCH(1,(OP_RatesTU_SME_1[Cost element]="Environmental")*(OP_RatesTU_SME_1[Rate name]=CH_CostStack_RES!$C99),0),1))</f>
        <v>0</v>
      </c>
      <c r="F99" s="228" cm="1">
        <f t="array" ref="F99">IF(ISNUMBER(SEARCH("Residential",$C$48)),
INDEX(OP_RatesTU_RES_1[Jemena],MATCH(1,(OP_RatesTU_RES_1[Cost element]="Environmental")*(OP_RatesTU_RES_1[Rate name]=CH_CostStack_RES!$C99),0),1),
INDEX(OP_RatesTU_SME_1[Jemena],MATCH(1,(OP_RatesTU_SME_1[Cost element]="Environmental")*(OP_RatesTU_SME_1[Rate name]=CH_CostStack_RES!$C99),0),1))</f>
        <v>0</v>
      </c>
      <c r="G99" s="228" cm="1">
        <f t="array" ref="G99">IF(ISNUMBER(SEARCH("Residential",$C$48)),
INDEX(OP_RatesTU_RES_1[Powercor],MATCH(1,(OP_RatesTU_RES_1[Cost element]="Environmental")*(OP_RatesTU_RES_1[Rate name]=CH_CostStack_RES!$C99),0),1),
INDEX(OP_RatesTU_SME_1[Powercor],MATCH(1,(OP_RatesTU_SME_1[Cost element]="Environmental")*(OP_RatesTU_SME_1[Rate name]=CH_CostStack_RES!$C99),0),1))</f>
        <v>0</v>
      </c>
      <c r="H99" s="228" cm="1">
        <f t="array" ref="H99">IF(ISNUMBER(SEARCH("Residential",$C$48)),
INDEX(OP_RatesTU_RES_1[United Energy],MATCH(1,(OP_RatesTU_RES_1[Cost element]="Environmental")*(OP_RatesTU_RES_1[Rate name]=CH_CostStack_RES!$C99),0),1),
INDEX(OP_RatesTU_SME_1[United Energy],MATCH(1,(OP_RatesTU_SME_1[Cost element]="Environmental")*(OP_RatesTU_SME_1[Rate name]=CH_CostStack_RES!$C99),0),1))</f>
        <v>0</v>
      </c>
      <c r="K99" t="s">
        <v>67</v>
      </c>
      <c r="L99" s="228" cm="1">
        <f t="array" ref="L99">IF(ISNUMBER(SEARCH("Residential",$K$48)),
INDEX(OP_RatesTU_RES_2[Ausnet],MATCH(1,(OP_RatesTU_RES_2[Cost element]="Environmental")*(OP_RatesTU_RES_2[Rate name]=CH_CostStack_RES!$C99),0),1),
INDEX(OP_RatesTU_SME_2[Ausnet],MATCH(1,(OP_RatesTU_SME_2[Cost element]="Environmental")*(OP_RatesTU_SME_2[Rate name]=CH_CostStack_RES!$C99),0),1))</f>
        <v>4.3609479704997934E-4</v>
      </c>
      <c r="M99" s="228" cm="1">
        <f t="array" ref="M99">IF(ISNUMBER(SEARCH("Residential",$K$48)),
INDEX(OP_RatesTU_RES_2[Citipower],MATCH(1,(OP_RatesTU_RES_2[Cost element]="Environmental")*(OP_RatesTU_RES_2[Rate name]=CH_CostStack_RES!$C99),0),1),
INDEX(OP_RatesTU_SME_2[Citipower],MATCH(1,(OP_RatesTU_SME_2[Cost element]="Environmental")*(OP_RatesTU_SME_2[Rate name]=CH_CostStack_RES!$C99),0),1))</f>
        <v>0</v>
      </c>
      <c r="N99" s="228" cm="1">
        <f t="array" ref="N99">IF(ISNUMBER(SEARCH("Residential",$K$48)),
INDEX(OP_RatesTU_RES_2[Jemena],MATCH(1,(OP_RatesTU_RES_2[Cost element]="Environmental")*(OP_RatesTU_RES_2[Rate name]=CH_CostStack_RES!$C99),0),1),
INDEX(OP_RatesTU_SME_2[Jemena],MATCH(1,(OP_RatesTU_SME_2[Cost element]="Environmental")*(OP_RatesTU_SME_2[Rate name]=CH_CostStack_RES!$C99),0),1))</f>
        <v>0</v>
      </c>
      <c r="O99" s="228" cm="1">
        <f t="array" ref="O99">IF(ISNUMBER(SEARCH("Residential",$K$48)),
INDEX(OP_RatesTU_RES_2[Powercor],MATCH(1,(OP_RatesTU_RES_2[Cost element]="Environmental")*(OP_RatesTU_RES_2[Rate name]=CH_CostStack_RES!$C99),0),1),
INDEX(OP_RatesTU_SME_2[Powercor],MATCH(1,(OP_RatesTU_SME_2[Cost element]="Environmental")*(OP_RatesTU_SME_2[Rate name]=CH_CostStack_RES!$C99),0),1))</f>
        <v>0</v>
      </c>
      <c r="P99" s="228" cm="1">
        <f t="array" ref="P99">IF(ISNUMBER(SEARCH("Residential",$K$48)),
INDEX(OP_RatesTU_RES_2[United Energy],MATCH(1,(OP_RatesTU_RES_2[Cost element]="Environmental")*(OP_RatesTU_RES_2[Rate name]=CH_CostStack_RES!$C99),0),1),
INDEX(OP_RatesTU_SME_2[United Energy],MATCH(1,(OP_RatesTU_SME_2[Cost element]="Environmental")*(OP_RatesTU_SME_2[Rate name]=CH_CostStack_RES!$C99),0),1))</f>
        <v>0</v>
      </c>
    </row>
    <row r="100" spans="3:16" outlineLevel="1">
      <c r="C100" t="s">
        <v>69</v>
      </c>
      <c r="D100" s="228" cm="1">
        <f t="array" ref="D100">IF(ISNUMBER(SEARCH("Residential",$C$48)),
INDEX(OP_RatesTU_RES_1[Ausnet],MATCH(1,(OP_RatesTU_RES_1[Cost element]="Environmental")*(OP_RatesTU_RES_1[Rate name]=CH_CostStack_RES!$C100),0),1),
INDEX(OP_RatesTU_SME_1[Ausnet],MATCH(1,(OP_RatesTU_SME_1[Cost element]="Environmental")*(OP_RatesTU_SME_1[Rate name]=CH_CostStack_RES!$C100),0),1))</f>
        <v>-1.4451020409271499E-3</v>
      </c>
      <c r="E100" s="228" cm="1">
        <f t="array" ref="E100">IF(ISNUMBER(SEARCH("Residential",$C$48)),
INDEX(OP_RatesTU_RES_1[Citipower],MATCH(1,(OP_RatesTU_RES_1[Cost element]="Environmental")*(OP_RatesTU_RES_1[Rate name]=CH_CostStack_RES!$C100),0),1),
INDEX(OP_RatesTU_SME_1[Citipower],MATCH(1,(OP_RatesTU_SME_1[Cost element]="Environmental")*(OP_RatesTU_SME_1[Rate name]=CH_CostStack_RES!$C100),0),1))</f>
        <v>0</v>
      </c>
      <c r="F100" s="228" cm="1">
        <f t="array" ref="F100">IF(ISNUMBER(SEARCH("Residential",$C$48)),
INDEX(OP_RatesTU_RES_1[Jemena],MATCH(1,(OP_RatesTU_RES_1[Cost element]="Environmental")*(OP_RatesTU_RES_1[Rate name]=CH_CostStack_RES!$C100),0),1),
INDEX(OP_RatesTU_SME_1[Jemena],MATCH(1,(OP_RatesTU_SME_1[Cost element]="Environmental")*(OP_RatesTU_SME_1[Rate name]=CH_CostStack_RES!$C100),0),1))</f>
        <v>0</v>
      </c>
      <c r="G100" s="228" cm="1">
        <f t="array" ref="G100">IF(ISNUMBER(SEARCH("Residential",$C$48)),
INDEX(OP_RatesTU_RES_1[Powercor],MATCH(1,(OP_RatesTU_RES_1[Cost element]="Environmental")*(OP_RatesTU_RES_1[Rate name]=CH_CostStack_RES!$C100),0),1),
INDEX(OP_RatesTU_SME_1[Powercor],MATCH(1,(OP_RatesTU_SME_1[Cost element]="Environmental")*(OP_RatesTU_SME_1[Rate name]=CH_CostStack_RES!$C100),0),1))</f>
        <v>0</v>
      </c>
      <c r="H100" s="228" cm="1">
        <f t="array" ref="H100">IF(ISNUMBER(SEARCH("Residential",$C$48)),
INDEX(OP_RatesTU_RES_1[United Energy],MATCH(1,(OP_RatesTU_RES_1[Cost element]="Environmental")*(OP_RatesTU_RES_1[Rate name]=CH_CostStack_RES!$C100),0),1),
INDEX(OP_RatesTU_SME_1[United Energy],MATCH(1,(OP_RatesTU_SME_1[Cost element]="Environmental")*(OP_RatesTU_SME_1[Rate name]=CH_CostStack_RES!$C100),0),1))</f>
        <v>0</v>
      </c>
      <c r="K100" t="s">
        <v>69</v>
      </c>
      <c r="L100" s="228" cm="1">
        <f t="array" ref="L100">IF(ISNUMBER(SEARCH("Residential",$K$48)),
INDEX(OP_RatesTU_RES_2[Ausnet],MATCH(1,(OP_RatesTU_RES_2[Cost element]="Environmental")*(OP_RatesTU_RES_2[Rate name]=CH_CostStack_RES!$C100),0),1),
INDEX(OP_RatesTU_SME_2[Ausnet],MATCH(1,(OP_RatesTU_SME_2[Cost element]="Environmental")*(OP_RatesTU_SME_2[Rate name]=CH_CostStack_RES!$C100),0),1))</f>
        <v>4.3609479704997934E-4</v>
      </c>
      <c r="M100" s="228" cm="1">
        <f t="array" ref="M100">IF(ISNUMBER(SEARCH("Residential",$K$48)),
INDEX(OP_RatesTU_RES_2[Citipower],MATCH(1,(OP_RatesTU_RES_2[Cost element]="Environmental")*(OP_RatesTU_RES_2[Rate name]=CH_CostStack_RES!$C100),0),1),
INDEX(OP_RatesTU_SME_2[Citipower],MATCH(1,(OP_RatesTU_SME_2[Cost element]="Environmental")*(OP_RatesTU_SME_2[Rate name]=CH_CostStack_RES!$C100),0),1))</f>
        <v>0</v>
      </c>
      <c r="N100" s="228" cm="1">
        <f t="array" ref="N100">IF(ISNUMBER(SEARCH("Residential",$K$48)),
INDEX(OP_RatesTU_RES_2[Jemena],MATCH(1,(OP_RatesTU_RES_2[Cost element]="Environmental")*(OP_RatesTU_RES_2[Rate name]=CH_CostStack_RES!$C100),0),1),
INDEX(OP_RatesTU_SME_2[Jemena],MATCH(1,(OP_RatesTU_SME_2[Cost element]="Environmental")*(OP_RatesTU_SME_2[Rate name]=CH_CostStack_RES!$C100),0),1))</f>
        <v>0</v>
      </c>
      <c r="O100" s="228" cm="1">
        <f t="array" ref="O100">IF(ISNUMBER(SEARCH("Residential",$K$48)),
INDEX(OP_RatesTU_RES_2[Powercor],MATCH(1,(OP_RatesTU_RES_2[Cost element]="Environmental")*(OP_RatesTU_RES_2[Rate name]=CH_CostStack_RES!$C100),0),1),
INDEX(OP_RatesTU_SME_2[Powercor],MATCH(1,(OP_RatesTU_SME_2[Cost element]="Environmental")*(OP_RatesTU_SME_2[Rate name]=CH_CostStack_RES!$C100),0),1))</f>
        <v>0</v>
      </c>
      <c r="P100" s="228" cm="1">
        <f t="array" ref="P100">IF(ISNUMBER(SEARCH("Residential",$K$48)),
INDEX(OP_RatesTU_RES_2[United Energy],MATCH(1,(OP_RatesTU_RES_2[Cost element]="Environmental")*(OP_RatesTU_RES_2[Rate name]=CH_CostStack_RES!$C100),0),1),
INDEX(OP_RatesTU_SME_2[United Energy],MATCH(1,(OP_RatesTU_SME_2[Cost element]="Environmental")*(OP_RatesTU_SME_2[Rate name]=CH_CostStack_RES!$C100),0),1))</f>
        <v>0</v>
      </c>
    </row>
    <row r="101" spans="3:16">
      <c r="C101" t="s">
        <v>70</v>
      </c>
      <c r="D101" s="228" cm="1">
        <f t="array" ref="D101">IF(ISNUMBER(SEARCH("Residential",$C$48)),
INDEX(OP_RatesTU_RES_1[Ausnet],MATCH(1,(OP_RatesTU_RES_1[Cost element]="Environmental")*(OP_RatesTU_RES_1[Rate name]=CH_CostStack_RES!$C101),0),1),
INDEX(OP_RatesTU_SME_1[Ausnet],MATCH(1,(OP_RatesTU_SME_1[Cost element]="Environmental")*(OP_RatesTU_SME_1[Rate name]=CH_CostStack_RES!$C101),0),1))</f>
        <v>0</v>
      </c>
      <c r="E101" s="228" cm="1">
        <f t="array" ref="E101">IF(ISNUMBER(SEARCH("Residential",$C$48)),
INDEX(OP_RatesTU_RES_1[Citipower],MATCH(1,(OP_RatesTU_RES_1[Cost element]="Environmental")*(OP_RatesTU_RES_1[Rate name]=CH_CostStack_RES!$C101),0),1),
INDEX(OP_RatesTU_SME_1[Citipower],MATCH(1,(OP_RatesTU_SME_1[Cost element]="Environmental")*(OP_RatesTU_SME_1[Rate name]=CH_CostStack_RES!$C101),0),1))</f>
        <v>-1.4016011881474891E-3</v>
      </c>
      <c r="F101" s="228" cm="1">
        <f t="array" ref="F101">IF(ISNUMBER(SEARCH("Residential",$C$48)),
INDEX(OP_RatesTU_RES_1[Jemena],MATCH(1,(OP_RatesTU_RES_1[Cost element]="Environmental")*(OP_RatesTU_RES_1[Rate name]=CH_CostStack_RES!$C101),0),1),
INDEX(OP_RatesTU_SME_1[Jemena],MATCH(1,(OP_RatesTU_SME_1[Cost element]="Environmental")*(OP_RatesTU_SME_1[Rate name]=CH_CostStack_RES!$C101),0),1))</f>
        <v>-1.3896720485833702E-3</v>
      </c>
      <c r="G101" s="228" cm="1">
        <f t="array" ref="G101">IF(ISNUMBER(SEARCH("Residential",$C$48)),
INDEX(OP_RatesTU_RES_1[Powercor],MATCH(1,(OP_RatesTU_RES_1[Cost element]="Environmental")*(OP_RatesTU_RES_1[Rate name]=CH_CostStack_RES!$C101),0),1),
INDEX(OP_RatesTU_SME_1[Powercor],MATCH(1,(OP_RatesTU_SME_1[Cost element]="Environmental")*(OP_RatesTU_SME_1[Rate name]=CH_CostStack_RES!$C101),0),1))</f>
        <v>-1.432313335205126E-3</v>
      </c>
      <c r="H101" s="228" cm="1">
        <f t="array" ref="H101">IF(ISNUMBER(SEARCH("Residential",$C$48)),
INDEX(OP_RatesTU_RES_1[United Energy],MATCH(1,(OP_RatesTU_RES_1[Cost element]="Environmental")*(OP_RatesTU_RES_1[Rate name]=CH_CostStack_RES!$C101),0),1),
INDEX(OP_RatesTU_SME_1[United Energy],MATCH(1,(OP_RatesTU_SME_1[Cost element]="Environmental")*(OP_RatesTU_SME_1[Rate name]=CH_CostStack_RES!$C101),0),1))</f>
        <v>-1.3977880905040913E-3</v>
      </c>
      <c r="K101" t="s">
        <v>70</v>
      </c>
      <c r="L101" s="228" cm="1">
        <f t="array" ref="L101">IF(ISNUMBER(SEARCH("Residential",$K$48)),
INDEX(OP_RatesTU_RES_2[Ausnet],MATCH(1,(OP_RatesTU_RES_2[Cost element]="Environmental")*(OP_RatesTU_RES_2[Rate name]=CH_CostStack_RES!$C101),0),1),
INDEX(OP_RatesTU_SME_2[Ausnet],MATCH(1,(OP_RatesTU_SME_2[Cost element]="Environmental")*(OP_RatesTU_SME_2[Rate name]=CH_CostStack_RES!$C101),0),1))</f>
        <v>0</v>
      </c>
      <c r="M101" s="228" cm="1">
        <f t="array" ref="M101">IF(ISNUMBER(SEARCH("Residential",$K$48)),
INDEX(OP_RatesTU_RES_2[Citipower],MATCH(1,(OP_RatesTU_RES_2[Cost element]="Environmental")*(OP_RatesTU_RES_2[Rate name]=CH_CostStack_RES!$C101),0),1),
INDEX(OP_RatesTU_SME_2[Citipower],MATCH(1,(OP_RatesTU_SME_2[Cost element]="Environmental")*(OP_RatesTU_SME_2[Rate name]=CH_CostStack_RES!$C101),0),1))</f>
        <v>4.2329571152283947E-4</v>
      </c>
      <c r="N101" s="228" cm="1">
        <f t="array" ref="N101">IF(ISNUMBER(SEARCH("Residential",$K$48)),
INDEX(OP_RatesTU_RES_2[Jemena],MATCH(1,(OP_RatesTU_RES_2[Cost element]="Environmental")*(OP_RatesTU_RES_2[Rate name]=CH_CostStack_RES!$C101),0),1),
INDEX(OP_RatesTU_SME_2[Jemena],MATCH(1,(OP_RatesTU_SME_2[Cost element]="Environmental")*(OP_RatesTU_SME_2[Rate name]=CH_CostStack_RES!$C101),0),1))</f>
        <v>4.2108355321215024E-4</v>
      </c>
      <c r="O101" s="228" cm="1">
        <f t="array" ref="O101">IF(ISNUMBER(SEARCH("Residential",$K$48)),
INDEX(OP_RatesTU_RES_2[Powercor],MATCH(1,(OP_RatesTU_RES_2[Cost element]="Environmental")*(OP_RatesTU_RES_2[Rate name]=CH_CostStack_RES!$C101),0),1),
INDEX(OP_RatesTU_SME_2[Powercor],MATCH(1,(OP_RatesTU_SME_2[Cost element]="Environmental")*(OP_RatesTU_SME_2[Rate name]=CH_CostStack_RES!$C101),0),1))</f>
        <v>4.3289302051611621E-4</v>
      </c>
      <c r="P101" s="228" cm="1">
        <f t="array" ref="P101">IF(ISNUMBER(SEARCH("Residential",$K$48)),
INDEX(OP_RatesTU_RES_2[United Energy],MATCH(1,(OP_RatesTU_RES_2[Cost element]="Environmental")*(OP_RatesTU_RES_2[Rate name]=CH_CostStack_RES!$C101),0),1),
INDEX(OP_RatesTU_SME_2[United Energy],MATCH(1,(OP_RatesTU_SME_2[Cost element]="Environmental")*(OP_RatesTU_SME_2[Rate name]=CH_CostStack_RES!$C101),0),1))</f>
        <v>4.2336209237385492E-4</v>
      </c>
    </row>
    <row r="107" spans="3:16">
      <c r="D107" s="97"/>
    </row>
  </sheetData>
  <sheetProtection algorithmName="SHA-512" hashValue="KJ0mGkY8zw6hB+zK56hwL/EN8Myl4nt/DOvPHnnUo8/5qijl6TLgj63/GmJ2zC5qDTMNSOSrV3X5JJRcXAGj0A==" saltValue="fXBrrIbFJ7dIB6sJ3q/iUQ==" spinCount="100000" sheet="1" objects="1" scenarios="1"/>
  <mergeCells count="1">
    <mergeCell ref="A2:A3"/>
  </mergeCells>
  <dataValidations count="2">
    <dataValidation type="list" allowBlank="1" showInputMessage="1" showErrorMessage="1" sqref="D32" xr:uid="{3C482F07-1AAC-4416-85CD-0C2F787B1952}">
      <formula1>"Residential,Small business"</formula1>
    </dataValidation>
    <dataValidation type="list" allowBlank="1" showInputMessage="1" showErrorMessage="1" sqref="D31" xr:uid="{FBA20B05-3BF4-4218-8540-0E01D57661EF}">
      <formula1>$D$54:$I$54</formula1>
    </dataValidation>
  </dataValidations>
  <hyperlinks>
    <hyperlink ref="B1" location="Contents!A1" display="&lt;&lt; Back to contents" xr:uid="{0A94F9FC-02D3-47F7-90C0-08094A62DAA5}"/>
  </hyperlinks>
  <pageMargins left="0.7" right="0.7" top="0.75" bottom="0.75" header="0.3" footer="0.3"/>
  <pageSetup paperSize="9" orientation="portrait" r:id="rId1"/>
  <headerFooter>
    <oddHeader>&amp;C&amp;B&amp;"Arial"&amp;12&amp;Kff0000​‌OFFICIAL‌​</oddHeader>
  </headerFooter>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EAC0-A962-4C03-B25A-2BE1E5F47FE3}">
  <sheetPr>
    <tabColor rgb="FFFFB13F"/>
    <pageSetUpPr autoPageBreaks="0"/>
  </sheetPr>
  <dimension ref="A1:X107"/>
  <sheetViews>
    <sheetView showGridLines="0" topLeftCell="B1" zoomScale="90" zoomScaleNormal="90" workbookViewId="0">
      <pane ySplit="3" topLeftCell="A4" activePane="bottomLeft" state="frozen"/>
      <selection activeCell="D18" sqref="D18"/>
      <selection pane="bottomLeft" activeCell="D31" sqref="D31"/>
    </sheetView>
  </sheetViews>
  <sheetFormatPr defaultColWidth="9.453125" defaultRowHeight="14.5" outlineLevelRow="1" outlineLevelCol="1"/>
  <cols>
    <col min="1" max="1" width="100.54296875" hidden="1" customWidth="1" outlineLevel="1"/>
    <col min="2" max="2" width="10.54296875" style="6" customWidth="1" collapsed="1"/>
    <col min="3" max="17" width="25.54296875" customWidth="1"/>
    <col min="18" max="18" width="5.54296875" customWidth="1"/>
    <col min="19" max="19" width="11.453125" bestFit="1" customWidth="1"/>
    <col min="22" max="22" width="13.453125" bestFit="1" customWidth="1"/>
  </cols>
  <sheetData>
    <row r="1" spans="1:18" ht="15" customHeight="1">
      <c r="A1" s="1" t="s">
        <v>15</v>
      </c>
      <c r="B1" s="234" t="s">
        <v>569</v>
      </c>
      <c r="C1" s="19"/>
      <c r="D1" s="19"/>
      <c r="E1" s="19"/>
      <c r="F1" s="102" t="s">
        <v>52</v>
      </c>
      <c r="G1" s="87"/>
      <c r="H1" s="19"/>
      <c r="I1" s="19"/>
      <c r="J1" s="19"/>
      <c r="K1" s="19"/>
      <c r="L1" s="19"/>
      <c r="M1" s="19"/>
      <c r="N1" s="19"/>
      <c r="O1" s="19"/>
      <c r="P1" s="19"/>
      <c r="Q1" s="19"/>
      <c r="R1" s="19"/>
    </row>
    <row r="2" spans="1:18" s="4" customFormat="1" ht="50.15" customHeight="1">
      <c r="A2" s="236" t="s">
        <v>16</v>
      </c>
      <c r="B2" s="22"/>
      <c r="C2" s="22" t="str">
        <f>[1]Disclaimer!$B$1</f>
        <v>VDO calculation model</v>
      </c>
      <c r="D2" s="22"/>
      <c r="E2" s="22"/>
      <c r="F2" s="156" t="str">
        <f>[1]Calc_Rates!$D$5</f>
        <v>VDO 2023-24 - Final</v>
      </c>
      <c r="G2" s="156" t="str">
        <f>[1]Calc_Rates!$D$266</f>
        <v>VDO 2022-23 - Final</v>
      </c>
      <c r="H2" s="22"/>
      <c r="I2" s="22"/>
      <c r="J2" s="22"/>
      <c r="K2" s="22"/>
      <c r="L2" s="22"/>
      <c r="M2" s="22"/>
      <c r="N2" s="22"/>
      <c r="O2" s="22"/>
      <c r="P2" s="22"/>
      <c r="Q2" s="22"/>
      <c r="R2" s="22"/>
    </row>
    <row r="3" spans="1:18" s="4" customFormat="1" ht="30" customHeight="1">
      <c r="A3" s="237"/>
      <c r="B3" s="24">
        <f ca="1">_xlfn.SHEET()</f>
        <v>8</v>
      </c>
      <c r="C3" s="23" t="s">
        <v>544</v>
      </c>
      <c r="D3" s="23"/>
      <c r="E3" s="23"/>
      <c r="F3" s="86">
        <f>SUM(D68:H68,M35)</f>
        <v>0</v>
      </c>
      <c r="G3" s="86">
        <f>SUM(L68:P68,M36)</f>
        <v>0</v>
      </c>
      <c r="H3" s="23"/>
      <c r="I3" s="23"/>
      <c r="J3" s="23"/>
      <c r="K3" s="23"/>
      <c r="L3" s="23"/>
      <c r="M3" s="23"/>
      <c r="N3" s="23"/>
      <c r="O3" s="23"/>
      <c r="P3" s="23"/>
      <c r="Q3" s="23"/>
      <c r="R3" s="23"/>
    </row>
    <row r="4" spans="1:18">
      <c r="B4"/>
    </row>
    <row r="5" spans="1:18" ht="16" thickBot="1">
      <c r="A5" s="1" t="s">
        <v>18</v>
      </c>
      <c r="B5" s="216">
        <f ca="1">MAX(B$3:B4)+0.01</f>
        <v>8.01</v>
      </c>
      <c r="C5" s="25" t="str">
        <f>"VDO cost stack chart - Flat VDO - "&amp;IF(ISNUMBER(SEARCH("Residential",$C$48)),"Residential","Small business")</f>
        <v>VDO cost stack chart - Flat VDO - Small business</v>
      </c>
      <c r="D5" s="25"/>
      <c r="E5" s="25"/>
      <c r="F5" s="25"/>
      <c r="G5" s="25"/>
      <c r="H5" s="25"/>
      <c r="I5" s="25"/>
      <c r="J5" s="25"/>
      <c r="K5" s="25"/>
      <c r="L5" s="25"/>
      <c r="M5" s="25"/>
      <c r="N5" s="25"/>
      <c r="O5" s="25"/>
      <c r="P5" s="25"/>
      <c r="Q5" s="25"/>
      <c r="R5" s="25"/>
    </row>
    <row r="6" spans="1:18" outlineLevel="1">
      <c r="B6"/>
    </row>
    <row r="7" spans="1:18" outlineLevel="1">
      <c r="B7"/>
    </row>
    <row r="8" spans="1:18" outlineLevel="1">
      <c r="B8"/>
    </row>
    <row r="9" spans="1:18" outlineLevel="1">
      <c r="B9"/>
    </row>
    <row r="10" spans="1:18" outlineLevel="1">
      <c r="B10"/>
      <c r="K10" t="s">
        <v>117</v>
      </c>
    </row>
    <row r="11" spans="1:18" outlineLevel="1">
      <c r="B11"/>
    </row>
    <row r="12" spans="1:18" outlineLevel="1">
      <c r="B12"/>
    </row>
    <row r="13" spans="1:18" outlineLevel="1">
      <c r="B13"/>
    </row>
    <row r="14" spans="1:18" outlineLevel="1">
      <c r="B14"/>
    </row>
    <row r="15" spans="1:18" outlineLevel="1">
      <c r="B15"/>
    </row>
    <row r="16" spans="1:18" outlineLevel="1">
      <c r="B16"/>
    </row>
    <row r="17" spans="2:16" outlineLevel="1">
      <c r="B17"/>
    </row>
    <row r="18" spans="2:16" outlineLevel="1">
      <c r="B18"/>
    </row>
    <row r="19" spans="2:16" outlineLevel="1">
      <c r="B19"/>
    </row>
    <row r="20" spans="2:16" outlineLevel="1">
      <c r="B20"/>
    </row>
    <row r="21" spans="2:16" outlineLevel="1">
      <c r="B21"/>
    </row>
    <row r="22" spans="2:16" outlineLevel="1">
      <c r="B22"/>
    </row>
    <row r="23" spans="2:16" outlineLevel="1">
      <c r="B23"/>
    </row>
    <row r="24" spans="2:16" outlineLevel="1">
      <c r="B24"/>
    </row>
    <row r="25" spans="2:16" outlineLevel="1">
      <c r="B25"/>
    </row>
    <row r="26" spans="2:16" outlineLevel="1">
      <c r="B26"/>
    </row>
    <row r="27" spans="2:16" outlineLevel="1">
      <c r="B27"/>
    </row>
    <row r="28" spans="2:16" outlineLevel="1">
      <c r="B28"/>
    </row>
    <row r="29" spans="2:16" outlineLevel="1">
      <c r="B29"/>
    </row>
    <row r="30" spans="2:16" outlineLevel="1">
      <c r="B30"/>
    </row>
    <row r="31" spans="2:16" ht="15.5" outlineLevel="1">
      <c r="B31"/>
      <c r="C31" s="38" t="s">
        <v>464</v>
      </c>
      <c r="D31" s="233" t="s">
        <v>465</v>
      </c>
    </row>
    <row r="32" spans="2:16" ht="15.5" outlineLevel="1">
      <c r="B32"/>
      <c r="C32" s="38" t="s">
        <v>545</v>
      </c>
      <c r="D32" s="91" t="s">
        <v>66</v>
      </c>
      <c r="P32" s="78"/>
    </row>
    <row r="33" spans="1:22" outlineLevel="1">
      <c r="B33"/>
    </row>
    <row r="34" spans="1:22" ht="15.5" outlineLevel="1">
      <c r="B34"/>
      <c r="C34" s="38" t="s">
        <v>466</v>
      </c>
      <c r="D34" s="38" t="s">
        <v>140</v>
      </c>
      <c r="E34" s="38" t="s">
        <v>80</v>
      </c>
      <c r="F34" s="38" t="s">
        <v>89</v>
      </c>
      <c r="G34" s="38" t="s">
        <v>82</v>
      </c>
      <c r="H34" s="38" t="s">
        <v>92</v>
      </c>
      <c r="I34" s="38" t="s">
        <v>383</v>
      </c>
      <c r="J34" s="38" t="s">
        <v>98</v>
      </c>
      <c r="K34" s="38" t="s">
        <v>467</v>
      </c>
    </row>
    <row r="35" spans="1:22" ht="15.5" outlineLevel="1">
      <c r="B35"/>
      <c r="C35" s="75" t="str">
        <f>$L$45</f>
        <v>VDO 2022-23 - Final</v>
      </c>
      <c r="D35" s="92">
        <f>INDEX(CostStackCalcs_SME_2[[Ausnet]:[Average]],MATCH(D$34,CostStackCalcs_SME_2[Labels],0),MATCH($D$31,CostStackCalcs_SME_2[[#Headers],[Ausnet]:[Average]],0))</f>
        <v>1478.4407342337936</v>
      </c>
      <c r="E35" s="92">
        <f>INDEX(CostStackCalcs_SME_2[[Ausnet]:[Average]],MATCH(E$34,CostStackCalcs_SME_2[[Labels]:[Labels]],0),MATCH($D$31,CostStackCalcs_SME_2[[#Headers],[Ausnet]:[Average]],0))</f>
        <v>2497.0752571067069</v>
      </c>
      <c r="F35" s="92">
        <f>INDEX(CostStackCalcs_SME_2[[Ausnet]:[Average]],MATCH(F$34,CostStackCalcs_SME_2[[Labels]:[Labels]],0),MATCH($D$31,CostStackCalcs_SME_2[[#Headers],[Ausnet]:[Average]],0))</f>
        <v>187.35930628726288</v>
      </c>
      <c r="G35" s="92">
        <f>INDEX(CostStackCalcs_SME_2[[Ausnet]:[Average]],MATCH("Environmental schemes",CostStackCalcs_SME_2[[Labels]:[Labels]],0),MATCH($D$31,CostStackCalcs_SME_2[[#Headers],[Ausnet]:[Average]],0))+
INDEX(CostStackCalcs_SME_2[[Ausnet]:[Average]],MATCH("FiT",CostStackCalcs_SME_2[[Labels]:[Labels]],0),MATCH($D$31,CostStackCalcs_SME_2[[#Headers],[Ausnet]:[Average]],0))+
IF(INDEX(CostStackCalcs_SME_2[[Ausnet]:[Average]],MATCH("Environmental true up",CostStackCalcs_SME_2[[Labels]:[Labels]],0),MATCH($D$31,CostStackCalcs_SME_2[[#Headers],[Ausnet]:[Average]],0))="-",0,
INDEX(CostStackCalcs_SME_2[[Ausnet]:[Average]],MATCH("Environmental true up",CostStackCalcs_SME_2[[Labels]:[Labels]],0),MATCH($D$31,CostStackCalcs_SME_2[[#Headers],[Ausnet]:[Average]],0)))</f>
        <v>624.19112178561375</v>
      </c>
      <c r="H35" s="92">
        <f>INDEX(CostStackCalcs_SME_2[[Ausnet]:[Average]],MATCH(H$34,CostStackCalcs_SME_2[[Labels]:[Labels]],0),MATCH($D$31,CostStackCalcs_SME_2[[#Headers],[Ausnet]:[Average]],0))</f>
        <v>32.366540084929895</v>
      </c>
      <c r="I35" s="92">
        <f>INDEX(CostStackCalcs_SME_2[[Ausnet]:[Average]],MATCH(I$34,CostStackCalcs_SME_2[[Labels]:[Labels]],0),MATCH($D$31,CostStackCalcs_SME_2[[#Headers],[Ausnet]:[Average]],0))</f>
        <v>290.57751698509628</v>
      </c>
      <c r="J35" s="92">
        <f>INDEX(CostStackCalcs_SME_2[[Ausnet]:[Average]],MATCH(J$34,CostStackCalcs_SME_2[[Labels]:[Labels]],0),MATCH($D$31,CostStackCalcs_SME_2[[#Headers],[Ausnet]:[Average]],0))</f>
        <v>510.14635597847047</v>
      </c>
      <c r="K35" s="92">
        <f>INDEX(CostStackCalcs_SME_2[[Ausnet]:[Average]],MATCH(K$34,CostStackCalcs_SME_2[[Labels]:[Labels]],0),MATCH($D$31,CostStackCalcs_SME_2[[#Headers],[Ausnet]:[Average]],0))</f>
        <v>5620</v>
      </c>
      <c r="M35" s="21">
        <f>IF(OR(ROUNDUP(SUM(D35:J35),0)-K35&lt;1,ROUNDUP(SUM(D35:J35),0)-K35&gt;-1),0,1)</f>
        <v>0</v>
      </c>
    </row>
    <row r="36" spans="1:22" ht="15.5" outlineLevel="1">
      <c r="B36"/>
      <c r="C36" s="75" t="str">
        <f>$D$45</f>
        <v>VDO 2023-24 - Final</v>
      </c>
      <c r="D36" s="92">
        <f>INDEX(CostStackCalcs_SME_1[[Ausnet]:[Average]],MATCH(D$34,CostStackCalcs_SME_1[[Labels]:[Labels]],0),MATCH($D$31,CostStackCalcs_SME_1[[#Headers],[Ausnet]:[Average]],0))</f>
        <v>2715.1030692508061</v>
      </c>
      <c r="E36" s="92">
        <f>INDEX(CostStackCalcs_SME_1[[Ausnet]:[Average]],MATCH(E$34,CostStackCalcs_SME_1[[Labels]:[Labels]],0),MATCH($D$31,CostStackCalcs_SME_1[[#Headers],[Ausnet]:[Average]],0))</f>
        <v>2591.2946225901419</v>
      </c>
      <c r="F36" s="92">
        <f>INDEX(CostStackCalcs_SME_1[[Ausnet]:[Average]],MATCH(F$34,CostStackCalcs_SME_1[[Labels]:[Labels]],0),MATCH($D$31,CostStackCalcs_SME_1[[#Headers],[Ausnet]:[Average]],0))</f>
        <v>175.92415101117138</v>
      </c>
      <c r="G36" s="92">
        <f>INDEX(CostStackCalcs_SME_1[[Ausnet]:[Average]],MATCH("Environmental schemes",CostStackCalcs_SME_1[[Labels]:[Labels]],0),MATCH($D$31,CostStackCalcs_SME_1[[#Headers],[Ausnet]:[Average]],0))+
INDEX(CostStackCalcs_SME_1[[Ausnet]:[Average]],MATCH("FiT",CostStackCalcs_SME_1[[Labels]:[Labels]],0),MATCH($D$31,CostStackCalcs_SME_1[[#Headers],[Ausnet]:[Average]],0))+
IF(INDEX(CostStackCalcs_SME_1[[Ausnet]:[Average]],MATCH("Environmental true up",CostStackCalcs_SME_1[[Labels]:[Labels]],0),MATCH($D$31,CostStackCalcs_SME_1[[#Headers],[Ausnet]:[Average]],0))="-",0,
INDEX(CostStackCalcs_SME_1[[Ausnet]:[Average]],MATCH("Environmental true up",CostStackCalcs_SME_1[[Labels]:[Labels]],0),MATCH($D$31,CostStackCalcs_SME_1[[#Headers],[Ausnet]:[Average]],0)))</f>
        <v>590.69864173489839</v>
      </c>
      <c r="H36" s="92">
        <f>INDEX(CostStackCalcs_SME_1[[Ausnet]:[Average]],MATCH(H$34,CostStackCalcs_SME_1[[Labels]:[Labels]],0),MATCH($D$31,CostStackCalcs_SME_1[[#Headers],[Ausnet]:[Average]],0))</f>
        <v>46.223038179639317</v>
      </c>
      <c r="I36" s="92">
        <f>INDEX(CostStackCalcs_SME_1[[Ausnet]:[Average]],MATCH(I$34,CostStackCalcs_SME_1[[Labels]:[Labels]],0),MATCH($D$31,CostStackCalcs_SME_1[[#Headers],[Ausnet]:[Average]],0))</f>
        <v>344.26486474355988</v>
      </c>
      <c r="J36" s="92">
        <f>INDEX(CostStackCalcs_SME_1[[Ausnet]:[Average]],MATCH(J$34,CostStackCalcs_SME_1[[Labels]:[Labels]],0),MATCH($D$31,CostStackCalcs_SME_1[[#Headers],[Ausnet]:[Average]],0))</f>
        <v>649.1851735164272</v>
      </c>
      <c r="K36" s="92">
        <f>INDEX(CostStackCalcs_SME_1[[Ausnet]:[Average]],MATCH(K$34,CostStackCalcs_SME_1[[Labels]:[Labels]],0),MATCH($D$31,CostStackCalcs_SME_1[[#Headers],[Ausnet]:[Average]],0))</f>
        <v>7113</v>
      </c>
      <c r="M36" s="21">
        <f>IF(OR(ROUNDUP(SUM(D36:J36),0)-K36&lt;1,ROUNDUP(SUM(D36:J36),0)-K36&gt;-1),0,1)</f>
        <v>0</v>
      </c>
    </row>
    <row r="37" spans="1:22" outlineLevel="1">
      <c r="B37"/>
      <c r="M37" s="101"/>
      <c r="N37" s="100"/>
    </row>
    <row r="38" spans="1:22" outlineLevel="1">
      <c r="B38"/>
      <c r="C38" s="75" t="str">
        <f>$L$45</f>
        <v>VDO 2022-23 - Final</v>
      </c>
      <c r="D38" s="97">
        <f>D35/$K35</f>
        <v>0.2630677463049455</v>
      </c>
      <c r="E38" s="97">
        <f t="shared" ref="E38:K39" si="0">E35/$K35</f>
        <v>0.44431944076631796</v>
      </c>
      <c r="F38" s="97">
        <f t="shared" si="0"/>
        <v>3.3337954855384856E-2</v>
      </c>
      <c r="G38" s="97">
        <f t="shared" si="0"/>
        <v>0.11106603590491347</v>
      </c>
      <c r="H38" s="97">
        <f t="shared" si="0"/>
        <v>5.7591708336174191E-3</v>
      </c>
      <c r="I38" s="97">
        <f t="shared" si="0"/>
        <v>5.1704184516921048E-2</v>
      </c>
      <c r="J38" s="97">
        <f t="shared" si="0"/>
        <v>9.0773372949905784E-2</v>
      </c>
      <c r="K38" s="97">
        <f t="shared" si="0"/>
        <v>1</v>
      </c>
    </row>
    <row r="39" spans="1:22" outlineLevel="1">
      <c r="B39"/>
      <c r="C39" s="75" t="str">
        <f>$D$45</f>
        <v>VDO 2023-24 - Final</v>
      </c>
      <c r="D39" s="97">
        <f>D36/$K36</f>
        <v>0.38170997740064755</v>
      </c>
      <c r="E39" s="97">
        <f>E36/$K36</f>
        <v>0.36430403804163392</v>
      </c>
      <c r="F39" s="97">
        <f t="shared" si="0"/>
        <v>2.4732764095483112E-2</v>
      </c>
      <c r="G39" s="97">
        <f>G36/$K36</f>
        <v>8.3044937682398193E-2</v>
      </c>
      <c r="H39" s="97">
        <f t="shared" si="0"/>
        <v>6.498388609537371E-3</v>
      </c>
      <c r="I39" s="97">
        <f t="shared" si="0"/>
        <v>4.8399390516457176E-2</v>
      </c>
      <c r="J39" s="97">
        <f t="shared" si="0"/>
        <v>9.1267422116747821E-2</v>
      </c>
      <c r="K39" s="97">
        <f t="shared" si="0"/>
        <v>1</v>
      </c>
    </row>
    <row r="40" spans="1:22" ht="15.5" outlineLevel="1">
      <c r="B40"/>
      <c r="C40" s="26" t="s">
        <v>546</v>
      </c>
      <c r="D40" s="97">
        <f>(D36-D35)/D35</f>
        <v>0.8364639220103175</v>
      </c>
      <c r="E40" s="97">
        <f t="shared" ref="E40:K40" si="1">(E36-E35)/E35</f>
        <v>3.7731888622613813E-2</v>
      </c>
      <c r="F40" s="97">
        <f t="shared" si="1"/>
        <v>-6.1033292141671934E-2</v>
      </c>
      <c r="G40" s="97">
        <f>(G36-G35)/G35</f>
        <v>-5.3657411779430543E-2</v>
      </c>
      <c r="H40" s="97">
        <f t="shared" si="1"/>
        <v>0.42811181109719887</v>
      </c>
      <c r="I40" s="97">
        <f t="shared" si="1"/>
        <v>0.18476084562735534</v>
      </c>
      <c r="J40" s="97">
        <f t="shared" si="1"/>
        <v>0.27254691895481176</v>
      </c>
      <c r="K40" s="97">
        <f t="shared" si="1"/>
        <v>0.26565836298932383</v>
      </c>
    </row>
    <row r="41" spans="1:22" ht="15.5" outlineLevel="1">
      <c r="B41"/>
      <c r="C41" s="26" t="s">
        <v>547</v>
      </c>
      <c r="D41" s="97">
        <f t="shared" ref="D41:J41" si="2">D38*D40</f>
        <v>0.22004667882864992</v>
      </c>
      <c r="E41" s="97">
        <f t="shared" si="2"/>
        <v>1.6765011651856766E-2</v>
      </c>
      <c r="F41" s="97">
        <f t="shared" si="2"/>
        <v>-2.0347251380945742E-3</v>
      </c>
      <c r="G41" s="97">
        <f t="shared" si="2"/>
        <v>-5.9595160232589596E-3</v>
      </c>
      <c r="H41" s="97">
        <f t="shared" si="2"/>
        <v>2.465569055998118E-3</v>
      </c>
      <c r="I41" s="97">
        <f t="shared" si="2"/>
        <v>9.5529088538191462E-3</v>
      </c>
      <c r="J41" s="97">
        <f t="shared" si="2"/>
        <v>2.4740003120632875E-2</v>
      </c>
      <c r="K41" s="97">
        <f>SUM(D41:J41)</f>
        <v>0.26557593034960331</v>
      </c>
      <c r="M41" s="21">
        <f>IF(ROUND(K41,2)=ROUND(K40,2),0,1)</f>
        <v>0</v>
      </c>
    </row>
    <row r="42" spans="1:22">
      <c r="B42"/>
      <c r="K42" s="100"/>
      <c r="L42" s="101"/>
    </row>
    <row r="43" spans="1:22" ht="16" thickBot="1">
      <c r="A43" s="1" t="s">
        <v>18</v>
      </c>
      <c r="B43" s="216">
        <f ca="1">MAX(B$3:B42)+0.01</f>
        <v>8.02</v>
      </c>
      <c r="C43" s="25" t="str">
        <f>"VDO cost stack calcs - Flat VDO - "&amp;IF(ISNUMBER(SEARCH("Residential",$C$48)),"Residential","Small business")</f>
        <v>VDO cost stack calcs - Flat VDO - Small business</v>
      </c>
      <c r="D43" s="25"/>
      <c r="E43" s="25"/>
      <c r="F43" s="25"/>
      <c r="G43" s="25"/>
      <c r="H43" s="25"/>
      <c r="I43" s="25"/>
      <c r="J43" s="25"/>
      <c r="K43" s="25"/>
      <c r="L43" s="25"/>
      <c r="M43" s="25"/>
      <c r="N43" s="25"/>
      <c r="O43" s="25"/>
      <c r="P43" s="25"/>
      <c r="Q43" s="25"/>
      <c r="R43" s="25"/>
    </row>
    <row r="44" spans="1:22" outlineLevel="1">
      <c r="V44" s="97"/>
    </row>
    <row r="45" spans="1:22" ht="15.5" outlineLevel="1">
      <c r="C45" s="49" t="s">
        <v>31</v>
      </c>
      <c r="D45" s="37" t="str">
        <f>FY</f>
        <v>VDO 2023-24 - Final</v>
      </c>
      <c r="K45" s="49" t="s">
        <v>31</v>
      </c>
      <c r="L45" s="37" t="str">
        <f>PY</f>
        <v>VDO 2022-23 - Final</v>
      </c>
    </row>
    <row r="46" spans="1:22" ht="15.5" outlineLevel="1">
      <c r="C46" s="26"/>
      <c r="K46" s="26"/>
    </row>
    <row r="47" spans="1:22" ht="15.5" outlineLevel="1">
      <c r="C47" s="38" t="s">
        <v>165</v>
      </c>
      <c r="D47" s="45" t="s">
        <v>548</v>
      </c>
      <c r="F47" s="26"/>
      <c r="K47" s="38" t="s">
        <v>165</v>
      </c>
      <c r="L47" s="45" t="s">
        <v>548</v>
      </c>
    </row>
    <row r="48" spans="1:22" outlineLevel="1">
      <c r="C48" s="218" t="s">
        <v>169</v>
      </c>
      <c r="D48" s="219">
        <f>INDEX(Input_Usage[#Data],MATCH(C48&amp;" - Annual",Input_Usage[Ref],0),MATCH($D$45,[1]Inputs!$C$140:$Q$140,0))</f>
        <v>20000</v>
      </c>
      <c r="K48" s="75" t="str">
        <f>$C$48</f>
        <v>Small business - medium</v>
      </c>
      <c r="L48" s="219">
        <f>INDEX(Input_Usage[#Data],MATCH(K48&amp;" - Annual",Input_Usage[Ref],0),MATCH($L$45,[1]Inputs!$C$140:$Q$140,0))</f>
        <v>20000</v>
      </c>
    </row>
    <row r="49" spans="3:24" ht="15.5" outlineLevel="1">
      <c r="C49" s="26"/>
      <c r="K49" s="26"/>
    </row>
    <row r="50" spans="3:24" ht="15.5" outlineLevel="1">
      <c r="C50" s="38" t="s">
        <v>67</v>
      </c>
      <c r="D50" s="219">
        <f>INDEX(Input_Usage[#Data],MATCH(C$48&amp;" - "&amp;C50,Input_Usage[Ref],0),MATCH(D$45,[1]Inputs!$C$140:$Q$140,0))</f>
        <v>4080</v>
      </c>
      <c r="G50" s="49" t="s">
        <v>501</v>
      </c>
      <c r="H50" s="75" t="str">
        <f>INDEX(Input_DecisionActual[Decision],MATCH(H51,Input_DecisionActual[Actual],0),1)</f>
        <v>VDO 2022-23 - Final</v>
      </c>
      <c r="I50" s="69">
        <f>INDEX(Input_TU_Periods[#Data],1,MATCH(H50,[1]Inputs!$C$244:$N$244,0))</f>
        <v>365</v>
      </c>
      <c r="K50" s="38" t="s">
        <v>67</v>
      </c>
      <c r="L50" s="219">
        <f>INDEX(Input_Usage[#Data],MATCH(K$48&amp;" - "&amp;K50,Input_Usage[Ref],0),MATCH(L$45,[1]Inputs!$C$140:$Q$140,0))</f>
        <v>4080</v>
      </c>
      <c r="O50" s="49" t="s">
        <v>501</v>
      </c>
      <c r="P50" s="75" t="str">
        <f>INDEX(Input_DecisionActual[Decision],MATCH(P51,Input_DecisionActual[Actual],0),1)</f>
        <v>VDO 2022 - Final</v>
      </c>
      <c r="Q50" s="69">
        <f>INDEX(Input_TU_Periods[#Data],1,MATCH(P50,[1]Inputs!$C$244:$N$244,0))</f>
        <v>365</v>
      </c>
    </row>
    <row r="51" spans="3:24" ht="15.5" outlineLevel="1">
      <c r="C51" s="38" t="s">
        <v>69</v>
      </c>
      <c r="D51" s="219">
        <f>INDEX(Input_Usage[#Data],MATCH(C$48&amp;" - "&amp;C51,Input_Usage[Ref],0),MATCH(D$45,[1]Inputs!$C$140:$Q$140,0))</f>
        <v>15920</v>
      </c>
      <c r="G51" s="49" t="s">
        <v>549</v>
      </c>
      <c r="H51" s="75" t="str">
        <f>D45</f>
        <v>VDO 2023-24 - Final</v>
      </c>
      <c r="I51" s="69">
        <f>INDEX(Input_TU_Periods[#Data],2,MATCH(H51,[1]Inputs!$C$244:$N$244,0))</f>
        <v>366</v>
      </c>
      <c r="K51" s="38" t="s">
        <v>69</v>
      </c>
      <c r="L51" s="219">
        <f>INDEX(Input_Usage[#Data],MATCH(K$48&amp;" - "&amp;K51,Input_Usage[Ref],0),MATCH(L$45,[1]Inputs!$C$140:$Q$140,0))</f>
        <v>15920</v>
      </c>
      <c r="O51" s="49" t="s">
        <v>549</v>
      </c>
      <c r="P51" s="75" t="str">
        <f>L45</f>
        <v>VDO 2022-23 - Final</v>
      </c>
      <c r="Q51" s="69">
        <f>INDEX(Input_TU_Periods[#Data],2,MATCH(P51,[1]Inputs!$C$244:$N$244,0))</f>
        <v>365</v>
      </c>
    </row>
    <row r="52" spans="3:24" ht="15.5" outlineLevel="1">
      <c r="C52" s="26"/>
      <c r="D52" s="95"/>
      <c r="G52" s="49" t="s">
        <v>270</v>
      </c>
      <c r="I52" s="177">
        <f>I50/I51</f>
        <v>0.99726775956284153</v>
      </c>
      <c r="K52" s="26"/>
      <c r="O52" s="49" t="s">
        <v>270</v>
      </c>
      <c r="Q52" s="177">
        <f>Q50/Q51</f>
        <v>1</v>
      </c>
    </row>
    <row r="53" spans="3:24" ht="15.5" outlineLevel="1">
      <c r="C53" s="26"/>
      <c r="D53" s="95"/>
      <c r="K53" s="26"/>
    </row>
    <row r="54" spans="3:24" ht="15.5" outlineLevel="1">
      <c r="C54" s="39" t="s">
        <v>550</v>
      </c>
      <c r="D54" s="54" t="s">
        <v>58</v>
      </c>
      <c r="E54" s="54" t="s">
        <v>59</v>
      </c>
      <c r="F54" s="54" t="s">
        <v>60</v>
      </c>
      <c r="G54" s="54" t="s">
        <v>61</v>
      </c>
      <c r="H54" s="54" t="s">
        <v>62</v>
      </c>
      <c r="I54" s="54" t="s">
        <v>465</v>
      </c>
      <c r="K54" s="39" t="s">
        <v>550</v>
      </c>
      <c r="L54" s="54" t="s">
        <v>58</v>
      </c>
      <c r="M54" s="54" t="s">
        <v>59</v>
      </c>
      <c r="N54" s="54" t="s">
        <v>60</v>
      </c>
      <c r="O54" s="54" t="s">
        <v>61</v>
      </c>
      <c r="P54" s="54" t="s">
        <v>62</v>
      </c>
      <c r="Q54" s="54" t="s">
        <v>465</v>
      </c>
    </row>
    <row r="55" spans="3:24" outlineLevel="1">
      <c r="C55" s="20" t="s">
        <v>140</v>
      </c>
      <c r="D55" s="220">
        <f>D$86*($D$48*(1+D$72))</f>
        <v>2790.8966814754472</v>
      </c>
      <c r="E55" s="220">
        <f>E$86*($D$48*(1+E$72))</f>
        <v>2643.4975167626076</v>
      </c>
      <c r="F55" s="220">
        <f>F$86*($D$48*(1+F$72))</f>
        <v>2722.3124931869756</v>
      </c>
      <c r="G55" s="220">
        <f>G$86*($D$48*(1+G$72))</f>
        <v>2688.8836631086479</v>
      </c>
      <c r="H55" s="220">
        <f>H$86*($D$48*(1+H$72))</f>
        <v>2729.9249917203547</v>
      </c>
      <c r="I55" s="221">
        <f>AVERAGE(D55:H55)</f>
        <v>2715.1030692508061</v>
      </c>
      <c r="K55" s="20" t="s">
        <v>140</v>
      </c>
      <c r="L55" s="220">
        <f>L$86*($L$48*(1+L$72))</f>
        <v>1523.8619102749883</v>
      </c>
      <c r="M55" s="220">
        <f>M$86*($L$48*(1+M$72))</f>
        <v>1479.0367936224</v>
      </c>
      <c r="N55" s="220">
        <f>N$86*($L$48*(1+N$72))</f>
        <v>1438.84632017025</v>
      </c>
      <c r="O55" s="220">
        <f>O$86*($L$48*(1+O$72))</f>
        <v>1498.8253876302902</v>
      </c>
      <c r="P55" s="220">
        <f>P$86*($L$48*(1+P$72))</f>
        <v>1451.6332594710393</v>
      </c>
      <c r="Q55" s="221">
        <f>AVERAGE(L55:P55)</f>
        <v>1478.4407342337936</v>
      </c>
      <c r="U55" s="222"/>
      <c r="V55" s="223"/>
    </row>
    <row r="56" spans="3:24" outlineLevel="1">
      <c r="C56" s="20" t="s">
        <v>80</v>
      </c>
      <c r="D56" s="220">
        <f>D$77+(D$91*$D$50)+(D$92*$D$51)+(D$93*$D$48)</f>
        <v>4258.48243177124</v>
      </c>
      <c r="E56" s="220">
        <f>E$77+(E$91*$D$50)+(E$92*$D$51)+(E$93*$D$48)</f>
        <v>1849.759895686956</v>
      </c>
      <c r="F56" s="220">
        <f>F$77+(F$91*$D$50)+(F$92*$D$51)+(F$93*$D$48)</f>
        <v>2574.6703427550437</v>
      </c>
      <c r="G56" s="220">
        <f>G$77+(G$91*$D$50)+(G$92*$D$51)+(G$93*$D$48)</f>
        <v>2208.2371551055203</v>
      </c>
      <c r="H56" s="220">
        <f>H$77+(H$91*$D$50)+(H$92*$D$51)+(H$93*$D$48)</f>
        <v>2065.323287631948</v>
      </c>
      <c r="I56" s="221">
        <f t="shared" ref="I56:I63" si="3">AVERAGE(D56:H56)</f>
        <v>2591.2946225901419</v>
      </c>
      <c r="K56" s="20" t="s">
        <v>80</v>
      </c>
      <c r="L56" s="220">
        <f>L$77+(L$91*$L$50)+(L$92*$L$51)+(L$93*$L$48)</f>
        <v>4182.1048116739839</v>
      </c>
      <c r="M56" s="220">
        <f>M$77+(M$91*$L$50)+(M$92*$L$51)+(M$93*$L$48)</f>
        <v>1831.8590691773436</v>
      </c>
      <c r="N56" s="220">
        <f>N$77+(N$91*$L$50)+(N$92*$L$51)+(N$93*$L$48)</f>
        <v>2369.6630124341132</v>
      </c>
      <c r="O56" s="220">
        <f>O$77+(O$91*$L$50)+(O$92*$L$51)+(O$93*$L$48)</f>
        <v>2100.1321314059687</v>
      </c>
      <c r="P56" s="220">
        <f>P$77+(P$91*$L$50)+(P$92*$L$51)+(P$93*$L$48)</f>
        <v>2001.6172608421248</v>
      </c>
      <c r="Q56" s="221">
        <f t="shared" ref="Q56:Q63" si="4">AVERAGE(L56:P56)</f>
        <v>2497.0752571067069</v>
      </c>
      <c r="T56" s="100"/>
      <c r="U56" s="222"/>
      <c r="V56" s="223"/>
      <c r="X56" s="78"/>
    </row>
    <row r="57" spans="3:24" outlineLevel="1">
      <c r="C57" s="20" t="s">
        <v>89</v>
      </c>
      <c r="D57" s="220">
        <f>D$75</f>
        <v>175.92415101117138</v>
      </c>
      <c r="E57" s="220">
        <f>E$75</f>
        <v>175.92415101117138</v>
      </c>
      <c r="F57" s="220">
        <f>F$75</f>
        <v>175.92415101117138</v>
      </c>
      <c r="G57" s="220">
        <f>G$75</f>
        <v>175.92415101117138</v>
      </c>
      <c r="H57" s="220">
        <f>H$75</f>
        <v>175.92415101117138</v>
      </c>
      <c r="I57" s="221">
        <f t="shared" si="3"/>
        <v>175.92415101117138</v>
      </c>
      <c r="K57" s="20" t="s">
        <v>89</v>
      </c>
      <c r="L57" s="220">
        <f>L$75</f>
        <v>187.35930628726288</v>
      </c>
      <c r="M57" s="220">
        <f>M$75</f>
        <v>187.35930628726288</v>
      </c>
      <c r="N57" s="220">
        <f>N$75</f>
        <v>187.35930628726288</v>
      </c>
      <c r="O57" s="220">
        <f>O$75</f>
        <v>187.35930628726288</v>
      </c>
      <c r="P57" s="220">
        <f>P$75</f>
        <v>187.35930628726288</v>
      </c>
      <c r="Q57" s="221">
        <f t="shared" si="4"/>
        <v>187.35930628726288</v>
      </c>
      <c r="U57" s="222"/>
      <c r="V57" s="223"/>
      <c r="X57" s="78"/>
    </row>
    <row r="58" spans="3:24" outlineLevel="1">
      <c r="C58" s="20" t="s">
        <v>469</v>
      </c>
      <c r="D58" s="220">
        <f>(D$84*($D$48*(1+D$72)))</f>
        <v>617.2176194938005</v>
      </c>
      <c r="E58" s="220">
        <f>(E$84*($D$48*(1+E$72)))</f>
        <v>594.22725547788264</v>
      </c>
      <c r="F58" s="220">
        <f>(F$84*($D$48*(1+F$72)))</f>
        <v>594.43389367517364</v>
      </c>
      <c r="G58" s="220">
        <f>(G$84*($D$48*(1+G$72)))</f>
        <v>609.26311548751096</v>
      </c>
      <c r="H58" s="220">
        <f>(H$84*($D$48*(1+H$72)))</f>
        <v>595.34020023618086</v>
      </c>
      <c r="I58" s="221">
        <f t="shared" si="3"/>
        <v>602.09641687410965</v>
      </c>
      <c r="K58" s="20" t="s">
        <v>469</v>
      </c>
      <c r="L58" s="220">
        <f>(L$84*($L$48*(1+L$72)))</f>
        <v>612.75563802260888</v>
      </c>
      <c r="M58" s="220">
        <f>(M$84*($L$48*(1+M$72)))</f>
        <v>594.31030195317339</v>
      </c>
      <c r="N58" s="220">
        <f>(N$84*($L$48*(1+N$72)))</f>
        <v>589.25207954558266</v>
      </c>
      <c r="O58" s="220">
        <f>(O$84*($L$48*(1+O$72)))</f>
        <v>607.3329403083668</v>
      </c>
      <c r="P58" s="220">
        <f>(P$84*($L$48*(1+P$72)))</f>
        <v>592.69346313269534</v>
      </c>
      <c r="Q58" s="221">
        <f>AVERAGE(L58:P58)</f>
        <v>599.26888459248539</v>
      </c>
      <c r="U58" s="222"/>
      <c r="V58" s="223"/>
      <c r="X58" s="78"/>
    </row>
    <row r="59" spans="3:24" outlineLevel="1">
      <c r="C59" s="20" t="s">
        <v>470</v>
      </c>
      <c r="D59" s="220">
        <f>D81</f>
        <v>16.945572514842485</v>
      </c>
      <c r="E59" s="220">
        <f>E81</f>
        <v>16.945572514842485</v>
      </c>
      <c r="F59" s="220">
        <f>F81</f>
        <v>16.945572514842485</v>
      </c>
      <c r="G59" s="220">
        <f>G81</f>
        <v>16.945572514842485</v>
      </c>
      <c r="H59" s="220">
        <f>H81</f>
        <v>16.945572514842485</v>
      </c>
      <c r="I59" s="221">
        <f>AVERAGE(D59:H59)</f>
        <v>16.945572514842485</v>
      </c>
      <c r="K59" s="20" t="s">
        <v>470</v>
      </c>
      <c r="L59" s="220">
        <f>L81</f>
        <v>16.375320494428642</v>
      </c>
      <c r="M59" s="220">
        <f t="shared" ref="M59:P59" si="5">M81</f>
        <v>16.375320494428642</v>
      </c>
      <c r="N59" s="220">
        <f t="shared" si="5"/>
        <v>16.375320494428642</v>
      </c>
      <c r="O59" s="220">
        <f t="shared" si="5"/>
        <v>16.375320494428642</v>
      </c>
      <c r="P59" s="220">
        <f t="shared" si="5"/>
        <v>16.375320494428642</v>
      </c>
      <c r="Q59" s="221">
        <f>AVERAGE(L59:P59)</f>
        <v>16.375320494428642</v>
      </c>
      <c r="U59" s="222"/>
      <c r="V59" s="223"/>
    </row>
    <row r="60" spans="3:24" outlineLevel="1">
      <c r="C60" s="20" t="s">
        <v>92</v>
      </c>
      <c r="D60" s="220">
        <f>D$79+(D$88*($D$48*(1+D$72)))</f>
        <v>47.116078798908916</v>
      </c>
      <c r="E60" s="220">
        <f>E$79+(E$88*($D$48*(1+E$72)))</f>
        <v>45.758294670596726</v>
      </c>
      <c r="F60" s="220">
        <f>F$79+(F$88*($D$48*(1+F$72)))</f>
        <v>45.770498481914842</v>
      </c>
      <c r="G60" s="220">
        <f>G$79+(G$88*($D$48*(1+G$72)))</f>
        <v>46.646295054690796</v>
      </c>
      <c r="H60" s="220">
        <f>H$79+(H$88*($D$48*(1+H$72)))</f>
        <v>45.824023892085322</v>
      </c>
      <c r="I60" s="221">
        <f t="shared" si="3"/>
        <v>46.223038179639317</v>
      </c>
      <c r="K60" s="20" t="s">
        <v>92</v>
      </c>
      <c r="L60" s="220">
        <f>L$79+(L$88*($L$48*(1+L$72)))</f>
        <v>33.002255022904471</v>
      </c>
      <c r="M60" s="220">
        <f>M$79+(M$88*($L$48*(1+M$72)))</f>
        <v>32.132811109952762</v>
      </c>
      <c r="N60" s="220">
        <f>N$79+(N$88*($L$48*(1+N$72)))</f>
        <v>31.894385490268711</v>
      </c>
      <c r="O60" s="220">
        <f>O$79+(O$88*($L$48*(1+O$72)))</f>
        <v>32.746649405220047</v>
      </c>
      <c r="P60" s="220">
        <f>P$79+(P$88*($L$48*(1+P$72)))</f>
        <v>32.056599396303476</v>
      </c>
      <c r="Q60" s="221">
        <f t="shared" si="4"/>
        <v>32.366540084929895</v>
      </c>
      <c r="U60" s="222"/>
      <c r="V60" s="223"/>
    </row>
    <row r="61" spans="3:24" outlineLevel="1">
      <c r="C61" s="20" t="s">
        <v>383</v>
      </c>
      <c r="D61" s="220">
        <f>SUM(D55:D60)*D$70</f>
        <v>442.76862196366301</v>
      </c>
      <c r="E61" s="220">
        <f>SUM(E55:E60)*E$70</f>
        <v>298.26231042294728</v>
      </c>
      <c r="F61" s="220">
        <f>SUM(F55:F60)*F$70</f>
        <v>343.28318929100681</v>
      </c>
      <c r="G61" s="220">
        <f>SUM(G55:G60)*G$70</f>
        <v>321.7703973278135</v>
      </c>
      <c r="H61" s="220">
        <f>SUM(H55:H60)*H$70</f>
        <v>315.23980471236871</v>
      </c>
      <c r="I61" s="221">
        <f t="shared" si="3"/>
        <v>344.26486474355988</v>
      </c>
      <c r="K61" s="20" t="s">
        <v>383</v>
      </c>
      <c r="L61" s="220">
        <f>SUM(L55:L60)*L$70</f>
        <v>395.94973820328107</v>
      </c>
      <c r="M61" s="220">
        <f>SUM(M55:M60)*M$70</f>
        <v>250.1208455997315</v>
      </c>
      <c r="N61" s="220">
        <f>SUM(N55:N60)*N$70</f>
        <v>279.85678163508317</v>
      </c>
      <c r="O61" s="220">
        <f>SUM(O55:O60)*O$70</f>
        <v>268.34341282610484</v>
      </c>
      <c r="P61" s="220">
        <f>SUM(P55:P60)*P$70</f>
        <v>258.6168066612808</v>
      </c>
      <c r="Q61" s="221">
        <f t="shared" si="4"/>
        <v>290.57751698509628</v>
      </c>
      <c r="U61" s="222"/>
      <c r="V61" s="223"/>
    </row>
    <row r="62" spans="3:24" outlineLevel="1">
      <c r="C62" s="20" t="s">
        <v>98</v>
      </c>
      <c r="D62" s="220">
        <f>SUM(D55:D61)*GST</f>
        <v>834.93511570290741</v>
      </c>
      <c r="E62" s="220">
        <f>SUM(E55:E61)*GST</f>
        <v>562.43749965470056</v>
      </c>
      <c r="F62" s="220">
        <f>SUM(F55:F61)*GST</f>
        <v>647.33401409161297</v>
      </c>
      <c r="G62" s="220">
        <f>SUM(G55:G61)*GST</f>
        <v>606.76703496101982</v>
      </c>
      <c r="H62" s="220">
        <f>SUM(H55:H61)*GST</f>
        <v>594.45220317189523</v>
      </c>
      <c r="I62" s="221">
        <f t="shared" si="3"/>
        <v>649.1851735164272</v>
      </c>
      <c r="K62" s="20" t="s">
        <v>98</v>
      </c>
      <c r="L62" s="220">
        <f>SUM(L55:L61)*GST</f>
        <v>695.1408979979459</v>
      </c>
      <c r="M62" s="220">
        <f>SUM(M55:M61)*GST</f>
        <v>439.11944482442925</v>
      </c>
      <c r="N62" s="220">
        <f>SUM(N55:N61)*GST</f>
        <v>491.32472060569899</v>
      </c>
      <c r="O62" s="220">
        <f>SUM(O55:O61)*GST</f>
        <v>471.11151483576424</v>
      </c>
      <c r="P62" s="220">
        <f>SUM(P55:P61)*GST</f>
        <v>454.03520162851356</v>
      </c>
      <c r="Q62" s="221">
        <f t="shared" si="4"/>
        <v>510.14635597847047</v>
      </c>
      <c r="U62" s="222"/>
      <c r="V62" s="223"/>
    </row>
    <row r="63" spans="3:24" outlineLevel="1">
      <c r="C63" s="20" t="s">
        <v>472</v>
      </c>
      <c r="D63" s="224">
        <f>(D$99*($D$50/$I$52))+(D$100*($D$51/$I$52))+(D$101*($D$48/$I$52))</f>
        <v>-28.981224492018455</v>
      </c>
      <c r="E63" s="224">
        <f>(E$99*($D$50/$I$52))+(E$100*($D$51/$I$52))+(E$101*($D$48/$I$52))</f>
        <v>-28.108823828053751</v>
      </c>
      <c r="F63" s="224">
        <f>(F$99*($D$50/$I$52))+(F$100*($D$51/$I$52))+(F$101*($D$48/$I$52))</f>
        <v>-27.869587385288408</v>
      </c>
      <c r="G63" s="224">
        <f>(G$99*($D$50/$I$52))+(G$100*($D$51/$I$52))+(G$101*($D$48/$I$52))</f>
        <v>-28.724749626579513</v>
      </c>
      <c r="H63" s="224">
        <f>(H$99*($D$50/$I$52))+(H$100*($D$51/$I$52))+(H$101*($D$48/$I$52))</f>
        <v>-28.032352938328625</v>
      </c>
      <c r="I63" s="221">
        <f t="shared" si="3"/>
        <v>-28.343347654053748</v>
      </c>
      <c r="K63" s="20" t="s">
        <v>472</v>
      </c>
      <c r="L63" s="224">
        <f>(L$99*($L$50/$Q$52))+(L$100*($L$51/$Q$52))+(L$101*($L$48/$Q$52))</f>
        <v>8.7218959409995875</v>
      </c>
      <c r="M63" s="224">
        <f>(M$99*($L$50/$Q$52))+(M$100*($L$51/$Q$52))+(M$101*($L$48/$Q$52))</f>
        <v>8.4659142304567894</v>
      </c>
      <c r="N63" s="224">
        <f>(N$99*($L$50/$Q$52))+(N$100*($L$51/$Q$52))+(N$101*($L$48/$Q$52))</f>
        <v>8.4216710642430055</v>
      </c>
      <c r="O63" s="224">
        <f>(O$99*($L$50/$Q$52))+(O$100*($L$51/$Q$52))+(O$101*($L$48/$Q$52))</f>
        <v>8.6578604103223249</v>
      </c>
      <c r="P63" s="224">
        <f>(P$99*($L$50/$Q$52))+(P$100*($L$51/$Q$52))+(P$101*($L$48/$Q$52))</f>
        <v>8.4672418474770978</v>
      </c>
      <c r="Q63" s="221">
        <f t="shared" si="4"/>
        <v>8.5469166986997607</v>
      </c>
      <c r="U63" s="222"/>
      <c r="V63" s="223"/>
    </row>
    <row r="64" spans="3:24" outlineLevel="1">
      <c r="C64" s="40" t="s">
        <v>551</v>
      </c>
      <c r="D64" s="225">
        <f>ROUNDUP(SUM(D55:D63),0)</f>
        <v>9156</v>
      </c>
      <c r="E64" s="225">
        <f>ROUNDUP(SUM(E55:E63),0)</f>
        <v>6159</v>
      </c>
      <c r="F64" s="225">
        <f>ROUNDUP(SUM(F55:F63),0)</f>
        <v>7093</v>
      </c>
      <c r="G64" s="225">
        <f>ROUNDUP(SUM(G55:G63),0)</f>
        <v>6646</v>
      </c>
      <c r="H64" s="225">
        <f>ROUNDUP(SUM(H55:H63),0)</f>
        <v>6511</v>
      </c>
      <c r="I64" s="221">
        <f>AVERAGE(D64:H64)</f>
        <v>7113</v>
      </c>
      <c r="K64" s="40" t="s">
        <v>551</v>
      </c>
      <c r="L64" s="225">
        <f>ROUNDUP(SUM(L55:L63),0)</f>
        <v>7656</v>
      </c>
      <c r="M64" s="225">
        <f>ROUNDUP(SUM(M55:M63),0)</f>
        <v>4839</v>
      </c>
      <c r="N64" s="225">
        <f>ROUNDUP(SUM(N55:N63),0)</f>
        <v>5413</v>
      </c>
      <c r="O64" s="225">
        <f>ROUNDUP(SUM(O55:O63),0)</f>
        <v>5191</v>
      </c>
      <c r="P64" s="225">
        <f>ROUNDUP(SUM(P55:P63),0)</f>
        <v>5003</v>
      </c>
      <c r="Q64" s="221">
        <f>AVERAGE(L64:P64)</f>
        <v>5620.4</v>
      </c>
      <c r="T64" s="95"/>
      <c r="U64" s="222"/>
      <c r="V64" s="223"/>
      <c r="X64" s="78"/>
    </row>
    <row r="65" spans="3:24" outlineLevel="1">
      <c r="C65" s="20"/>
      <c r="D65" s="220"/>
      <c r="E65" s="220"/>
      <c r="F65" s="220"/>
      <c r="G65" s="220"/>
      <c r="H65" s="220"/>
      <c r="I65" s="221"/>
      <c r="K65" s="20"/>
      <c r="L65" s="220"/>
      <c r="M65" s="220"/>
      <c r="N65" s="220"/>
      <c r="O65" s="220"/>
      <c r="P65" s="220"/>
      <c r="Q65" s="221"/>
      <c r="S65" s="93"/>
      <c r="V65" s="223"/>
    </row>
    <row r="66" spans="3:24" outlineLevel="1">
      <c r="C66" s="20" t="s">
        <v>467</v>
      </c>
      <c r="D66" s="221">
        <f>IF($D$32="Residential",
ROUNDUP(
(INDEX(OP_Rates_RES_1[[Ausnet]:[United Energy]],MATCH("Anytime - supply",OP_Rates_RES_1[[Rate name]:[Rate name]],0),MATCH(CostStackCalcs_RES_1[[#Headers],[Ausnet]],OP_Rates_RES_1[[#Headers],[Ausnet]:[United Energy]],0))*DiLY)+
(IFERROR((INDEX(OP_Rates_RES_1[[Ausnet]:[United Energy]],MATCH("Block 1",OP_Rates_RES_1[[Rate name]:[Rate name]],0),MATCH(CostStackCalcs_RES_1[[#Headers],[Ausnet]],OP_Rates_RES_1[[#Headers],[Ausnet]:[United Energy]],0))*$D$50),0)+
IFERROR((INDEX(OP_Rates_RES_1[[Ausnet]:[United Energy]],MATCH("Balance",OP_Rates_RES_1[[Rate name]:[Rate name]],0),MATCH(CostStackCalcs_RES_1[[#Headers],[Ausnet]],OP_Rates_RES_1[[#Headers],[Ausnet]:[United Energy]],0))*$D$51),0)+
IFERROR((INDEX(OP_Rates_RES_1[[Ausnet]:[United Energy]],MATCH("Single rate",OP_Rates_RES_1[[Rate name]:[Rate name]],0),MATCH(CostStackCalcs_RES_1[[#Headers],[Ausnet]],OP_Rates_RES_1[[#Headers],[Ausnet]:[United Energy]],0))*$D$48),0))
+
(IFERROR((INDEX(OP_RatesTU_RES_1[[Ausnet]:[United Energy]],MATCH("Block 1",OP_RatesTU_RES_1[[Rate name]:[Rate name]],0),MATCH(CostStackCalcs_RES_1[[#Headers],[Ausnet]],OP_RatesTU_RES_1[[#Headers],[Ausnet]:[United Energy]],0))*($D$50/$I$52)),0)+
IFERROR((INDEX(OP_RatesTU_RES_1[[Ausnet]:[United Energy]],MATCH("Balance",OP_RatesTU_RES_1[[Rate name]:[Rate name]],0),MATCH(CostStackCalcs_RES_1[[#Headers],[Ausnet]],OP_RatesTU_RES_1[[#Headers],[Ausnet]:[United Energy]],0))*($D$51/$I$52)),0)+
IFERROR((INDEX(OP_RatesTU_RES_1[[Ausnet]:[United Energy]],MATCH("Single rate",OP_RatesTU_RES_1[[Rate name]:[Rate name]],0),MATCH(CostStackCalcs_RES_1[[#Headers],[Ausnet]],OP_RatesTU_RES_1[[#Headers],[Ausnet]:[United Energy]],0))*($D$48/$I$52)),0)),0),
ROUNDUP(
(INDEX(OP_Rates_SME_1[[Ausnet]:[United Energy]],MATCH("Anytime - supply",OP_Rates_SME_1[[Rate name]:[Rate name]],0),MATCH(CostStackCalcs_SME_1[[#Headers],[Ausnet]],OP_Rates_SME_1[[#Headers],[Ausnet]:[United Energy]],0))*DiLY)+
(IFERROR((INDEX(OP_Rates_SME_1[[Ausnet]:[United Energy]],MATCH("Block 1",OP_Rates_SME_1[[Rate name]:[Rate name]],0),MATCH(CostStackCalcs_SME_1[[#Headers],[Ausnet]],OP_Rates_SME_1[[#Headers],[Ausnet]:[United Energy]],0))*$D$50),0)+
IFERROR((INDEX(OP_Rates_SME_1[[Ausnet]:[United Energy]],MATCH("Balance",OP_Rates_SME_1[[Rate name]:[Rate name]],0),MATCH(CostStackCalcs_SME_1[[#Headers],[Ausnet]],OP_Rates_SME_1[[#Headers],[Ausnet]:[United Energy]],0))*$D$51),0)+
IFERROR((INDEX(OP_Rates_SME_1[[Ausnet]:[United Energy]],MATCH("Single rate",OP_Rates_SME_1[[Rate name]:[Rate name]],0),MATCH(CostStackCalcs_SME_1[[#Headers],[Ausnet]],OP_Rates_SME_1[[#Headers],[Ausnet]:[United Energy]],0))*$D$48),0))
+
(IFERROR((INDEX(OP_RatesTU_SME_1[[Ausnet]:[United Energy]],MATCH("Block 1",OP_RatesTU_SME_1[[Rate name]:[Rate name]],0),MATCH(CostStackCalcs_SME_1[[#Headers],[Ausnet]],OP_RatesTU_SME_1[[#Headers],[Ausnet]:[United Energy]],0))*($D$50/$I$52)),0)+
IFERROR((INDEX(OP_RatesTU_SME_1[[Ausnet]:[United Energy]],MATCH("Balance",OP_RatesTU_SME_1[[Rate name]:[Rate name]],0),MATCH(CostStackCalcs_SME_1[[#Headers],[Ausnet]],OP_RatesTU_SME_1[[#Headers],[Ausnet]:[United Energy]],0))*($D$51/$I$52)),0)+
IFERROR((INDEX(OP_RatesTU_SME_1[[Ausnet]:[United Energy]],MATCH("Single rate",OP_RatesTU_SME_1[[Rate name]:[Rate name]],0),MATCH(CostStackCalcs_SME_1[[#Headers],[Ausnet]],OP_RatesTU_SME_1[[#Headers],[Ausnet]:[United Energy]],0))*($D$48/$I$52)),0)),0))</f>
        <v>9156</v>
      </c>
      <c r="E66" s="221">
        <f>IF($D$32="Residential",
ROUNDUP(
(INDEX(OP_Rates_RES_1[[Ausnet]:[United Energy]],MATCH("Anytime - supply",OP_Rates_RES_1[[Rate name]:[Rate name]],0),MATCH(CostStackCalcs_RES_1[[#Headers],[Citipower]],OP_Rates_RES_1[[#Headers],[Ausnet]:[United Energy]],0))*DiLY)+
(IFERROR((INDEX(OP_Rates_RES_1[[Ausnet]:[United Energy]],MATCH("Block 1",OP_Rates_RES_1[[Rate name]:[Rate name]],0),MATCH(CostStackCalcs_RES_1[[#Headers],[Citipower]],OP_Rates_RES_1[[#Headers],[Ausnet]:[United Energy]],0))*$D$50),0)+
IFERROR((INDEX(OP_Rates_RES_1[[Ausnet]:[United Energy]],MATCH("Balance",OP_Rates_RES_1[[Rate name]:[Rate name]],0),MATCH(CostStackCalcs_RES_1[[#Headers],[Citipower]],OP_Rates_RES_1[[#Headers],[Ausnet]:[United Energy]],0))*$D$51),0)+
IFERROR((INDEX(OP_Rates_RES_1[[Ausnet]:[United Energy]],MATCH("Single rate",OP_Rates_RES_1[[Rate name]:[Rate name]],0),MATCH(CostStackCalcs_RES_1[[#Headers],[Citipower]],OP_Rates_RES_1[[#Headers],[Ausnet]:[United Energy]],0))*$D$48),0))
+
(IFERROR((INDEX(OP_RatesTU_RES_1[[Ausnet]:[United Energy]],MATCH("Block 1",OP_RatesTU_RES_1[[Rate name]:[Rate name]],0),MATCH(CostStackCalcs_RES_1[[#Headers],[Citipower]],OP_RatesTU_RES_1[[#Headers],[Ausnet]:[United Energy]],0))*($D$50/$I$52)),0)+
IFERROR((INDEX(OP_RatesTU_RES_1[[Ausnet]:[United Energy]],MATCH("Balance",OP_RatesTU_RES_1[[Rate name]:[Rate name]],0),MATCH(CostStackCalcs_RES_1[[#Headers],[Citipower]],OP_RatesTU_RES_1[[#Headers],[Ausnet]:[United Energy]],0))*($D$51/$I$52)),0)+
IFERROR((INDEX(OP_RatesTU_RES_1[[Ausnet]:[United Energy]],MATCH("Single rate",OP_RatesTU_RES_1[[Rate name]:[Rate name]],0),MATCH(CostStackCalcs_RES_1[[#Headers],[Citipower]],OP_RatesTU_RES_1[[#Headers],[Ausnet]:[United Energy]],0))*($D$48/$I$52)),0)),0),
ROUNDUP(
(INDEX(OP_Rates_SME_1[[Ausnet]:[United Energy]],MATCH("Anytime - supply",OP_Rates_SME_1[[Rate name]:[Rate name]],0),MATCH(CostStackCalcs_SME_1[[#Headers],[Citipower]],OP_Rates_SME_1[[#Headers],[Ausnet]:[United Energy]],0))*DiLY)+
(IFERROR((INDEX(OP_Rates_SME_1[[Ausnet]:[United Energy]],MATCH("Block 1",OP_Rates_SME_1[[Rate name]:[Rate name]],0),MATCH(CostStackCalcs_SME_1[[#Headers],[Citipower]],OP_Rates_SME_1[[#Headers],[Ausnet]:[United Energy]],0))*$D$50),0)+
IFERROR((INDEX(OP_Rates_SME_1[[Ausnet]:[United Energy]],MATCH("Balance",OP_Rates_SME_1[[Rate name]:[Rate name]],0),MATCH(CostStackCalcs_SME_1[[#Headers],[Citipower]],OP_Rates_SME_1[[#Headers],[Ausnet]:[United Energy]],0))*$D$51),0)+
IFERROR((INDEX(OP_Rates_SME_1[[Ausnet]:[United Energy]],MATCH("Single rate",OP_Rates_SME_1[[Rate name]:[Rate name]],0),MATCH(CostStackCalcs_SME_1[[#Headers],[Citipower]],OP_Rates_SME_1[[#Headers],[Ausnet]:[United Energy]],0))*$D$48),0))
+
(IFERROR((INDEX(OP_RatesTU_SME_1[[Ausnet]:[United Energy]],MATCH("Block 1",OP_RatesTU_SME_1[[Rate name]:[Rate name]],0),MATCH(CostStackCalcs_SME_1[[#Headers],[Citipower]],OP_RatesTU_SME_1[[#Headers],[Ausnet]:[United Energy]],0))*($D$50/$I$52)),0)+
IFERROR((INDEX(OP_RatesTU_SME_1[[Ausnet]:[United Energy]],MATCH("Balance",OP_RatesTU_SME_1[[Rate name]:[Rate name]],0),MATCH(CostStackCalcs_SME_1[[#Headers],[Citipower]],OP_RatesTU_SME_1[[#Headers],[Ausnet]:[United Energy]],0))*($D$51/$I$52)),0)+
IFERROR((INDEX(OP_RatesTU_SME_1[[Ausnet]:[United Energy]],MATCH("Single rate",OP_RatesTU_SME_1[[Rate name]:[Rate name]],0),MATCH(CostStackCalcs_SME_1[[#Headers],[Citipower]],OP_RatesTU_SME_1[[#Headers],[Ausnet]:[United Energy]],0))*($D$48/$I$52)),0)),0))</f>
        <v>6159</v>
      </c>
      <c r="F66" s="221">
        <f>IF($D$32="Residential",
ROUNDUP(
(INDEX(OP_Rates_RES_1[[Ausnet]:[United Energy]],MATCH("Anytime - supply",OP_Rates_RES_1[[Rate name]:[Rate name]],0),MATCH(CostStackCalcs_RES_1[[#Headers],[Jemena]],OP_Rates_RES_1[[#Headers],[Ausnet]:[United Energy]],0))*DiLY)+
(IFERROR((INDEX(OP_Rates_RES_1[[Ausnet]:[United Energy]],MATCH("Block 1",OP_Rates_RES_1[[Rate name]:[Rate name]],0),MATCH(CostStackCalcs_RES_1[[#Headers],[Jemena]],OP_Rates_RES_1[[#Headers],[Ausnet]:[United Energy]],0))*$D$50),0)+
IFERROR((INDEX(OP_Rates_RES_1[[Ausnet]:[United Energy]],MATCH("Balance",OP_Rates_RES_1[[Rate name]:[Rate name]],0),MATCH(CostStackCalcs_RES_1[[#Headers],[Jemena]],OP_Rates_RES_1[[#Headers],[Ausnet]:[United Energy]],0))*$D$51),0)+
IFERROR((INDEX(OP_Rates_RES_1[[Ausnet]:[United Energy]],MATCH("Single rate",OP_Rates_RES_1[[Rate name]:[Rate name]],0),MATCH(CostStackCalcs_RES_1[[#Headers],[Jemena]],OP_Rates_RES_1[[#Headers],[Ausnet]:[United Energy]],0))*$D$48),0))
+
(IFERROR((INDEX(OP_RatesTU_RES_1[[Ausnet]:[United Energy]],MATCH("Block 1",OP_RatesTU_RES_1[[Rate name]:[Rate name]],0),MATCH(CostStackCalcs_RES_1[[#Headers],[Jemena]],OP_RatesTU_RES_1[[#Headers],[Ausnet]:[United Energy]],0))*($D$50/$I$52)),0)+
IFERROR((INDEX(OP_RatesTU_RES_1[[Ausnet]:[United Energy]],MATCH("Balance",OP_RatesTU_RES_1[[Rate name]:[Rate name]],0),MATCH(CostStackCalcs_RES_1[[#Headers],[Jemena]],OP_RatesTU_RES_1[[#Headers],[Ausnet]:[United Energy]],0))*($D$51/$I$52)),0)+
IFERROR((INDEX(OP_RatesTU_RES_1[[Ausnet]:[United Energy]],MATCH("Single rate",OP_RatesTU_RES_1[[Rate name]:[Rate name]],0),MATCH(CostStackCalcs_RES_1[[#Headers],[Jemena]],OP_RatesTU_RES_1[[#Headers],[Ausnet]:[United Energy]],0))*($D$48/$I$52)),0)),0),
ROUNDUP(
(INDEX(OP_Rates_SME_1[[Ausnet]:[United Energy]],MATCH("Anytime - supply",OP_Rates_SME_1[[Rate name]:[Rate name]],0),MATCH(CostStackCalcs_SME_1[[#Headers],[Jemena]],OP_Rates_SME_1[[#Headers],[Ausnet]:[United Energy]],0))*DiLY)+
(IFERROR((INDEX(OP_Rates_SME_1[[Ausnet]:[United Energy]],MATCH("Block 1",OP_Rates_SME_1[[Rate name]:[Rate name]],0),MATCH(CostStackCalcs_SME_1[[#Headers],[Jemena]],OP_Rates_SME_1[[#Headers],[Ausnet]:[United Energy]],0))*$D$50),0)+
IFERROR((INDEX(OP_Rates_SME_1[[Ausnet]:[United Energy]],MATCH("Balance",OP_Rates_SME_1[[Rate name]:[Rate name]],0),MATCH(CostStackCalcs_SME_1[[#Headers],[Jemena]],OP_Rates_SME_1[[#Headers],[Ausnet]:[United Energy]],0))*$D$51),0)+
IFERROR((INDEX(OP_Rates_SME_1[[Ausnet]:[United Energy]],MATCH("Single rate",OP_Rates_SME_1[[Rate name]:[Rate name]],0),MATCH(CostStackCalcs_SME_1[[#Headers],[Jemena]],OP_Rates_SME_1[[#Headers],[Ausnet]:[United Energy]],0))*$D$48),0))
+
(IFERROR((INDEX(OP_RatesTU_SME_1[[Ausnet]:[United Energy]],MATCH("Block 1",OP_RatesTU_SME_1[[Rate name]:[Rate name]],0),MATCH(CostStackCalcs_SME_1[[#Headers],[Jemena]],OP_RatesTU_SME_1[[#Headers],[Ausnet]:[United Energy]],0))*($D$50/$I$52)),0)+
IFERROR((INDEX(OP_RatesTU_SME_1[[Ausnet]:[United Energy]],MATCH("Balance",OP_RatesTU_SME_1[[Rate name]:[Rate name]],0),MATCH(CostStackCalcs_SME_1[[#Headers],[Jemena]],OP_RatesTU_SME_1[[#Headers],[Ausnet]:[United Energy]],0))*($D$51/$I$52)),0)+
IFERROR((INDEX(OP_RatesTU_SME_1[[Ausnet]:[United Energy]],MATCH("Single rate",OP_RatesTU_SME_1[[Rate name]:[Rate name]],0),MATCH(CostStackCalcs_SME_1[[#Headers],[Jemena]],OP_RatesTU_SME_1[[#Headers],[Ausnet]:[United Energy]],0))*($D$48/$I$52)),0)),0))</f>
        <v>7093</v>
      </c>
      <c r="G66" s="221">
        <f>IF($D$32="Residential",
ROUNDUP(
(INDEX(OP_Rates_RES_1[[Ausnet]:[United Energy]],MATCH("Anytime - supply",OP_Rates_RES_1[[Rate name]:[Rate name]],0),MATCH(CostStackCalcs_RES_1[[#Headers],[Powercor]],OP_Rates_RES_1[[#Headers],[Ausnet]:[United Energy]],0))*DiLY)+
(IFERROR((INDEX(OP_Rates_RES_1[[Ausnet]:[United Energy]],MATCH("Block 1",OP_Rates_RES_1[[Rate name]:[Rate name]],0),MATCH(CostStackCalcs_RES_1[[#Headers],[Powercor]],OP_Rates_RES_1[[#Headers],[Ausnet]:[United Energy]],0))*$D$50),0)+
IFERROR((INDEX(OP_Rates_RES_1[[Ausnet]:[United Energy]],MATCH("Balance",OP_Rates_RES_1[[Rate name]:[Rate name]],0),MATCH(CostStackCalcs_RES_1[[#Headers],[Powercor]],OP_Rates_RES_1[[#Headers],[Ausnet]:[United Energy]],0))*$D$51),0)+
IFERROR((INDEX(OP_Rates_RES_1[[Ausnet]:[United Energy]],MATCH("Single rate",OP_Rates_RES_1[[Rate name]:[Rate name]],0),MATCH(CostStackCalcs_RES_1[[#Headers],[Powercor]],OP_Rates_RES_1[[#Headers],[Ausnet]:[United Energy]],0))*$D$48),0))
+
(IFERROR((INDEX(OP_RatesTU_RES_1[[Ausnet]:[United Energy]],MATCH("Block 1",OP_RatesTU_RES_1[[Rate name]:[Rate name]],0),MATCH(CostStackCalcs_RES_1[[#Headers],[Powercor]],OP_RatesTU_RES_1[[#Headers],[Ausnet]:[United Energy]],0))*($D$50/$I$52)),0)+
IFERROR((INDEX(OP_RatesTU_RES_1[[Ausnet]:[United Energy]],MATCH("Balance",OP_RatesTU_RES_1[[Rate name]:[Rate name]],0),MATCH(CostStackCalcs_RES_1[[#Headers],[Powercor]],OP_RatesTU_RES_1[[#Headers],[Ausnet]:[United Energy]],0))*($D$51/$I$52)),0)+
IFERROR((INDEX(OP_RatesTU_RES_1[[Ausnet]:[United Energy]],MATCH("Single rate",OP_RatesTU_RES_1[[Rate name]:[Rate name]],0),MATCH(CostStackCalcs_RES_1[[#Headers],[Powercor]],OP_RatesTU_RES_1[[#Headers],[Ausnet]:[United Energy]],0))*($D$48/$I$52)),0)),0),
ROUNDUP(
(INDEX(OP_Rates_SME_1[[Ausnet]:[United Energy]],MATCH("Anytime - supply",OP_Rates_SME_1[[Rate name]:[Rate name]],0),MATCH(CostStackCalcs_SME_1[[#Headers],[Powercor]],OP_Rates_SME_1[[#Headers],[Ausnet]:[United Energy]],0))*DiLY)+
(IFERROR((INDEX(OP_Rates_SME_1[[Ausnet]:[United Energy]],MATCH("Block 1",OP_Rates_SME_1[[Rate name]:[Rate name]],0),MATCH(CostStackCalcs_SME_1[[#Headers],[Powercor]],OP_Rates_SME_1[[#Headers],[Ausnet]:[United Energy]],0))*$D$50),0)+
IFERROR((INDEX(OP_Rates_SME_1[[Ausnet]:[United Energy]],MATCH("Balance",OP_Rates_SME_1[[Rate name]:[Rate name]],0),MATCH(CostStackCalcs_SME_1[[#Headers],[Powercor]],OP_Rates_SME_1[[#Headers],[Ausnet]:[United Energy]],0))*$D$51),0)+
IFERROR((INDEX(OP_Rates_SME_1[[Ausnet]:[United Energy]],MATCH("Single rate",OP_Rates_SME_1[[Rate name]:[Rate name]],0),MATCH(CostStackCalcs_SME_1[[#Headers],[Powercor]],OP_Rates_SME_1[[#Headers],[Ausnet]:[United Energy]],0))*$D$48),0))
+
(IFERROR((INDEX(OP_RatesTU_SME_1[[Ausnet]:[United Energy]],MATCH("Block 1",OP_RatesTU_SME_1[[Rate name]:[Rate name]],0),MATCH(CostStackCalcs_SME_1[[#Headers],[Powercor]],OP_RatesTU_SME_1[[#Headers],[Ausnet]:[United Energy]],0))*($D$50/$I$52)),0)+
IFERROR((INDEX(OP_RatesTU_SME_1[[Ausnet]:[United Energy]],MATCH("Balance",OP_RatesTU_SME_1[[Rate name]:[Rate name]],0),MATCH(CostStackCalcs_SME_1[[#Headers],[Powercor]],OP_RatesTU_SME_1[[#Headers],[Ausnet]:[United Energy]],0))*($D$51/$I$52)),0)+
IFERROR((INDEX(OP_RatesTU_SME_1[[Ausnet]:[United Energy]],MATCH("Single rate",OP_RatesTU_SME_1[[Rate name]:[Rate name]],0),MATCH(CostStackCalcs_SME_1[[#Headers],[Powercor]],OP_RatesTU_SME_1[[#Headers],[Ausnet]:[United Energy]],0))*($D$48/$I$52)),0)),0))</f>
        <v>6646</v>
      </c>
      <c r="H66" s="221">
        <f>IF($D$32="Residential",
ROUNDUP(
(INDEX(OP_Rates_RES_1[[Ausnet]:[United Energy]],MATCH("Anytime - supply",OP_Rates_RES_1[[Rate name]:[Rate name]],0),MATCH(CostStackCalcs_RES_1[[#Headers],[United Energy]],OP_Rates_RES_1[[#Headers],[Ausnet]:[United Energy]],0))*DiLY)+
(IFERROR((INDEX(OP_Rates_RES_1[[Ausnet]:[United Energy]],MATCH("Block 1",OP_Rates_RES_1[[Rate name]:[Rate name]],0),MATCH(CostStackCalcs_RES_1[[#Headers],[United Energy]],OP_Rates_RES_1[[#Headers],[Ausnet]:[United Energy]],0))*$D$50),0)+
IFERROR((INDEX(OP_Rates_RES_1[[Ausnet]:[United Energy]],MATCH("Balance",OP_Rates_RES_1[[Rate name]:[Rate name]],0),MATCH(CostStackCalcs_RES_1[[#Headers],[United Energy]],OP_Rates_RES_1[[#Headers],[Ausnet]:[United Energy]],0))*$D$51),0)+
IFERROR((INDEX(OP_Rates_RES_1[[Ausnet]:[United Energy]],MATCH("Single rate",OP_Rates_RES_1[[Rate name]:[Rate name]],0),MATCH(CostStackCalcs_RES_1[[#Headers],[United Energy]],OP_Rates_RES_1[[#Headers],[Ausnet]:[United Energy]],0))*$D$48),0))
+
(IFERROR((INDEX(OP_RatesTU_RES_1[[Ausnet]:[United Energy]],MATCH("Block 1",OP_RatesTU_RES_1[[Rate name]:[Rate name]],0),MATCH(CostStackCalcs_RES_1[[#Headers],[United Energy]],OP_RatesTU_RES_1[[#Headers],[Ausnet]:[United Energy]],0))*($D$50/$I$52)),0)+
IFERROR((INDEX(OP_RatesTU_RES_1[[Ausnet]:[United Energy]],MATCH("Balance",OP_RatesTU_RES_1[[Rate name]:[Rate name]],0),MATCH(CostStackCalcs_RES_1[[#Headers],[United Energy]],OP_RatesTU_RES_1[[#Headers],[Ausnet]:[United Energy]],0))*($D$51/$I$52)),0)+
IFERROR((INDEX(OP_RatesTU_RES_1[[Ausnet]:[United Energy]],MATCH("Single rate",OP_RatesTU_RES_1[[Rate name]:[Rate name]],0),MATCH(CostStackCalcs_RES_1[[#Headers],[United Energy]],OP_RatesTU_RES_1[[#Headers],[Ausnet]:[United Energy]],0))*($D$48/$I$52)),0)),0),
ROUNDUP(
(INDEX(OP_Rates_SME_1[[Ausnet]:[United Energy]],MATCH("Anytime - supply",OP_Rates_SME_1[[Rate name]:[Rate name]],0),MATCH(CostStackCalcs_SME_1[[#Headers],[United Energy]],OP_Rates_SME_1[[#Headers],[Ausnet]:[United Energy]],0))*DiLY)+
(IFERROR((INDEX(OP_Rates_SME_1[[Ausnet]:[United Energy]],MATCH("Block 1",OP_Rates_SME_1[[Rate name]:[Rate name]],0),MATCH(CostStackCalcs_SME_1[[#Headers],[United Energy]],OP_Rates_SME_1[[#Headers],[Ausnet]:[United Energy]],0))*$D$50),0)+
IFERROR((INDEX(OP_Rates_SME_1[[Ausnet]:[United Energy]],MATCH("Balance",OP_Rates_SME_1[[Rate name]:[Rate name]],0),MATCH(CostStackCalcs_SME_1[[#Headers],[United Energy]],OP_Rates_SME_1[[#Headers],[Ausnet]:[United Energy]],0))*$D$51),0)+
IFERROR((INDEX(OP_Rates_SME_1[[Ausnet]:[United Energy]],MATCH("Single rate",OP_Rates_SME_1[[Rate name]:[Rate name]],0),MATCH(CostStackCalcs_SME_1[[#Headers],[United Energy]],OP_Rates_SME_1[[#Headers],[Ausnet]:[United Energy]],0))*$D$48),0))
+
(IFERROR((INDEX(OP_RatesTU_SME_1[[Ausnet]:[United Energy]],MATCH("Block 1",OP_RatesTU_SME_1[[Rate name]:[Rate name]],0),MATCH(CostStackCalcs_SME_1[[#Headers],[United Energy]],OP_RatesTU_SME_1[[#Headers],[Ausnet]:[United Energy]],0))*($D$50/$I$52)),0)+
IFERROR((INDEX(OP_RatesTU_SME_1[[Ausnet]:[United Energy]],MATCH("Balance",OP_RatesTU_SME_1[[Rate name]:[Rate name]],0),MATCH(CostStackCalcs_SME_1[[#Headers],[United Energy]],OP_RatesTU_SME_1[[#Headers],[Ausnet]:[United Energy]],0))*($D$51/$I$52)),0)+
IFERROR((INDEX(OP_RatesTU_SME_1[[Ausnet]:[United Energy]],MATCH("Single rate",OP_RatesTU_SME_1[[Rate name]:[Rate name]],0),MATCH(CostStackCalcs_SME_1[[#Headers],[United Energy]],OP_RatesTU_SME_1[[#Headers],[Ausnet]:[United Energy]],0))*($D$48/$I$52)),0)),0))</f>
        <v>6511</v>
      </c>
      <c r="I66" s="221">
        <f>ROUND(AVERAGE(D66:H66),0)</f>
        <v>7113</v>
      </c>
      <c r="K66" s="20" t="s">
        <v>467</v>
      </c>
      <c r="L66" s="221">
        <f>IF($D$32="Residential",
ROUNDUP(
(INDEX(OP_Rates_RES_2[[Ausnet]:[United Energy]],MATCH("Anytime - supply",OP_Rates_RES_2[[Rate name]:[Rate name]],0),MATCH(CostStackCalcs_RES_2[[#Headers],[Ausnet]],OP_Rates_RES_2[[#Headers],[Ausnet]:[United Energy]],0))*DiY)+
(IFERROR((INDEX(OP_Rates_RES_2[[Ausnet]:[United Energy]],MATCH("Block 1",OP_Rates_RES_2[[Rate name]:[Rate name]],0),MATCH(CostStackCalcs_RES_2[[#Headers],[Ausnet]],OP_Rates_RES_2[[#Headers],[Ausnet]:[United Energy]],0))*$L$50),0)+
IFERROR((INDEX(OP_Rates_RES_2[[Ausnet]:[United Energy]],MATCH("Balance",OP_Rates_RES_2[[Rate name]:[Rate name]],0),MATCH(CostStackCalcs_RES_2[[#Headers],[Ausnet]],OP_Rates_RES_2[[#Headers],[Ausnet]:[United Energy]],0))*$L$51),0)+
IFERROR((INDEX(OP_Rates_RES_2[[Ausnet]:[United Energy]],MATCH("Single rate",OP_Rates_RES_2[[Rate name]:[Rate name]],0),MATCH(CostStackCalcs_RES_2[[#Headers],[Ausnet]],OP_Rates_RES_2[[#Headers],[Ausnet]:[United Energy]],0))*$L$48),0))
+
(IFERROR((INDEX(OP_RatesTU_RES_2[[Ausnet]:[United Energy]],MATCH("Block 1",OP_RatesTU_RES_2[[Rate name]:[Rate name]],0),MATCH(CostStackCalcs_RES_2[[#Headers],[Ausnet]],OP_RatesTU_RES_2[[#Headers],[Ausnet]:[United Energy]],0))*($L$50/$Q$52)),0)+
IFERROR((INDEX(OP_RatesTU_RES_2[[Ausnet]:[United Energy]],MATCH("Balance",OP_RatesTU_RES_2[[Rate name]:[Rate name]],0),MATCH(CostStackCalcs_RES_2[[#Headers],[Ausnet]],OP_RatesTU_RES_2[[#Headers],[Ausnet]:[United Energy]],0))*($L$51/$Q$52)),0)+
IFERROR((INDEX(OP_RatesTU_RES_2[[Ausnet]:[United Energy]],MATCH("Single rate",OP_RatesTU_RES_2[[Rate name]:[Rate name]],0),MATCH(CostStackCalcs_RES_2[[#Headers],[Ausnet]],OP_RatesTU_RES_2[[#Headers],[Ausnet]:[United Energy]],0))*($L$48/$Q$52)),0)),0),ROUNDUP(
(INDEX(OP_Rates_SME_2[[Ausnet]:[United Energy]],MATCH("Anytime - supply",OP_Rates_SME_2[[Rate name]:[Rate name]],0),MATCH(CostStackCalcs_SME_2[[#Headers],[Ausnet]],OP_Rates_SME_2[[#Headers],[Ausnet]:[United Energy]],0))*DiY)+
(IFERROR((INDEX(OP_Rates_SME_2[[Ausnet]:[United Energy]],MATCH("Block 1",OP_Rates_SME_2[[Rate name]:[Rate name]],0),MATCH(CostStackCalcs_SME_2[[#Headers],[Ausnet]],OP_Rates_SME_2[[#Headers],[Ausnet]:[United Energy]],0))*$L$50),0)+
IFERROR((INDEX(OP_Rates_SME_2[[Ausnet]:[United Energy]],MATCH("Balance",OP_Rates_SME_2[[Rate name]:[Rate name]],0),MATCH(CostStackCalcs_SME_2[[#Headers],[Ausnet]],OP_Rates_SME_2[[#Headers],[Ausnet]:[United Energy]],0))*$L$51),0)+
IFERROR((INDEX(OP_Rates_SME_2[[Ausnet]:[United Energy]],MATCH("Single rate",OP_Rates_SME_2[[Rate name]:[Rate name]],0),MATCH(CostStackCalcs_SME_2[[#Headers],[Ausnet]],OP_Rates_SME_2[[#Headers],[Ausnet]:[United Energy]],0))*$L$48),0))
+
(IFERROR((INDEX(OP_RatesTU_SME_2[[Ausnet]:[United Energy]],MATCH("Block 1",OP_RatesTU_SME_2[[Rate name]:[Rate name]],0),MATCH(CostStackCalcs_SME_2[[#Headers],[Ausnet]],OP_RatesTU_SME_2[[#Headers],[Ausnet]:[United Energy]],0))*($L$50/$Q$52)),0)+
IFERROR((INDEX(OP_RatesTU_SME_2[[Ausnet]:[United Energy]],MATCH("Balance",OP_RatesTU_SME_2[[Rate name]:[Rate name]],0),MATCH(CostStackCalcs_SME_2[[#Headers],[Ausnet]],OP_RatesTU_SME_2[[#Headers],[Ausnet]:[United Energy]],0))*($L$51/$Q$52)),0)+
IFERROR((INDEX(OP_RatesTU_SME_2[[Ausnet]:[United Energy]],MATCH("Single rate",OP_RatesTU_SME_2[[Rate name]:[Rate name]],0),MATCH(CostStackCalcs_SME_2[[#Headers],[Ausnet]],OP_RatesTU_SME_2[[#Headers],[Ausnet]:[United Energy]],0))*($L$48/$Q$52)),0)),0))</f>
        <v>7656</v>
      </c>
      <c r="M66" s="221">
        <f>IF($D$32="Residential",
ROUNDUP(
(INDEX(OP_Rates_RES_2[[Ausnet]:[United Energy]],MATCH("Anytime - supply",OP_Rates_RES_2[[Rate name]:[Rate name]],0),MATCH(CostStackCalcs_RES_2[[#Headers],[Citipower]],OP_Rates_RES_2[[#Headers],[Ausnet]:[United Energy]],0))*DiY)+
(IFERROR((INDEX(OP_Rates_RES_2[[Ausnet]:[United Energy]],MATCH("Block 1",OP_Rates_RES_2[[Rate name]:[Rate name]],0),MATCH(CostStackCalcs_RES_2[[#Headers],[Citipower]],OP_Rates_RES_2[[#Headers],[Ausnet]:[United Energy]],0))*$L$50),0)+
IFERROR((INDEX(OP_Rates_RES_2[[Ausnet]:[United Energy]],MATCH("Balance",OP_Rates_RES_2[[Rate name]:[Rate name]],0),MATCH(CostStackCalcs_RES_2[[#Headers],[Citipower]],OP_Rates_RES_2[[#Headers],[Ausnet]:[United Energy]],0))*$L$51),0)+
IFERROR((INDEX(OP_Rates_RES_2[[Ausnet]:[United Energy]],MATCH("Single rate",OP_Rates_RES_2[[Rate name]:[Rate name]],0),MATCH(CostStackCalcs_RES_2[[#Headers],[Citipower]],OP_Rates_RES_2[[#Headers],[Ausnet]:[United Energy]],0))*$L$48),0))
+
(IFERROR((INDEX(OP_RatesTU_RES_2[[Ausnet]:[United Energy]],MATCH("Block 1",OP_RatesTU_RES_2[[Rate name]:[Rate name]],0),MATCH(CostStackCalcs_RES_2[[#Headers],[Citipower]],OP_RatesTU_RES_2[[#Headers],[Ausnet]:[United Energy]],0))*($L$50/$Q$52)),0)+
IFERROR((INDEX(OP_RatesTU_RES_2[[Ausnet]:[United Energy]],MATCH("Balance",OP_RatesTU_RES_2[[Rate name]:[Rate name]],0),MATCH(CostStackCalcs_RES_2[[#Headers],[Citipower]],OP_RatesTU_RES_2[[#Headers],[Ausnet]:[United Energy]],0))*($L$51/$Q$52)),0)+
IFERROR((INDEX(OP_RatesTU_RES_2[[Ausnet]:[United Energy]],MATCH("Single rate",OP_RatesTU_RES_2[[Rate name]:[Rate name]],0),MATCH(CostStackCalcs_RES_2[[#Headers],[Citipower]],OP_RatesTU_RES_2[[#Headers],[Ausnet]:[United Energy]],0))*($L$48/$Q$52)),0)),0),ROUNDUP(
(INDEX(OP_Rates_SME_2[[Ausnet]:[United Energy]],MATCH("Anytime - supply",OP_Rates_SME_2[[Rate name]:[Rate name]],0),MATCH(CostStackCalcs_SME_2[[#Headers],[Citipower]],OP_Rates_SME_2[[#Headers],[Ausnet]:[United Energy]],0))*DiY)+
(IFERROR((INDEX(OP_Rates_SME_2[[Ausnet]:[United Energy]],MATCH("Block 1",OP_Rates_SME_2[[Rate name]:[Rate name]],0),MATCH(CostStackCalcs_SME_2[[#Headers],[Citipower]],OP_Rates_SME_2[[#Headers],[Ausnet]:[United Energy]],0))*$L$50),0)+
IFERROR((INDEX(OP_Rates_SME_2[[Ausnet]:[United Energy]],MATCH("Balance",OP_Rates_SME_2[[Rate name]:[Rate name]],0),MATCH(CostStackCalcs_SME_2[[#Headers],[Citipower]],OP_Rates_SME_2[[#Headers],[Ausnet]:[United Energy]],0))*$L$51),0)+
IFERROR((INDEX(OP_Rates_SME_2[[Ausnet]:[United Energy]],MATCH("Single rate",OP_Rates_SME_2[[Rate name]:[Rate name]],0),MATCH(CostStackCalcs_SME_2[[#Headers],[Citipower]],OP_Rates_SME_2[[#Headers],[Ausnet]:[United Energy]],0))*$L$48),0))
+
(IFERROR((INDEX(OP_RatesTU_SME_2[[Ausnet]:[United Energy]],MATCH("Block 1",OP_RatesTU_SME_2[[Rate name]:[Rate name]],0),MATCH(CostStackCalcs_SME_2[[#Headers],[Citipower]],OP_RatesTU_SME_2[[#Headers],[Ausnet]:[United Energy]],0))*($L$50/$Q$52)),0)+
IFERROR((INDEX(OP_RatesTU_SME_2[[Ausnet]:[United Energy]],MATCH("Balance",OP_RatesTU_SME_2[[Rate name]:[Rate name]],0),MATCH(CostStackCalcs_SME_2[[#Headers],[Citipower]],OP_RatesTU_SME_2[[#Headers],[Ausnet]:[United Energy]],0))*($L$51/$Q$52)),0)+
IFERROR((INDEX(OP_RatesTU_SME_2[[Ausnet]:[United Energy]],MATCH("Single rate",OP_RatesTU_SME_2[[Rate name]:[Rate name]],0),MATCH(CostStackCalcs_SME_2[[#Headers],[Citipower]],OP_RatesTU_SME_2[[#Headers],[Ausnet]:[United Energy]],0))*($L$48/$Q$52)),0)),0))</f>
        <v>4839</v>
      </c>
      <c r="N66" s="221">
        <f>IF($D$32="Residential",
ROUNDUP(
(INDEX(OP_Rates_RES_2[[Ausnet]:[United Energy]],MATCH("Anytime - supply",OP_Rates_RES_2[[Rate name]:[Rate name]],0),MATCH(CostStackCalcs_RES_2[[#Headers],[Jemena]],OP_Rates_RES_2[[#Headers],[Ausnet]:[United Energy]],0))*DiY)+
(IFERROR((INDEX(OP_Rates_RES_2[[Ausnet]:[United Energy]],MATCH("Block 1",OP_Rates_RES_2[[Rate name]:[Rate name]],0),MATCH(CostStackCalcs_RES_2[[#Headers],[Jemena]],OP_Rates_RES_2[[#Headers],[Ausnet]:[United Energy]],0))*$L$50),0)+
IFERROR((INDEX(OP_Rates_RES_2[[Ausnet]:[United Energy]],MATCH("Balance",OP_Rates_RES_2[[Rate name]:[Rate name]],0),MATCH(CostStackCalcs_RES_2[[#Headers],[Jemena]],OP_Rates_RES_2[[#Headers],[Ausnet]:[United Energy]],0))*$L$51),0)+
IFERROR((INDEX(OP_Rates_RES_2[[Ausnet]:[United Energy]],MATCH("Single rate",OP_Rates_RES_2[[Rate name]:[Rate name]],0),MATCH(CostStackCalcs_RES_2[[#Headers],[Jemena]],OP_Rates_RES_2[[#Headers],[Ausnet]:[United Energy]],0))*$L$48),0))
+
(IFERROR((INDEX(OP_RatesTU_RES_2[[Ausnet]:[United Energy]],MATCH("Block 1",OP_RatesTU_RES_2[[Rate name]:[Rate name]],0),MATCH(CostStackCalcs_RES_2[[#Headers],[Jemena]],OP_RatesTU_RES_2[[#Headers],[Ausnet]:[United Energy]],0))*($L$50/$Q$52)),0)+
IFERROR((INDEX(OP_RatesTU_RES_2[[Ausnet]:[United Energy]],MATCH("Balance",OP_RatesTU_RES_2[[Rate name]:[Rate name]],0),MATCH(CostStackCalcs_RES_2[[#Headers],[Jemena]],OP_RatesTU_RES_2[[#Headers],[Ausnet]:[United Energy]],0))*($L$51/$Q$52)),0)+
IFERROR((INDEX(OP_RatesTU_RES_2[[Ausnet]:[United Energy]],MATCH("Single rate",OP_RatesTU_RES_2[[Rate name]:[Rate name]],0),MATCH(CostStackCalcs_RES_2[[#Headers],[Jemena]],OP_RatesTU_RES_2[[#Headers],[Ausnet]:[United Energy]],0))*($L$48/$Q$52)),0)),0),ROUNDUP(
(INDEX(OP_Rates_SME_2[[Ausnet]:[United Energy]],MATCH("Anytime - supply",OP_Rates_SME_2[[Rate name]:[Rate name]],0),MATCH(CostStackCalcs_SME_2[[#Headers],[Jemena]],OP_Rates_SME_2[[#Headers],[Ausnet]:[United Energy]],0))*DiY)+
(IFERROR((INDEX(OP_Rates_SME_2[[Ausnet]:[United Energy]],MATCH("Block 1",OP_Rates_SME_2[[Rate name]:[Rate name]],0),MATCH(CostStackCalcs_SME_2[[#Headers],[Jemena]],OP_Rates_SME_2[[#Headers],[Ausnet]:[United Energy]],0))*$L$50),0)+
IFERROR((INDEX(OP_Rates_SME_2[[Ausnet]:[United Energy]],MATCH("Balance",OP_Rates_SME_2[[Rate name]:[Rate name]],0),MATCH(CostStackCalcs_SME_2[[#Headers],[Jemena]],OP_Rates_SME_2[[#Headers],[Ausnet]:[United Energy]],0))*$L$51),0)+
IFERROR((INDEX(OP_Rates_SME_2[[Ausnet]:[United Energy]],MATCH("Single rate",OP_Rates_SME_2[[Rate name]:[Rate name]],0),MATCH(CostStackCalcs_SME_2[[#Headers],[Jemena]],OP_Rates_SME_2[[#Headers],[Ausnet]:[United Energy]],0))*$L$48),0))
+
(IFERROR((INDEX(OP_RatesTU_SME_2[[Ausnet]:[United Energy]],MATCH("Block 1",OP_RatesTU_SME_2[[Rate name]:[Rate name]],0),MATCH(CostStackCalcs_SME_2[[#Headers],[Jemena]],OP_RatesTU_SME_2[[#Headers],[Ausnet]:[United Energy]],0))*($L$50/$Q$52)),0)+
IFERROR((INDEX(OP_RatesTU_SME_2[[Ausnet]:[United Energy]],MATCH("Balance",OP_RatesTU_SME_2[[Rate name]:[Rate name]],0),MATCH(CostStackCalcs_SME_2[[#Headers],[Jemena]],OP_RatesTU_SME_2[[#Headers],[Ausnet]:[United Energy]],0))*($L$51/$Q$52)),0)+
IFERROR((INDEX(OP_RatesTU_SME_2[[Ausnet]:[United Energy]],MATCH("Single rate",OP_RatesTU_SME_2[[Rate name]:[Rate name]],0),MATCH(CostStackCalcs_SME_2[[#Headers],[Jemena]],OP_RatesTU_SME_2[[#Headers],[Ausnet]:[United Energy]],0))*($L$48/$Q$52)),0)),0))</f>
        <v>5413</v>
      </c>
      <c r="O66" s="221">
        <f>IF($D$32="Residential",
ROUNDUP(
(INDEX(OP_Rates_RES_2[[Ausnet]:[United Energy]],MATCH("Anytime - supply",OP_Rates_RES_2[[Rate name]:[Rate name]],0),MATCH(CostStackCalcs_RES_2[[#Headers],[Powercor]],OP_Rates_RES_2[[#Headers],[Ausnet]:[United Energy]],0))*DiY)+
(IFERROR((INDEX(OP_Rates_RES_2[[Ausnet]:[United Energy]],MATCH("Block 1",OP_Rates_RES_2[[Rate name]:[Rate name]],0),MATCH(CostStackCalcs_RES_2[[#Headers],[Powercor]],OP_Rates_RES_2[[#Headers],[Ausnet]:[United Energy]],0))*$L$50),0)+
IFERROR((INDEX(OP_Rates_RES_2[[Ausnet]:[United Energy]],MATCH("Balance",OP_Rates_RES_2[[Rate name]:[Rate name]],0),MATCH(CostStackCalcs_RES_2[[#Headers],[Powercor]],OP_Rates_RES_2[[#Headers],[Ausnet]:[United Energy]],0))*$L$51),0)+
IFERROR((INDEX(OP_Rates_RES_2[[Ausnet]:[United Energy]],MATCH("Single rate",OP_Rates_RES_2[[Rate name]:[Rate name]],0),MATCH(CostStackCalcs_RES_2[[#Headers],[Powercor]],OP_Rates_RES_2[[#Headers],[Ausnet]:[United Energy]],0))*$L$48),0))
+
(IFERROR((INDEX(OP_RatesTU_RES_2[[Ausnet]:[United Energy]],MATCH("Block 1",OP_RatesTU_RES_2[[Rate name]:[Rate name]],0),MATCH(CostStackCalcs_RES_2[[#Headers],[Powercor]],OP_RatesTU_RES_2[[#Headers],[Ausnet]:[United Energy]],0))*($L$50/$Q$52)),0)+
IFERROR((INDEX(OP_RatesTU_RES_2[[Ausnet]:[United Energy]],MATCH("Balance",OP_RatesTU_RES_2[[Rate name]:[Rate name]],0),MATCH(CostStackCalcs_RES_2[[#Headers],[Powercor]],OP_RatesTU_RES_2[[#Headers],[Ausnet]:[United Energy]],0))*($L$51/$Q$52)),0)+
IFERROR((INDEX(OP_RatesTU_RES_2[[Ausnet]:[United Energy]],MATCH("Single rate",OP_RatesTU_RES_2[[Rate name]:[Rate name]],0),MATCH(CostStackCalcs_RES_2[[#Headers],[Powercor]],OP_RatesTU_RES_2[[#Headers],[Ausnet]:[United Energy]],0))*($L$48/$Q$52)),0)),0),ROUNDUP(
(INDEX(OP_Rates_SME_2[[Ausnet]:[United Energy]],MATCH("Anytime - supply",OP_Rates_SME_2[[Rate name]:[Rate name]],0),MATCH(CostStackCalcs_SME_2[[#Headers],[Powercor]],OP_Rates_SME_2[[#Headers],[Ausnet]:[United Energy]],0))*DiY)+
(IFERROR((INDEX(OP_Rates_SME_2[[Ausnet]:[United Energy]],MATCH("Block 1",OP_Rates_SME_2[[Rate name]:[Rate name]],0),MATCH(CostStackCalcs_SME_2[[#Headers],[Powercor]],OP_Rates_SME_2[[#Headers],[Ausnet]:[United Energy]],0))*$L$50),0)+
IFERROR((INDEX(OP_Rates_SME_2[[Ausnet]:[United Energy]],MATCH("Balance",OP_Rates_SME_2[[Rate name]:[Rate name]],0),MATCH(CostStackCalcs_SME_2[[#Headers],[Powercor]],OP_Rates_SME_2[[#Headers],[Ausnet]:[United Energy]],0))*$L$51),0)+
IFERROR((INDEX(OP_Rates_SME_2[[Ausnet]:[United Energy]],MATCH("Single rate",OP_Rates_SME_2[[Rate name]:[Rate name]],0),MATCH(CostStackCalcs_SME_2[[#Headers],[Powercor]],OP_Rates_SME_2[[#Headers],[Ausnet]:[United Energy]],0))*$L$48),0))
+
(IFERROR((INDEX(OP_RatesTU_SME_2[[Ausnet]:[United Energy]],MATCH("Block 1",OP_RatesTU_SME_2[[Rate name]:[Rate name]],0),MATCH(CostStackCalcs_SME_2[[#Headers],[Powercor]],OP_RatesTU_SME_2[[#Headers],[Ausnet]:[United Energy]],0))*($L$50/$Q$52)),0)+
IFERROR((INDEX(OP_RatesTU_SME_2[[Ausnet]:[United Energy]],MATCH("Balance",OP_RatesTU_SME_2[[Rate name]:[Rate name]],0),MATCH(CostStackCalcs_SME_2[[#Headers],[Powercor]],OP_RatesTU_SME_2[[#Headers],[Ausnet]:[United Energy]],0))*($L$51/$Q$52)),0)+
IFERROR((INDEX(OP_RatesTU_SME_2[[Ausnet]:[United Energy]],MATCH("Single rate",OP_RatesTU_SME_2[[Rate name]:[Rate name]],0),MATCH(CostStackCalcs_SME_2[[#Headers],[Powercor]],OP_RatesTU_SME_2[[#Headers],[Ausnet]:[United Energy]],0))*($L$48/$Q$52)),0)),0))</f>
        <v>5191</v>
      </c>
      <c r="P66" s="221">
        <f>IF($D$32="Residential",
ROUNDUP(
(INDEX(OP_Rates_RES_2[[Ausnet]:[United Energy]],MATCH("Anytime - supply",OP_Rates_RES_2[[Rate name]:[Rate name]],0),MATCH(CostStackCalcs_RES_2[[#Headers],[United Energy]],OP_Rates_RES_2[[#Headers],[Ausnet]:[United Energy]],0))*DiY)+
(IFERROR((INDEX(OP_Rates_RES_2[[Ausnet]:[United Energy]],MATCH("Block 1",OP_Rates_RES_2[[Rate name]:[Rate name]],0),MATCH(CostStackCalcs_RES_2[[#Headers],[United Energy]],OP_Rates_RES_2[[#Headers],[Ausnet]:[United Energy]],0))*$L$50),0)+
IFERROR((INDEX(OP_Rates_RES_2[[Ausnet]:[United Energy]],MATCH("Balance",OP_Rates_RES_2[[Rate name]:[Rate name]],0),MATCH(CostStackCalcs_RES_2[[#Headers],[United Energy]],OP_Rates_RES_2[[#Headers],[Ausnet]:[United Energy]],0))*$L$51),0)+
IFERROR((INDEX(OP_Rates_RES_2[[Ausnet]:[United Energy]],MATCH("Single rate",OP_Rates_RES_2[[Rate name]:[Rate name]],0),MATCH(CostStackCalcs_RES_2[[#Headers],[United Energy]],OP_Rates_RES_2[[#Headers],[Ausnet]:[United Energy]],0))*$L$48),0))
+
(IFERROR((INDEX(OP_RatesTU_RES_2[[Ausnet]:[United Energy]],MATCH("Block 1",OP_RatesTU_RES_2[[Rate name]:[Rate name]],0),MATCH(CostStackCalcs_RES_2[[#Headers],[United Energy]],OP_RatesTU_RES_2[[#Headers],[Ausnet]:[United Energy]],0))*($L$50/$Q$52)),0)+
IFERROR((INDEX(OP_RatesTU_RES_2[[Ausnet]:[United Energy]],MATCH("Balance",OP_RatesTU_RES_2[[Rate name]:[Rate name]],0),MATCH(CostStackCalcs_RES_2[[#Headers],[United Energy]],OP_RatesTU_RES_2[[#Headers],[Ausnet]:[United Energy]],0))*($L$51/$Q$52)),0)+
IFERROR((INDEX(OP_RatesTU_RES_2[[Ausnet]:[United Energy]],MATCH("Single rate",OP_RatesTU_RES_2[[Rate name]:[Rate name]],0),MATCH(CostStackCalcs_RES_2[[#Headers],[United Energy]],OP_RatesTU_RES_2[[#Headers],[Ausnet]:[United Energy]],0))*($L$48/$Q$52)),0)),0),ROUNDUP(
(INDEX(OP_Rates_SME_2[[Ausnet]:[United Energy]],MATCH("Anytime - supply",OP_Rates_SME_2[[Rate name]:[Rate name]],0),MATCH(CostStackCalcs_SME_2[[#Headers],[United Energy]],OP_Rates_SME_2[[#Headers],[Ausnet]:[United Energy]],0))*DiY)+
(IFERROR((INDEX(OP_Rates_SME_2[[Ausnet]:[United Energy]],MATCH("Block 1",OP_Rates_SME_2[[Rate name]:[Rate name]],0),MATCH(CostStackCalcs_SME_2[[#Headers],[United Energy]],OP_Rates_SME_2[[#Headers],[Ausnet]:[United Energy]],0))*$L$50),0)+
IFERROR((INDEX(OP_Rates_SME_2[[Ausnet]:[United Energy]],MATCH("Balance",OP_Rates_SME_2[[Rate name]:[Rate name]],0),MATCH(CostStackCalcs_SME_2[[#Headers],[United Energy]],OP_Rates_SME_2[[#Headers],[Ausnet]:[United Energy]],0))*$L$51),0)+
IFERROR((INDEX(OP_Rates_SME_2[[Ausnet]:[United Energy]],MATCH("Single rate",OP_Rates_SME_2[[Rate name]:[Rate name]],0),MATCH(CostStackCalcs_SME_2[[#Headers],[United Energy]],OP_Rates_SME_2[[#Headers],[Ausnet]:[United Energy]],0))*$L$48),0))
+
(IFERROR((INDEX(OP_RatesTU_SME_2[[Ausnet]:[United Energy]],MATCH("Block 1",OP_RatesTU_SME_2[[Rate name]:[Rate name]],0),MATCH(CostStackCalcs_SME_2[[#Headers],[United Energy]],OP_RatesTU_SME_2[[#Headers],[Ausnet]:[United Energy]],0))*($L$50/$Q$52)),0)+
IFERROR((INDEX(OP_RatesTU_SME_2[[Ausnet]:[United Energy]],MATCH("Balance",OP_RatesTU_SME_2[[Rate name]:[Rate name]],0),MATCH(CostStackCalcs_SME_2[[#Headers],[United Energy]],OP_RatesTU_SME_2[[#Headers],[Ausnet]:[United Energy]],0))*($L$51/$Q$52)),0)+
IFERROR((INDEX(OP_RatesTU_SME_2[[Ausnet]:[United Energy]],MATCH("Single rate",OP_RatesTU_SME_2[[Rate name]:[Rate name]],0),MATCH(CostStackCalcs_SME_2[[#Headers],[United Energy]],OP_RatesTU_SME_2[[#Headers],[Ausnet]:[United Energy]],0))*($L$48/$Q$52)),0)),0))</f>
        <v>5003</v>
      </c>
      <c r="Q66" s="221">
        <f>ROUND(AVERAGE(L66:P66),0)</f>
        <v>5620</v>
      </c>
    </row>
    <row r="67" spans="3:24" outlineLevel="1"/>
    <row r="68" spans="3:24" ht="15.5" outlineLevel="1">
      <c r="C68" s="226" t="s">
        <v>14</v>
      </c>
      <c r="D68" s="84">
        <f>IF(AND(D66-D64&lt;=1,D66-D64&gt;=-1),0,1)</f>
        <v>0</v>
      </c>
      <c r="E68" s="84">
        <f t="shared" ref="E68:I68" si="6">IF(AND(E66-E64&lt;=1,E66-E64&gt;=-1),0,1)</f>
        <v>0</v>
      </c>
      <c r="F68" s="84">
        <f t="shared" si="6"/>
        <v>0</v>
      </c>
      <c r="G68" s="84">
        <f t="shared" si="6"/>
        <v>0</v>
      </c>
      <c r="H68" s="84">
        <f t="shared" si="6"/>
        <v>0</v>
      </c>
      <c r="I68" s="84">
        <f t="shared" si="6"/>
        <v>0</v>
      </c>
      <c r="K68" s="226" t="s">
        <v>14</v>
      </c>
      <c r="L68" s="84">
        <f t="shared" ref="L68:Q68" si="7">IF(AND(L66-L64&lt;=1,L66-L64&gt;=-1),0,1)</f>
        <v>0</v>
      </c>
      <c r="M68" s="84">
        <f t="shared" si="7"/>
        <v>0</v>
      </c>
      <c r="N68" s="84">
        <f t="shared" si="7"/>
        <v>0</v>
      </c>
      <c r="O68" s="84">
        <f t="shared" si="7"/>
        <v>0</v>
      </c>
      <c r="P68" s="84">
        <f t="shared" si="7"/>
        <v>0</v>
      </c>
      <c r="Q68" s="84">
        <f t="shared" si="7"/>
        <v>0</v>
      </c>
    </row>
    <row r="69" spans="3:24" outlineLevel="1">
      <c r="T69" s="78"/>
    </row>
    <row r="70" spans="3:24" ht="15.5" outlineLevel="1">
      <c r="C70" s="38" t="s">
        <v>97</v>
      </c>
      <c r="D70" s="227">
        <f>INDEX(Input_ForRateCalc[#Data],MATCH($C70,Input_ForRateCalc[[Cost item]:[Cost item]],0),MATCH($D$45,[1]Inputs!$C$8:$Y$8,0))</f>
        <v>5.6000000000000001E-2</v>
      </c>
      <c r="E70" s="227">
        <f>INDEX(Input_ForRateCalc[#Data],MATCH($C70,Input_ForRateCalc[[Cost item]:[Cost item]],0),MATCH($D$45,[1]Inputs!$C$8:$Y$8,0))</f>
        <v>5.6000000000000001E-2</v>
      </c>
      <c r="F70" s="227">
        <f>INDEX(Input_ForRateCalc[#Data],MATCH($C70,Input_ForRateCalc[[Cost item]:[Cost item]],0),MATCH($D$45,[1]Inputs!$C$8:$Y$8,0))</f>
        <v>5.6000000000000001E-2</v>
      </c>
      <c r="G70" s="227">
        <f>INDEX(Input_ForRateCalc[#Data],MATCH($C70,Input_ForRateCalc[[Cost item]:[Cost item]],0),MATCH($D$45,[1]Inputs!$C$8:$Y$8,0))</f>
        <v>5.6000000000000001E-2</v>
      </c>
      <c r="H70" s="227">
        <f>INDEX(Input_ForRateCalc[#Data],MATCH($C70,Input_ForRateCalc[[Cost item]:[Cost item]],0),MATCH($D$45,[1]Inputs!$C$8:$Y$8,0))</f>
        <v>5.6000000000000001E-2</v>
      </c>
      <c r="K70" s="38" t="s">
        <v>97</v>
      </c>
      <c r="L70" s="227">
        <f>INDEX(Input_ForRateCalc[#Data],MATCH($K70,Input_ForRateCalc[[Cost item]:[Cost item]],0),MATCH($L$45,[1]Inputs!$C$8:$Y$8,0))</f>
        <v>6.0400000000000002E-2</v>
      </c>
      <c r="M70" s="227">
        <f>INDEX(Input_ForRateCalc[#Data],MATCH($K70,Input_ForRateCalc[[Cost item]:[Cost item]],0),MATCH($L$45,[1]Inputs!$C$8:$Y$8,0))</f>
        <v>6.0400000000000002E-2</v>
      </c>
      <c r="N70" s="227">
        <f>INDEX(Input_ForRateCalc[#Data],MATCH($K70,Input_ForRateCalc[[Cost item]:[Cost item]],0),MATCH($L$45,[1]Inputs!$C$8:$Y$8,0))</f>
        <v>6.0400000000000002E-2</v>
      </c>
      <c r="O70" s="227">
        <f>INDEX(Input_ForRateCalc[#Data],MATCH($K70,Input_ForRateCalc[[Cost item]:[Cost item]],0),MATCH($L$45,[1]Inputs!$C$8:$Y$8,0))</f>
        <v>6.0400000000000002E-2</v>
      </c>
      <c r="P70" s="227">
        <f>INDEX(Input_ForRateCalc[#Data],MATCH($K70,Input_ForRateCalc[[Cost item]:[Cost item]],0),MATCH($L$45,[1]Inputs!$C$8:$Y$8,0))</f>
        <v>6.0400000000000002E-2</v>
      </c>
      <c r="U70" s="100"/>
    </row>
    <row r="71" spans="3:24" outlineLevel="1">
      <c r="U71" s="97"/>
    </row>
    <row r="72" spans="3:24" ht="15.5" outlineLevel="1">
      <c r="C72" s="38" t="s">
        <v>105</v>
      </c>
      <c r="D72" s="227">
        <f>INDEX(Calc_Losses_1[[Ausnet]:[United Energy]],MATCH("Total loss factor",Calc_Losses_1[Cost item],0),MATCH(D$54,Calc_Losses_1[[#Headers],[Ausnet]:[United Energy]],0))</f>
        <v>8.5419688344982481E-2</v>
      </c>
      <c r="E72" s="227">
        <f>INDEX(Calc_Losses_1[[Ausnet]:[United Energy]],MATCH("Total loss factor",Calc_Losses_1[Cost item],0),MATCH(E$54,Calc_Losses_1[[#Headers],[Ausnet]:[United Energy]],0))</f>
        <v>4.4989549999999934E-2</v>
      </c>
      <c r="F72" s="227">
        <f>INDEX(Calc_Losses_1[[Ausnet]:[United Energy]],MATCH("Total loss factor",Calc_Losses_1[Cost item],0),MATCH(F$54,Calc_Losses_1[[#Headers],[Ausnet]:[United Energy]],0))</f>
        <v>4.5352937499999912E-2</v>
      </c>
      <c r="G72" s="227">
        <f>INDEX(Calc_Losses_1[[Ausnet]:[United Energy]],MATCH("Total loss factor",Calc_Losses_1[Cost item],0),MATCH(G$54,Calc_Losses_1[[#Headers],[Ausnet]:[United Energy]],0))</f>
        <v>7.1431145265919538E-2</v>
      </c>
      <c r="H72" s="227">
        <f>INDEX(Calc_Losses_1[[Ausnet]:[United Energy]],MATCH("Total loss factor",Calc_Losses_1[Cost item],0),MATCH(H$54,Calc_Losses_1[[#Headers],[Ausnet]:[United Energy]],0))</f>
        <v>4.6946740000000098E-2</v>
      </c>
      <c r="K72" s="38" t="s">
        <v>105</v>
      </c>
      <c r="L72" s="227">
        <f>INDEX(Calc_Losses_2[[Ausnet]:[United Energy]],MATCH("Total loss factor",Calc_Losses_2[Cost item],0),MATCH(L$54,Calc_Losses_2[[#Headers],[Ausnet]:[United Energy]],0))</f>
        <v>7.9069473357165077E-2</v>
      </c>
      <c r="M72" s="227">
        <f>INDEX(Calc_Losses_2[[Ausnet]:[United Energy]],MATCH("Total loss factor",Calc_Losses_2[Cost item],0),MATCH(M$54,Calc_Losses_2[[#Headers],[Ausnet]:[United Energy]],0))</f>
        <v>4.6587031999999917E-2</v>
      </c>
      <c r="N72" s="227">
        <f>INDEX(Calc_Losses_2[[Ausnet]:[United Energy]],MATCH("Total loss factor",Calc_Losses_2[Cost item],0),MATCH(N$54,Calc_Losses_2[[#Headers],[Ausnet]:[United Energy]],0))</f>
        <v>3.7679446250000082E-2</v>
      </c>
      <c r="O72" s="227">
        <f>INDEX(Calc_Losses_2[[Ausnet]:[United Energy]],MATCH("Total loss factor",Calc_Losses_2[Cost item],0),MATCH(O$54,Calc_Losses_2[[#Headers],[Ausnet]:[United Energy]],0))</f>
        <v>6.9520042550514027E-2</v>
      </c>
      <c r="P72" s="227">
        <f>INDEX(Calc_Losses_2[[Ausnet]:[United Energy]],MATCH("Total loss factor",Calc_Losses_2[Cost item],0),MATCH(P$54,Calc_Losses_2[[#Headers],[Ausnet]:[United Energy]],0))</f>
        <v>4.3739760908138914E-2</v>
      </c>
    </row>
    <row r="73" spans="3:24" outlineLevel="1">
      <c r="U73" s="179"/>
    </row>
    <row r="74" spans="3:24" ht="15.5" outlineLevel="1">
      <c r="C74" s="26" t="s">
        <v>552</v>
      </c>
      <c r="K74" s="26" t="s">
        <v>552</v>
      </c>
    </row>
    <row r="75" spans="3:24" ht="15.5" outlineLevel="1">
      <c r="C75" s="38" t="s">
        <v>553</v>
      </c>
      <c r="D75" s="228">
        <f>SUM(Calc_Retail_1[Ausnet])</f>
        <v>175.92415101117138</v>
      </c>
      <c r="E75" s="228">
        <f>SUM(Calc_Retail_1[Citipower])</f>
        <v>175.92415101117138</v>
      </c>
      <c r="F75" s="228">
        <f>SUM(Calc_Retail_1[Jemena])</f>
        <v>175.92415101117138</v>
      </c>
      <c r="G75" s="228">
        <f>SUM(Calc_Retail_1[Powercor])</f>
        <v>175.92415101117138</v>
      </c>
      <c r="H75" s="228">
        <f>SUM(Calc_Retail_1[United Energy])</f>
        <v>175.92415101117138</v>
      </c>
      <c r="K75" s="38" t="s">
        <v>553</v>
      </c>
      <c r="L75" s="228">
        <f>SUM(Calc_Retail_2[Ausnet])</f>
        <v>187.35930628726288</v>
      </c>
      <c r="M75" s="228">
        <f>SUM(Calc_Retail_2[Citipower])</f>
        <v>187.35930628726288</v>
      </c>
      <c r="N75" s="228">
        <f>SUM(Calc_Retail_2[Jemena])</f>
        <v>187.35930628726288</v>
      </c>
      <c r="O75" s="228">
        <f>SUM(Calc_Retail_2[Powercor])</f>
        <v>187.35930628726288</v>
      </c>
      <c r="P75" s="228">
        <f>SUM(Calc_Retail_2[United Energy])</f>
        <v>187.35930628726288</v>
      </c>
    </row>
    <row r="76" spans="3:24" outlineLevel="1">
      <c r="T76" s="78"/>
      <c r="V76" s="229"/>
    </row>
    <row r="77" spans="3:24" ht="15.5" outlineLevel="1">
      <c r="C77" s="38" t="s">
        <v>554</v>
      </c>
      <c r="D77" s="228">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213.97054227419011</v>
      </c>
      <c r="E77" s="228">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219.75989568695607</v>
      </c>
      <c r="F77" s="228">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207.87034275504374</v>
      </c>
      <c r="G77" s="228">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246.23715510552023</v>
      </c>
      <c r="H77" s="228">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187.32328763194758</v>
      </c>
      <c r="K77" s="38" t="s">
        <v>554</v>
      </c>
      <c r="L77" s="228">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198.75969167398341</v>
      </c>
      <c r="M77" s="228">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225.85906917734366</v>
      </c>
      <c r="N77" s="228">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201.66301243411328</v>
      </c>
      <c r="O77" s="228">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242.13213140596849</v>
      </c>
      <c r="P77" s="228">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173.61726084212449</v>
      </c>
      <c r="T77" s="78"/>
      <c r="V77" s="229"/>
    </row>
    <row r="78" spans="3:24" outlineLevel="1">
      <c r="V78" s="229"/>
    </row>
    <row r="79" spans="3:24" ht="15.5" outlineLevel="1">
      <c r="C79" s="38" t="s">
        <v>92</v>
      </c>
      <c r="D79" s="228">
        <f>SUMIFS(Calc_OtherCosts_1[Ausnet],Calc_OtherCosts_1[[Fixed/Variable]:[Fixed/Variable]],"Fixed")</f>
        <v>10.663924892904003</v>
      </c>
      <c r="E79" s="228">
        <f>SUMIFS(Calc_OtherCosts_1[Citipower],Calc_OtherCosts_1[[Fixed/Variable]:[Fixed/Variable]],"Fixed")</f>
        <v>10.663924892904003</v>
      </c>
      <c r="F79" s="228">
        <f>SUMIFS(Calc_OtherCosts_1[Jemena],Calc_OtherCosts_1[[Fixed/Variable]:[Fixed/Variable]],"Fixed")</f>
        <v>10.663924892904003</v>
      </c>
      <c r="G79" s="228">
        <f>SUMIFS(Calc_OtherCosts_1[Powercor],Calc_OtherCosts_1[[Fixed/Variable]:[Fixed/Variable]],"Fixed")</f>
        <v>10.663924892904003</v>
      </c>
      <c r="H79" s="228">
        <f>SUMIFS(Calc_OtherCosts_1[United Energy],Calc_OtherCosts_1[[Fixed/Variable]:[Fixed/Variable]],"Fixed")</f>
        <v>10.663924892904003</v>
      </c>
      <c r="K79" s="38" t="s">
        <v>92</v>
      </c>
      <c r="L79" s="228">
        <f>SUMIFS(Calc_OtherCosts_2[Ausnet],Calc_OtherCosts_2[[Fixed/Variable]:[Fixed/Variable]],"Fixed")</f>
        <v>4.1192540518137655</v>
      </c>
      <c r="M79" s="228">
        <f>SUMIFS(Calc_OtherCosts_2[Citipower],Calc_OtherCosts_2[[Fixed/Variable]:[Fixed/Variable]],"Fixed")</f>
        <v>4.1192540518137655</v>
      </c>
      <c r="N79" s="228">
        <f>SUMIFS(Calc_OtherCosts_2[Jemena],Calc_OtherCosts_2[[Fixed/Variable]:[Fixed/Variable]],"Fixed")</f>
        <v>4.1192540518137655</v>
      </c>
      <c r="O79" s="228">
        <f>SUMIFS(Calc_OtherCosts_2[Powercor],Calc_OtherCosts_2[[Fixed/Variable]:[Fixed/Variable]],"Fixed")</f>
        <v>4.1192540518137655</v>
      </c>
      <c r="P79" s="228">
        <f>SUMIFS(Calc_OtherCosts_2[United Energy],Calc_OtherCosts_2[[Fixed/Variable]:[Fixed/Variable]],"Fixed")</f>
        <v>4.1192540518137655</v>
      </c>
      <c r="T79" s="78"/>
      <c r="V79" s="229"/>
    </row>
    <row r="80" spans="3:24" outlineLevel="1">
      <c r="V80" s="229"/>
      <c r="X80" s="93"/>
    </row>
    <row r="81" spans="3:16" ht="15.5" outlineLevel="1">
      <c r="C81" s="38" t="s">
        <v>555</v>
      </c>
      <c r="D81" s="228">
        <f>INDEX(Calc_FiT_1[[Ausnet]:[United Energy]],1,MATCH(D$54,Calc_FiT_1[[#Headers],[Ausnet]:[United Energy]],0))</f>
        <v>16.945572514842485</v>
      </c>
      <c r="E81" s="228">
        <f>INDEX(Calc_FiT_1[[Ausnet]:[United Energy]],1,MATCH(E$54,Calc_FiT_1[[#Headers],[Ausnet]:[United Energy]],0))</f>
        <v>16.945572514842485</v>
      </c>
      <c r="F81" s="228">
        <f>INDEX(Calc_FiT_1[[Ausnet]:[United Energy]],1,MATCH(F$54,Calc_FiT_1[[#Headers],[Ausnet]:[United Energy]],0))</f>
        <v>16.945572514842485</v>
      </c>
      <c r="G81" s="228">
        <f>INDEX(Calc_FiT_1[[Ausnet]:[United Energy]],1,MATCH(G$54,Calc_FiT_1[[#Headers],[Ausnet]:[United Energy]],0))</f>
        <v>16.945572514842485</v>
      </c>
      <c r="H81" s="228">
        <f>INDEX(Calc_FiT_1[[Ausnet]:[United Energy]],1,MATCH(H$54,Calc_FiT_1[[#Headers],[Ausnet]:[United Energy]],0))</f>
        <v>16.945572514842485</v>
      </c>
      <c r="K81" s="38" t="s">
        <v>555</v>
      </c>
      <c r="L81" s="228">
        <f>INDEX(Calc_FiT_2[[Ausnet]:[United Energy]],1,MATCH(L$54,Calc_FiT_2[[#Headers],[Ausnet]:[United Energy]],0))</f>
        <v>16.375320494428642</v>
      </c>
      <c r="M81" s="228">
        <f>INDEX(Calc_FiT_2[[Ausnet]:[United Energy]],1,MATCH(M$54,Calc_FiT_2[[#Headers],[Ausnet]:[United Energy]],0))</f>
        <v>16.375320494428642</v>
      </c>
      <c r="N81" s="228">
        <f>INDEX(Calc_FiT_2[[Ausnet]:[United Energy]],1,MATCH(N$54,Calc_FiT_2[[#Headers],[Ausnet]:[United Energy]],0))</f>
        <v>16.375320494428642</v>
      </c>
      <c r="O81" s="228">
        <f>INDEX(Calc_FiT_2[[Ausnet]:[United Energy]],1,MATCH(O$54,Calc_FiT_2[[#Headers],[Ausnet]:[United Energy]],0))</f>
        <v>16.375320494428642</v>
      </c>
      <c r="P81" s="228">
        <f>INDEX(Calc_FiT_2[[Ausnet]:[United Energy]],1,MATCH(P$54,Calc_FiT_2[[#Headers],[Ausnet]:[United Energy]],0))</f>
        <v>16.375320494428642</v>
      </c>
    </row>
    <row r="82" spans="3:16" outlineLevel="1"/>
    <row r="83" spans="3:16" ht="15.5" outlineLevel="1">
      <c r="C83" s="26" t="s">
        <v>556</v>
      </c>
      <c r="K83" s="26" t="s">
        <v>556</v>
      </c>
    </row>
    <row r="84" spans="3:16" ht="15.5" outlineLevel="1">
      <c r="C84" s="38" t="s">
        <v>82</v>
      </c>
      <c r="D84" s="228">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2.843221042152444E-2</v>
      </c>
      <c r="E84" s="228">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2.843221042152444E-2</v>
      </c>
      <c r="F84" s="228">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2.843221042152444E-2</v>
      </c>
      <c r="G84" s="228">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2.843221042152444E-2</v>
      </c>
      <c r="H84" s="228">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2.843221042152444E-2</v>
      </c>
      <c r="K84" s="38" t="s">
        <v>82</v>
      </c>
      <c r="L84" s="228">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2.8392779758481347E-2</v>
      </c>
      <c r="M84" s="228">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2.8392779758481347E-2</v>
      </c>
      <c r="N84" s="228">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2.8392779758481347E-2</v>
      </c>
      <c r="O84" s="228">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2.8392779758481347E-2</v>
      </c>
      <c r="P84" s="228">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2.8392779758481347E-2</v>
      </c>
    </row>
    <row r="85" spans="3:16" outlineLevel="1"/>
    <row r="86" spans="3:16" ht="15.5" outlineLevel="1">
      <c r="C86" s="38" t="s">
        <v>140</v>
      </c>
      <c r="D86" s="228">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0.12856302089613503</v>
      </c>
      <c r="E86" s="228">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0.12648439961732669</v>
      </c>
      <c r="F86" s="228">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0.13021020918052265</v>
      </c>
      <c r="G86" s="228">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0.12548093617538489</v>
      </c>
      <c r="H86" s="228">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0.13037554287242703</v>
      </c>
      <c r="K86" s="38" t="s">
        <v>140</v>
      </c>
      <c r="L86" s="228">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7.0609999999999992E-2</v>
      </c>
      <c r="M86" s="228">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7.0660000000000001E-2</v>
      </c>
      <c r="N86" s="228">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6.9330000000000003E-2</v>
      </c>
      <c r="O86" s="228">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7.0069999999999993E-2</v>
      </c>
      <c r="P86" s="228">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6.9539999999999991E-2</v>
      </c>
    </row>
    <row r="87" spans="3:16" outlineLevel="1"/>
    <row r="88" spans="3:16" ht="15.5" outlineLevel="1">
      <c r="C88" s="38" t="s">
        <v>92</v>
      </c>
      <c r="D88" s="228">
        <f>SUMIFS(Calc_OtherCosts_1[Ausnet],Calc_OtherCosts_1[[Fixed/Variable]:[Fixed/Variable]],"Variable")</f>
        <v>1.6791732404258365E-3</v>
      </c>
      <c r="E88" s="228">
        <f>SUMIFS(Calc_OtherCosts_1[Citipower],Calc_OtherCosts_1[[Fixed/Variable]:[Fixed/Variable]],"Variable")</f>
        <v>1.6791732404258365E-3</v>
      </c>
      <c r="F88" s="228">
        <f>SUMIFS(Calc_OtherCosts_1[Jemena],Calc_OtherCosts_1[[Fixed/Variable]:[Fixed/Variable]],"Variable")</f>
        <v>1.6791732404258365E-3</v>
      </c>
      <c r="G88" s="228">
        <f>SUMIFS(Calc_OtherCosts_1[Powercor],Calc_OtherCosts_1[[Fixed/Variable]:[Fixed/Variable]],"Variable")</f>
        <v>1.6791732404258365E-3</v>
      </c>
      <c r="H88" s="228">
        <f>SUMIFS(Calc_OtherCosts_1[United Energy],Calc_OtherCosts_1[[Fixed/Variable]:[Fixed/Variable]],"Variable")</f>
        <v>1.6791732404258365E-3</v>
      </c>
      <c r="K88" s="38" t="s">
        <v>92</v>
      </c>
      <c r="L88" s="228">
        <f>SUMIFS(Calc_OtherCosts_2[Ausnet],Calc_OtherCosts_2[[Fixed/Variable]:[Fixed/Variable]],"Variable")</f>
        <v>1.3383290735317938E-3</v>
      </c>
      <c r="M88" s="228">
        <f>SUMIFS(Calc_OtherCosts_2[Citipower],Calc_OtherCosts_2[[Fixed/Variable]:[Fixed/Variable]],"Variable")</f>
        <v>1.3383290735317938E-3</v>
      </c>
      <c r="N88" s="228">
        <f>SUMIFS(Calc_OtherCosts_2[Jemena],Calc_OtherCosts_2[[Fixed/Variable]:[Fixed/Variable]],"Variable")</f>
        <v>1.3383290735317938E-3</v>
      </c>
      <c r="O88" s="228">
        <f>SUMIFS(Calc_OtherCosts_2[Powercor],Calc_OtherCosts_2[[Fixed/Variable]:[Fixed/Variable]],"Variable")</f>
        <v>1.3383290735317938E-3</v>
      </c>
      <c r="P88" s="228">
        <f>SUMIFS(Calc_OtherCosts_2[United Energy],Calc_OtherCosts_2[[Fixed/Variable]:[Fixed/Variable]],"Variable")</f>
        <v>1.3383290735317938E-3</v>
      </c>
    </row>
    <row r="89" spans="3:16" outlineLevel="1"/>
    <row r="90" spans="3:16" ht="15.5" outlineLevel="1">
      <c r="C90" s="38" t="s">
        <v>557</v>
      </c>
      <c r="K90" s="38" t="s">
        <v>557</v>
      </c>
    </row>
    <row r="91" spans="3:16" outlineLevel="1">
      <c r="C91" t="s">
        <v>67</v>
      </c>
      <c r="D91" s="228">
        <f>SUMIFS(Calc_NetworkV_1[Ausnet],Calc_NetworkV_1[[Cost item]:[Cost item]],$C91,Calc_NetworkV_1[[Customer type]:[Customer type]],IF(ISNUMBER(SEARCH("Residential",$C$48)),"Residential","Small business"))</f>
        <v>0.18668411930490375</v>
      </c>
      <c r="E91" s="228">
        <f>SUMIFS(Calc_NetworkV_1[Citipower],Calc_NetworkV_1[[Cost item]:[Cost item]],$C91,Calc_NetworkV_1[[Customer type]:[Customer type]],IF(ISNUMBER(SEARCH("Residential",$C$48)),"Residential","Small business"))</f>
        <v>0</v>
      </c>
      <c r="F91" s="228">
        <f>SUMIFS(Calc_NetworkV_1[Jemena],Calc_NetworkV_1[[Cost item]:[Cost item]],$C91,Calc_NetworkV_1[[Customer type]:[Customer type]],IF(ISNUMBER(SEARCH("Residential",$C$48)),"Residential","Small business"))</f>
        <v>0</v>
      </c>
      <c r="G91" s="228">
        <f>SUMIFS(Calc_NetworkV_1[Powercor],Calc_NetworkV_1[Cost item],$C91,Calc_NetworkV_1[Customer type],IF(ISNUMBER(SEARCH("Residential",$C$48)),"Residential","Small business"))</f>
        <v>0</v>
      </c>
      <c r="H91" s="228">
        <f>SUMIFS(Calc_NetworkV_1[United Energy],Calc_NetworkV_1[[Cost item]:[Cost item]],$C91,Calc_NetworkV_1[[Customer type]:[Customer type]],IF(ISNUMBER(SEARCH("Residential",$C$48)),"Residential","Small business"))</f>
        <v>0</v>
      </c>
      <c r="K91" t="s">
        <v>67</v>
      </c>
      <c r="L91" s="228">
        <f>SUMIFS(Calc_NetworkV_2[Ausnet],Calc_NetworkV_2[Cost item],$K91,Calc_NetworkV_2[Customer type],IF(ISNUMBER(SEARCH("Residential",$K$48)),"Residential","Small business"))</f>
        <v>0.17498000000000002</v>
      </c>
      <c r="M91" s="228">
        <f>SUMIFS(Calc_NetworkV_2[Citipower],Calc_NetworkV_2[[Cost item]:[Cost item]],$K91,Calc_NetworkV_2[[Customer type]:[Customer type]],IF(ISNUMBER(SEARCH("Residential",$K$48)),"Residential","Small business"))</f>
        <v>0</v>
      </c>
      <c r="N91" s="228">
        <f>SUMIFS(Calc_NetworkV_2[Jemena],Calc_NetworkV_2[[Cost item]:[Cost item]],$K91,Calc_NetworkV_2[[Customer type]:[Customer type]],IF(ISNUMBER(SEARCH("Residential",$K$48)),"Residential","Small business"))</f>
        <v>0</v>
      </c>
      <c r="O91" s="228">
        <f>SUMIFS(Calc_NetworkV_2[Powercor],Calc_NetworkV_2[[Cost item]:[Cost item]],$K91,Calc_NetworkV_2[[Customer type]:[Customer type]],IF(ISNUMBER(SEARCH("Residential",$K$48)),"Residential","Small business"))</f>
        <v>0</v>
      </c>
      <c r="P91" s="228">
        <f>SUMIFS(Calc_NetworkV_2[United Energy],Calc_NetworkV_2[[Cost item]:[Cost item]],$K91,Calc_NetworkV_2[[Customer type]:[Customer type]],IF(ISNUMBER(SEARCH("Residential",$K$48)),"Residential","Small business"))</f>
        <v>0</v>
      </c>
    </row>
    <row r="92" spans="3:16" outlineLevel="1">
      <c r="C92" t="s">
        <v>69</v>
      </c>
      <c r="D92" s="228">
        <f>SUMIFS(Calc_NetworkV_1[Ausnet],Calc_NetworkV_1[Cost item],$C92,Calc_NetworkV_1[Customer type],IF(ISNUMBER(SEARCH("Residential",$C$48)),"Residential","Small business"))</f>
        <v>0.20620858559880922</v>
      </c>
      <c r="E92" s="228">
        <f>SUMIFS(Calc_NetworkV_1[Citipower],Calc_NetworkV_1[[Cost item]:[Cost item]],$C92,Calc_NetworkV_1[[Customer type]:[Customer type]],IF(ISNUMBER(SEARCH("Residential",$C$48)),"Residential","Small business"))</f>
        <v>0</v>
      </c>
      <c r="F92" s="228">
        <f>SUMIFS(Calc_NetworkV_1[Jemena],Calc_NetworkV_1[[Cost item]:[Cost item]],$C92,Calc_NetworkV_1[[Customer type]:[Customer type]],IF(ISNUMBER(SEARCH("Residential",$C$48)),"Residential","Small business"))</f>
        <v>0</v>
      </c>
      <c r="G92" s="228">
        <f>SUMIFS(Calc_NetworkV_1[Powercor],Calc_NetworkV_1[[Cost item]:[Cost item]],$C92,Calc_NetworkV_1[[Customer type]:[Customer type]],IF(ISNUMBER(SEARCH("Residential",$C$48)),"Residential","Small business"))</f>
        <v>0</v>
      </c>
      <c r="H92" s="228">
        <f>SUMIFS(Calc_NetworkV_1[United Energy],Calc_NetworkV_1[[Cost item]:[Cost item]],$C92,Calc_NetworkV_1[[Customer type]:[Customer type]],IF(ISNUMBER(SEARCH("Residential",$C$48)),"Residential","Small business"))</f>
        <v>0</v>
      </c>
      <c r="K92" t="s">
        <v>69</v>
      </c>
      <c r="L92" s="228">
        <f>SUMIFS(Calc_NetworkV_2[Ausnet],Calc_NetworkV_2[[Cost item]:[Cost item]],$K92,Calc_NetworkV_2[[Customer type]:[Customer type]],IF(ISNUMBER(SEARCH("Residential",$K$48)),"Residential","Small business"))</f>
        <v>0.20536599999999999</v>
      </c>
      <c r="M92" s="228">
        <f>SUMIFS(Calc_NetworkV_2[Citipower],Calc_NetworkV_2[[Cost item]:[Cost item]],$K92,Calc_NetworkV_2[[Customer type]:[Customer type]],IF(ISNUMBER(SEARCH("Residential",$K$48)),"Residential","Small business"))</f>
        <v>0</v>
      </c>
      <c r="N92" s="228">
        <f>SUMIFS(Calc_NetworkV_2[Jemena],Calc_NetworkV_2[[Cost item]:[Cost item]],$K92,Calc_NetworkV_2[[Customer type]:[Customer type]],IF(ISNUMBER(SEARCH("Residential",$K$48)),"Residential","Small business"))</f>
        <v>0</v>
      </c>
      <c r="O92" s="228">
        <f>SUMIFS(Calc_NetworkV_2[Powercor],Calc_NetworkV_2[[Cost item]:[Cost item]],$K92,Calc_NetworkV_2[[Customer type]:[Customer type]],IF(ISNUMBER(SEARCH("Residential",$K$48)),"Residential","Small business"))</f>
        <v>0</v>
      </c>
      <c r="P92" s="228">
        <f>SUMIFS(Calc_NetworkV_2[United Energy],Calc_NetworkV_2[[Cost item]:[Cost item]],$K92,Calc_NetworkV_2[[Customer type]:[Customer type]],IF(ISNUMBER(SEARCH("Residential",$K$48)),"Residential","Small business"))</f>
        <v>0</v>
      </c>
    </row>
    <row r="93" spans="3:16" outlineLevel="1">
      <c r="C93" t="s">
        <v>70</v>
      </c>
      <c r="D93" s="228">
        <f>SUMIFS(Calc_NetworkV_1[Ausnet],Calc_NetworkV_1[[Cost item]:[Cost item]],$C93,Calc_NetworkV_1[[Customer type]:[Customer type]],IF(ISNUMBER(SEARCH("Residential",$C$48)),"Residential","Small business"))</f>
        <v>0</v>
      </c>
      <c r="E93" s="228">
        <f>SUMIFS(Calc_NetworkV_1[Citipower],Calc_NetworkV_1[[Cost item]:[Cost item]],$C93,Calc_NetworkV_1[[Customer type]:[Customer type]],IF(ISNUMBER(SEARCH("Residential",$C$48)),"Residential","Small business"))</f>
        <v>8.1500000000000003E-2</v>
      </c>
      <c r="F93" s="228">
        <f>SUMIFS(Calc_NetworkV_1[Jemena],Calc_NetworkV_1[[Cost item]:[Cost item]],$C93,Calc_NetworkV_1[[Customer type]:[Customer type]],IF(ISNUMBER(SEARCH("Residential",$C$48)),"Residential","Small business"))</f>
        <v>0.11834</v>
      </c>
      <c r="G93" s="228">
        <f>SUMIFS(Calc_NetworkV_1[Powercor],Calc_NetworkV_1[[Cost item]:[Cost item]],$C93,Calc_NetworkV_1[[Customer type]:[Customer type]],IF(ISNUMBER(SEARCH("Residential",$C$48)),"Residential","Small business"))</f>
        <v>9.8100000000000007E-2</v>
      </c>
      <c r="H93" s="228">
        <f>SUMIFS(Calc_NetworkV_1[United Energy],Calc_NetworkV_1[[Cost item]:[Cost item]],$C93,Calc_NetworkV_1[[Customer type]:[Customer type]],IF(ISNUMBER(SEARCH("Residential",$C$48)),"Residential","Small business"))</f>
        <v>9.3900000000000011E-2</v>
      </c>
      <c r="K93" t="s">
        <v>70</v>
      </c>
      <c r="L93" s="228">
        <f>SUMIFS(Calc_NetworkV_2[Ausnet],Calc_NetworkV_2[[Cost item]:[Cost item]],$K93,Calc_NetworkV_2[[Customer type]:[Customer type]],IF(ISNUMBER(SEARCH("Residential",$K$48)),"Residential","Small business"))</f>
        <v>0</v>
      </c>
      <c r="M93" s="228">
        <f>SUMIFS(Calc_NetworkV_2[Citipower],Calc_NetworkV_2[[Cost item]:[Cost item]],$K93,Calc_NetworkV_2[[Customer type]:[Customer type]],IF(ISNUMBER(SEARCH("Residential",$K$48)),"Residential","Small business"))</f>
        <v>8.0299999999999996E-2</v>
      </c>
      <c r="N93" s="228">
        <f>SUMIFS(Calc_NetworkV_2[Jemena],Calc_NetworkV_2[[Cost item]:[Cost item]],$K93,Calc_NetworkV_2[[Customer type]:[Customer type]],IF(ISNUMBER(SEARCH("Residential",$K$48)),"Residential","Small business"))</f>
        <v>0.1084</v>
      </c>
      <c r="O93" s="228">
        <f>SUMIFS(Calc_NetworkV_2[Powercor],Calc_NetworkV_2[[Cost item]:[Cost item]],$K93,Calc_NetworkV_2[[Customer type]:[Customer type]],IF(ISNUMBER(SEARCH("Residential",$K$48)),"Residential","Small business"))</f>
        <v>9.2899999999999996E-2</v>
      </c>
      <c r="P93" s="228">
        <f>SUMIFS(Calc_NetworkV_2[United Energy],Calc_NetworkV_2[[Cost item]:[Cost item]],$K93,Calc_NetworkV_2[[Customer type]:[Customer type]],IF(ISNUMBER(SEARCH("Residential",$K$48)),"Residential","Small business"))</f>
        <v>9.1400000000000009E-2</v>
      </c>
    </row>
    <row r="94" spans="3:16" outlineLevel="1"/>
    <row r="95" spans="3:16" ht="15.5" outlineLevel="1">
      <c r="C95" s="38" t="s">
        <v>558</v>
      </c>
      <c r="K95" s="38" t="s">
        <v>558</v>
      </c>
    </row>
    <row r="96" spans="3:16" outlineLevel="1">
      <c r="C96" t="s">
        <v>79</v>
      </c>
      <c r="D96" s="228" t="str" cm="1">
        <f t="array" ref="D96">IF(ISNUMBER(SEARCH("Residential",$C$48)),
INDEX(OP_RatesTU_RES_1[Ausnet],MATCH(1,(OP_RatesTU_RES_1[Cost element]="Network")*(OP_RatesTU_RES_1[Rate name]=CH_CostStack_SME!$C96),0),1),
INDEX(OP_RatesTU_SME_1[Ausnet],MATCH(1,(OP_RatesTU_SME_1[Cost element]="Network")*(OP_RatesTU_SME_1[Rate name]=CH_CostStack_SME!$C96),0),1))</f>
        <v>-</v>
      </c>
      <c r="E96" s="228" t="str" cm="1">
        <f t="array" ref="E96">IF(ISNUMBER(SEARCH("Residential",$C$48)),
INDEX(OP_RatesTU_RES_1[Citipower],MATCH(1,(OP_RatesTU_RES_1[Cost element]="Network")*(OP_RatesTU_RES_1[Rate name]=CH_CostStack_SME!$C96),0),1),
INDEX(OP_RatesTU_SME_1[Citipower],MATCH(1,(OP_RatesTU_SME_1[Cost element]="Network")*(OP_RatesTU_SME_1[Rate name]=CH_CostStack_SME!$C96),0),1))</f>
        <v>-</v>
      </c>
      <c r="F96" s="228" t="str" cm="1">
        <f t="array" ref="F96">IF(ISNUMBER(SEARCH("Residential",$C$48)),
INDEX(OP_RatesTU_RES_1[Jemena],MATCH(1,(OP_RatesTU_RES_1[Cost element]="Network")*(OP_RatesTU_RES_1[Rate name]=CH_CostStack_SME!$C96),0),1),
INDEX(OP_RatesTU_SME_1[Jemena],MATCH(1,(OP_RatesTU_SME_1[Cost element]="Network")*(OP_RatesTU_SME_1[Rate name]=CH_CostStack_SME!$C96),0),1))</f>
        <v>-</v>
      </c>
      <c r="G96" s="228" t="str" cm="1">
        <f t="array" ref="G96">IF(ISNUMBER(SEARCH("Residential",$C$48)),
INDEX(OP_RatesTU_RES_1[Powercor],MATCH(1,(OP_RatesTU_RES_1[Cost element]="Network")*(OP_RatesTU_RES_1[Rate name]=CH_CostStack_SME!$C96),0),1),
INDEX(OP_RatesTU_SME_1[Powercor],MATCH(1,(OP_RatesTU_SME_1[Cost element]="Network")*(OP_RatesTU_SME_1[Rate name]=CH_CostStack_SME!$C96),0),1))</f>
        <v>-</v>
      </c>
      <c r="H96" s="228" t="str" cm="1">
        <f t="array" ref="H96">IF(ISNUMBER(SEARCH("Residential",$C$48)),
INDEX(OP_RatesTU_RES_1[United Energy],MATCH(1,(OP_RatesTU_RES_1[Cost element]="Network")*(OP_RatesTU_RES_1[Rate name]=CH_CostStack_SME!$C96),0),1),
INDEX(OP_RatesTU_SME_1[United Energy],MATCH(1,(OP_RatesTU_SME_1[Cost element]="Network")*(OP_RatesTU_SME_1[Rate name]=CH_CostStack_SME!$C96),0),1))</f>
        <v>-</v>
      </c>
      <c r="K96" t="s">
        <v>79</v>
      </c>
      <c r="L96" s="228" t="str" cm="1">
        <f t="array" ref="L96">IF(ISNUMBER(SEARCH("Residential",$K$48)),
INDEX(OP_RatesTU_RES_2[Ausnet],MATCH(1,(OP_RatesTU_RES_2[Cost element]="Network")*(OP_RatesTU_RES_2[Rate name]=CH_CostStack_SME!$K96),0),1),
INDEX(OP_RatesTU_SME_2[Ausnet],MATCH(1,(OP_RatesTU_SME_2[Cost element]="Network")*(OP_RatesTU_SME_2[Rate name]=CH_CostStack_SME!$K96),0),1))</f>
        <v>-</v>
      </c>
      <c r="M96" s="228" t="str" cm="1">
        <f t="array" ref="M96">IF(ISNUMBER(SEARCH("Residential",$K$48)),
INDEX(OP_RatesTU_RES_2[Citipower],MATCH(1,(OP_RatesTU_RES_2[Cost element]="Network")*(OP_RatesTU_RES_2[Rate name]=CH_CostStack_SME!$K96),0),1),
INDEX(OP_RatesTU_SME_2[Citipower],MATCH(1,(OP_RatesTU_SME_2[Cost element]="Network")*(OP_RatesTU_SME_2[Rate name]=CH_CostStack_SME!$K96),0),1))</f>
        <v>-</v>
      </c>
      <c r="N96" s="228" t="str" cm="1">
        <f t="array" ref="N96">IF(ISNUMBER(SEARCH("Residential",$K$48)),
INDEX(OP_RatesTU_RES_2[Jemena],MATCH(1,(OP_RatesTU_RES_2[Cost element]="Network")*(OP_RatesTU_RES_2[Rate name]=CH_CostStack_SME!$K96),0),1),
INDEX(OP_RatesTU_SME_2[Jemena],MATCH(1,(OP_RatesTU_SME_2[Cost element]="Network")*(OP_RatesTU_SME_2[Rate name]=CH_CostStack_SME!$K96),0),1))</f>
        <v>-</v>
      </c>
      <c r="O96" s="228" t="str" cm="1">
        <f t="array" ref="O96">IF(ISNUMBER(SEARCH("Residential",$K$48)),
INDEX(OP_RatesTU_RES_2[Powercor],MATCH(1,(OP_RatesTU_RES_2[Cost element]="Network")*(OP_RatesTU_RES_2[Rate name]=CH_CostStack_SME!$K96),0),1),
INDEX(OP_RatesTU_SME_2[Powercor],MATCH(1,(OP_RatesTU_SME_2[Cost element]="Network")*(OP_RatesTU_SME_2[Rate name]=CH_CostStack_SME!$K96),0),1))</f>
        <v>-</v>
      </c>
      <c r="P96" s="228" t="str" cm="1">
        <f t="array" ref="P96">IF(ISNUMBER(SEARCH("Residential",$K$48)),
INDEX(OP_RatesTU_RES_2[United Energy],MATCH(1,(OP_RatesTU_RES_2[Cost element]="Network")*(OP_RatesTU_RES_2[Rate name]=CH_CostStack_SME!$K96),0),1),
INDEX(OP_RatesTU_SME_2[United Energy],MATCH(1,(OP_RatesTU_SME_2[Cost element]="Network")*(OP_RatesTU_SME_2[Rate name]=CH_CostStack_SME!$K96),0),1))</f>
        <v>-</v>
      </c>
    </row>
    <row r="97" spans="3:16" outlineLevel="1"/>
    <row r="98" spans="3:16" ht="15.5" outlineLevel="1">
      <c r="C98" s="38" t="s">
        <v>559</v>
      </c>
      <c r="K98" s="38" t="s">
        <v>559</v>
      </c>
    </row>
    <row r="99" spans="3:16" outlineLevel="1">
      <c r="C99" t="s">
        <v>67</v>
      </c>
      <c r="D99" s="228" cm="1">
        <f t="array" ref="D99">IF(ISNUMBER(SEARCH("Residential",$C$48)),
INDEX(OP_RatesTU_RES_1[Ausnet],MATCH(1,(OP_RatesTU_RES_1[Cost element]="Environmental")*(OP_RatesTU_RES_1[Rate name]=CH_CostStack_SME!$C99),0),1),
INDEX(OP_RatesTU_SME_1[Ausnet],MATCH(1,(OP_RatesTU_SME_1[Cost element]="Environmental")*(OP_RatesTU_SME_1[Rate name]=CH_CostStack_SME!$C99),0),1))</f>
        <v>-1.4451020409271499E-3</v>
      </c>
      <c r="E99" s="228" cm="1">
        <f t="array" ref="E99">IF(ISNUMBER(SEARCH("Residential",$C$48)),
INDEX(OP_RatesTU_RES_1[Citipower],MATCH(1,(OP_RatesTU_RES_1[Cost element]="Environmental")*(OP_RatesTU_RES_1[Rate name]=CH_CostStack_SME!$C99),0),1),
INDEX(OP_RatesTU_SME_1[Citipower],MATCH(1,(OP_RatesTU_SME_1[Cost element]="Environmental")*(OP_RatesTU_SME_1[Rate name]=CH_CostStack_SME!$C99),0),1))</f>
        <v>0</v>
      </c>
      <c r="F99" s="228" cm="1">
        <f t="array" ref="F99">IF(ISNUMBER(SEARCH("Residential",$C$48)),
INDEX(OP_RatesTU_RES_1[Jemena],MATCH(1,(OP_RatesTU_RES_1[Cost element]="Environmental")*(OP_RatesTU_RES_1[Rate name]=CH_CostStack_SME!$C99),0),1),
INDEX(OP_RatesTU_SME_1[Jemena],MATCH(1,(OP_RatesTU_SME_1[Cost element]="Environmental")*(OP_RatesTU_SME_1[Rate name]=CH_CostStack_SME!$C99),0),1))</f>
        <v>0</v>
      </c>
      <c r="G99" s="228" cm="1">
        <f t="array" ref="G99">IF(ISNUMBER(SEARCH("Residential",$C$48)),
INDEX(OP_RatesTU_RES_1[Powercor],MATCH(1,(OP_RatesTU_RES_1[Cost element]="Environmental")*(OP_RatesTU_RES_1[Rate name]=CH_CostStack_SME!$C99),0),1),
INDEX(OP_RatesTU_SME_1[Powercor],MATCH(1,(OP_RatesTU_SME_1[Cost element]="Environmental")*(OP_RatesTU_SME_1[Rate name]=CH_CostStack_SME!$C99),0),1))</f>
        <v>0</v>
      </c>
      <c r="H99" s="228" cm="1">
        <f t="array" ref="H99">IF(ISNUMBER(SEARCH("Residential",$C$48)),
INDEX(OP_RatesTU_RES_1[United Energy],MATCH(1,(OP_RatesTU_RES_1[Cost element]="Environmental")*(OP_RatesTU_RES_1[Rate name]=CH_CostStack_SME!$C99),0),1),
INDEX(OP_RatesTU_SME_1[United Energy],MATCH(1,(OP_RatesTU_SME_1[Cost element]="Environmental")*(OP_RatesTU_SME_1[Rate name]=CH_CostStack_SME!$C99),0),1))</f>
        <v>0</v>
      </c>
      <c r="K99" t="s">
        <v>67</v>
      </c>
      <c r="L99" s="228" cm="1">
        <f t="array" ref="L99">IF(ISNUMBER(SEARCH("Residential",$K$48)),
INDEX(OP_RatesTU_RES_2[Ausnet],MATCH(1,(OP_RatesTU_RES_2[Cost element]="Environmental")*(OP_RatesTU_RES_2[Rate name]=CH_CostStack_SME!$C99),0),1),
INDEX(OP_RatesTU_SME_2[Ausnet],MATCH(1,(OP_RatesTU_SME_2[Cost element]="Environmental")*(OP_RatesTU_SME_2[Rate name]=CH_CostStack_SME!$C99),0),1))</f>
        <v>4.3609479704997934E-4</v>
      </c>
      <c r="M99" s="228" cm="1">
        <f t="array" ref="M99">IF(ISNUMBER(SEARCH("Residential",$K$48)),
INDEX(OP_RatesTU_RES_2[Citipower],MATCH(1,(OP_RatesTU_RES_2[Cost element]="Environmental")*(OP_RatesTU_RES_2[Rate name]=CH_CostStack_SME!$C99),0),1),
INDEX(OP_RatesTU_SME_2[Citipower],MATCH(1,(OP_RatesTU_SME_2[Cost element]="Environmental")*(OP_RatesTU_SME_2[Rate name]=CH_CostStack_SME!$C99),0),1))</f>
        <v>0</v>
      </c>
      <c r="N99" s="228" cm="1">
        <f t="array" ref="N99">IF(ISNUMBER(SEARCH("Residential",$K$48)),
INDEX(OP_RatesTU_RES_2[Jemena],MATCH(1,(OP_RatesTU_RES_2[Cost element]="Environmental")*(OP_RatesTU_RES_2[Rate name]=CH_CostStack_SME!$C99),0),1),
INDEX(OP_RatesTU_SME_2[Jemena],MATCH(1,(OP_RatesTU_SME_2[Cost element]="Environmental")*(OP_RatesTU_SME_2[Rate name]=CH_CostStack_SME!$C99),0),1))</f>
        <v>0</v>
      </c>
      <c r="O99" s="228" cm="1">
        <f t="array" ref="O99">IF(ISNUMBER(SEARCH("Residential",$K$48)),
INDEX(OP_RatesTU_RES_2[Powercor],MATCH(1,(OP_RatesTU_RES_2[Cost element]="Environmental")*(OP_RatesTU_RES_2[Rate name]=CH_CostStack_SME!$C99),0),1),
INDEX(OP_RatesTU_SME_2[Powercor],MATCH(1,(OP_RatesTU_SME_2[Cost element]="Environmental")*(OP_RatesTU_SME_2[Rate name]=CH_CostStack_SME!$C99),0),1))</f>
        <v>0</v>
      </c>
      <c r="P99" s="228" cm="1">
        <f t="array" ref="P99">IF(ISNUMBER(SEARCH("Residential",$K$48)),
INDEX(OP_RatesTU_RES_2[United Energy],MATCH(1,(OP_RatesTU_RES_2[Cost element]="Environmental")*(OP_RatesTU_RES_2[Rate name]=CH_CostStack_SME!$C99),0),1),
INDEX(OP_RatesTU_SME_2[United Energy],MATCH(1,(OP_RatesTU_SME_2[Cost element]="Environmental")*(OP_RatesTU_SME_2[Rate name]=CH_CostStack_SME!$C99),0),1))</f>
        <v>0</v>
      </c>
    </row>
    <row r="100" spans="3:16" outlineLevel="1">
      <c r="C100" t="s">
        <v>69</v>
      </c>
      <c r="D100" s="228" cm="1">
        <f t="array" ref="D100">IF(ISNUMBER(SEARCH("Residential",$C$48)),
INDEX(OP_RatesTU_RES_1[Ausnet],MATCH(1,(OP_RatesTU_RES_1[Cost element]="Environmental")*(OP_RatesTU_RES_1[Rate name]=CH_CostStack_SME!$C100),0),1),
INDEX(OP_RatesTU_SME_1[Ausnet],MATCH(1,(OP_RatesTU_SME_1[Cost element]="Environmental")*(OP_RatesTU_SME_1[Rate name]=CH_CostStack_SME!$C100),0),1))</f>
        <v>-1.4451020409271499E-3</v>
      </c>
      <c r="E100" s="228" cm="1">
        <f t="array" ref="E100">IF(ISNUMBER(SEARCH("Residential",$C$48)),
INDEX(OP_RatesTU_RES_1[Citipower],MATCH(1,(OP_RatesTU_RES_1[Cost element]="Environmental")*(OP_RatesTU_RES_1[Rate name]=CH_CostStack_SME!$C100),0),1),
INDEX(OP_RatesTU_SME_1[Citipower],MATCH(1,(OP_RatesTU_SME_1[Cost element]="Environmental")*(OP_RatesTU_SME_1[Rate name]=CH_CostStack_SME!$C100),0),1))</f>
        <v>0</v>
      </c>
      <c r="F100" s="228" cm="1">
        <f t="array" ref="F100">IF(ISNUMBER(SEARCH("Residential",$C$48)),
INDEX(OP_RatesTU_RES_1[Jemena],MATCH(1,(OP_RatesTU_RES_1[Cost element]="Environmental")*(OP_RatesTU_RES_1[Rate name]=CH_CostStack_SME!$C100),0),1),
INDEX(OP_RatesTU_SME_1[Jemena],MATCH(1,(OP_RatesTU_SME_1[Cost element]="Environmental")*(OP_RatesTU_SME_1[Rate name]=CH_CostStack_SME!$C100),0),1))</f>
        <v>0</v>
      </c>
      <c r="G100" s="228" cm="1">
        <f t="array" ref="G100">IF(ISNUMBER(SEARCH("Residential",$C$48)),
INDEX(OP_RatesTU_RES_1[Powercor],MATCH(1,(OP_RatesTU_RES_1[Cost element]="Environmental")*(OP_RatesTU_RES_1[Rate name]=CH_CostStack_SME!$C100),0),1),
INDEX(OP_RatesTU_SME_1[Powercor],MATCH(1,(OP_RatesTU_SME_1[Cost element]="Environmental")*(OP_RatesTU_SME_1[Rate name]=CH_CostStack_SME!$C100),0),1))</f>
        <v>0</v>
      </c>
      <c r="H100" s="228" cm="1">
        <f t="array" ref="H100">IF(ISNUMBER(SEARCH("Residential",$C$48)),
INDEX(OP_RatesTU_RES_1[United Energy],MATCH(1,(OP_RatesTU_RES_1[Cost element]="Environmental")*(OP_RatesTU_RES_1[Rate name]=CH_CostStack_SME!$C100),0),1),
INDEX(OP_RatesTU_SME_1[United Energy],MATCH(1,(OP_RatesTU_SME_1[Cost element]="Environmental")*(OP_RatesTU_SME_1[Rate name]=CH_CostStack_SME!$C100),0),1))</f>
        <v>0</v>
      </c>
      <c r="K100" t="s">
        <v>69</v>
      </c>
      <c r="L100" s="228" cm="1">
        <f t="array" ref="L100">IF(ISNUMBER(SEARCH("Residential",$K$48)),
INDEX(OP_RatesTU_RES_2[Ausnet],MATCH(1,(OP_RatesTU_RES_2[Cost element]="Environmental")*(OP_RatesTU_RES_2[Rate name]=CH_CostStack_SME!$C100),0),1),
INDEX(OP_RatesTU_SME_2[Ausnet],MATCH(1,(OP_RatesTU_SME_2[Cost element]="Environmental")*(OP_RatesTU_SME_2[Rate name]=CH_CostStack_SME!$C100),0),1))</f>
        <v>4.3609479704997934E-4</v>
      </c>
      <c r="M100" s="228" cm="1">
        <f t="array" ref="M100">IF(ISNUMBER(SEARCH("Residential",$K$48)),
INDEX(OP_RatesTU_RES_2[Citipower],MATCH(1,(OP_RatesTU_RES_2[Cost element]="Environmental")*(OP_RatesTU_RES_2[Rate name]=CH_CostStack_SME!$C100),0),1),
INDEX(OP_RatesTU_SME_2[Citipower],MATCH(1,(OP_RatesTU_SME_2[Cost element]="Environmental")*(OP_RatesTU_SME_2[Rate name]=CH_CostStack_SME!$C100),0),1))</f>
        <v>0</v>
      </c>
      <c r="N100" s="228" cm="1">
        <f t="array" ref="N100">IF(ISNUMBER(SEARCH("Residential",$K$48)),
INDEX(OP_RatesTU_RES_2[Jemena],MATCH(1,(OP_RatesTU_RES_2[Cost element]="Environmental")*(OP_RatesTU_RES_2[Rate name]=CH_CostStack_SME!$C100),0),1),
INDEX(OP_RatesTU_SME_2[Jemena],MATCH(1,(OP_RatesTU_SME_2[Cost element]="Environmental")*(OP_RatesTU_SME_2[Rate name]=CH_CostStack_SME!$C100),0),1))</f>
        <v>0</v>
      </c>
      <c r="O100" s="228" cm="1">
        <f t="array" ref="O100">IF(ISNUMBER(SEARCH("Residential",$K$48)),
INDEX(OP_RatesTU_RES_2[Powercor],MATCH(1,(OP_RatesTU_RES_2[Cost element]="Environmental")*(OP_RatesTU_RES_2[Rate name]=CH_CostStack_SME!$C100),0),1),
INDEX(OP_RatesTU_SME_2[Powercor],MATCH(1,(OP_RatesTU_SME_2[Cost element]="Environmental")*(OP_RatesTU_SME_2[Rate name]=CH_CostStack_SME!$C100),0),1))</f>
        <v>0</v>
      </c>
      <c r="P100" s="228" cm="1">
        <f t="array" ref="P100">IF(ISNUMBER(SEARCH("Residential",$K$48)),
INDEX(OP_RatesTU_RES_2[United Energy],MATCH(1,(OP_RatesTU_RES_2[Cost element]="Environmental")*(OP_RatesTU_RES_2[Rate name]=CH_CostStack_SME!$C100),0),1),
INDEX(OP_RatesTU_SME_2[United Energy],MATCH(1,(OP_RatesTU_SME_2[Cost element]="Environmental")*(OP_RatesTU_SME_2[Rate name]=CH_CostStack_SME!$C100),0),1))</f>
        <v>0</v>
      </c>
    </row>
    <row r="101" spans="3:16">
      <c r="C101" t="s">
        <v>70</v>
      </c>
      <c r="D101" s="228" cm="1">
        <f t="array" ref="D101">IF(ISNUMBER(SEARCH("Residential",$C$48)),
INDEX(OP_RatesTU_RES_1[Ausnet],MATCH(1,(OP_RatesTU_RES_1[Cost element]="Environmental")*(OP_RatesTU_RES_1[Rate name]=CH_CostStack_SME!$C101),0),1),
INDEX(OP_RatesTU_SME_1[Ausnet],MATCH(1,(OP_RatesTU_SME_1[Cost element]="Environmental")*(OP_RatesTU_SME_1[Rate name]=CH_CostStack_SME!$C101),0),1))</f>
        <v>0</v>
      </c>
      <c r="E101" s="228" cm="1">
        <f t="array" ref="E101">IF(ISNUMBER(SEARCH("Residential",$C$48)),
INDEX(OP_RatesTU_RES_1[Citipower],MATCH(1,(OP_RatesTU_RES_1[Cost element]="Environmental")*(OP_RatesTU_RES_1[Rate name]=CH_CostStack_SME!$C101),0),1),
INDEX(OP_RatesTU_SME_1[Citipower],MATCH(1,(OP_RatesTU_SME_1[Cost element]="Environmental")*(OP_RatesTU_SME_1[Rate name]=CH_CostStack_SME!$C101),0),1))</f>
        <v>-1.4016011881474891E-3</v>
      </c>
      <c r="F101" s="228" cm="1">
        <f t="array" ref="F101">IF(ISNUMBER(SEARCH("Residential",$C$48)),
INDEX(OP_RatesTU_RES_1[Jemena],MATCH(1,(OP_RatesTU_RES_1[Cost element]="Environmental")*(OP_RatesTU_RES_1[Rate name]=CH_CostStack_SME!$C101),0),1),
INDEX(OP_RatesTU_SME_1[Jemena],MATCH(1,(OP_RatesTU_SME_1[Cost element]="Environmental")*(OP_RatesTU_SME_1[Rate name]=CH_CostStack_SME!$C101),0),1))</f>
        <v>-1.3896720485833702E-3</v>
      </c>
      <c r="G101" s="228" cm="1">
        <f t="array" ref="G101">IF(ISNUMBER(SEARCH("Residential",$C$48)),
INDEX(OP_RatesTU_RES_1[Powercor],MATCH(1,(OP_RatesTU_RES_1[Cost element]="Environmental")*(OP_RatesTU_RES_1[Rate name]=CH_CostStack_SME!$C101),0),1),
INDEX(OP_RatesTU_SME_1[Powercor],MATCH(1,(OP_RatesTU_SME_1[Cost element]="Environmental")*(OP_RatesTU_SME_1[Rate name]=CH_CostStack_SME!$C101),0),1))</f>
        <v>-1.432313335205126E-3</v>
      </c>
      <c r="H101" s="228" cm="1">
        <f t="array" ref="H101">IF(ISNUMBER(SEARCH("Residential",$C$48)),
INDEX(OP_RatesTU_RES_1[United Energy],MATCH(1,(OP_RatesTU_RES_1[Cost element]="Environmental")*(OP_RatesTU_RES_1[Rate name]=CH_CostStack_SME!$C101),0),1),
INDEX(OP_RatesTU_SME_1[United Energy],MATCH(1,(OP_RatesTU_SME_1[Cost element]="Environmental")*(OP_RatesTU_SME_1[Rate name]=CH_CostStack_SME!$C101),0),1))</f>
        <v>-1.3977880905040913E-3</v>
      </c>
      <c r="K101" t="s">
        <v>70</v>
      </c>
      <c r="L101" s="228" cm="1">
        <f t="array" ref="L101">IF(ISNUMBER(SEARCH("Residential",$K$48)),
INDEX(OP_RatesTU_RES_2[Ausnet],MATCH(1,(OP_RatesTU_RES_2[Cost element]="Environmental")*(OP_RatesTU_RES_2[Rate name]=CH_CostStack_SME!$C101),0),1),
INDEX(OP_RatesTU_SME_2[Ausnet],MATCH(1,(OP_RatesTU_SME_2[Cost element]="Environmental")*(OP_RatesTU_SME_2[Rate name]=CH_CostStack_SME!$C101),0),1))</f>
        <v>0</v>
      </c>
      <c r="M101" s="228" cm="1">
        <f t="array" ref="M101">IF(ISNUMBER(SEARCH("Residential",$K$48)),
INDEX(OP_RatesTU_RES_2[Citipower],MATCH(1,(OP_RatesTU_RES_2[Cost element]="Environmental")*(OP_RatesTU_RES_2[Rate name]=CH_CostStack_SME!$C101),0),1),
INDEX(OP_RatesTU_SME_2[Citipower],MATCH(1,(OP_RatesTU_SME_2[Cost element]="Environmental")*(OP_RatesTU_SME_2[Rate name]=CH_CostStack_SME!$C101),0),1))</f>
        <v>4.2329571152283947E-4</v>
      </c>
      <c r="N101" s="228" cm="1">
        <f t="array" ref="N101">IF(ISNUMBER(SEARCH("Residential",$K$48)),
INDEX(OP_RatesTU_RES_2[Jemena],MATCH(1,(OP_RatesTU_RES_2[Cost element]="Environmental")*(OP_RatesTU_RES_2[Rate name]=CH_CostStack_SME!$C101),0),1),
INDEX(OP_RatesTU_SME_2[Jemena],MATCH(1,(OP_RatesTU_SME_2[Cost element]="Environmental")*(OP_RatesTU_SME_2[Rate name]=CH_CostStack_SME!$C101),0),1))</f>
        <v>4.2108355321215024E-4</v>
      </c>
      <c r="O101" s="228" cm="1">
        <f t="array" ref="O101">IF(ISNUMBER(SEARCH("Residential",$K$48)),
INDEX(OP_RatesTU_RES_2[Powercor],MATCH(1,(OP_RatesTU_RES_2[Cost element]="Environmental")*(OP_RatesTU_RES_2[Rate name]=CH_CostStack_SME!$C101),0),1),
INDEX(OP_RatesTU_SME_2[Powercor],MATCH(1,(OP_RatesTU_SME_2[Cost element]="Environmental")*(OP_RatesTU_SME_2[Rate name]=CH_CostStack_SME!$C101),0),1))</f>
        <v>4.3289302051611621E-4</v>
      </c>
      <c r="P101" s="228" cm="1">
        <f t="array" ref="P101">IF(ISNUMBER(SEARCH("Residential",$K$48)),
INDEX(OP_RatesTU_RES_2[United Energy],MATCH(1,(OP_RatesTU_RES_2[Cost element]="Environmental")*(OP_RatesTU_RES_2[Rate name]=CH_CostStack_SME!$C101),0),1),
INDEX(OP_RatesTU_SME_2[United Energy],MATCH(1,(OP_RatesTU_SME_2[Cost element]="Environmental")*(OP_RatesTU_SME_2[Rate name]=CH_CostStack_SME!$C101),0),1))</f>
        <v>4.2336209237385492E-4</v>
      </c>
    </row>
    <row r="107" spans="3:16">
      <c r="D107" s="97"/>
    </row>
  </sheetData>
  <sheetProtection algorithmName="SHA-512" hashValue="BY6efGEc3NZE/ad1f+n6kRY/IPqAX7lmzSi7qcV3aure6Otu5y+Lb703zLiGw8hHu5QOj7/ePBFOoxGVok0Pyw==" saltValue="5QlyPndRstntA3CHxx4+vQ==" spinCount="100000" sheet="1" objects="1" scenarios="1"/>
  <mergeCells count="1">
    <mergeCell ref="A2:A3"/>
  </mergeCells>
  <dataValidations count="2">
    <dataValidation type="list" allowBlank="1" showInputMessage="1" showErrorMessage="1" sqref="D32" xr:uid="{2187647A-835C-4D4E-B0A0-B9A51F686925}">
      <formula1>"Residential,Small business"</formula1>
    </dataValidation>
    <dataValidation type="list" allowBlank="1" showInputMessage="1" showErrorMessage="1" sqref="D31" xr:uid="{9943CC72-C043-4495-A77C-2FEAC5134203}">
      <formula1>$D$54:$I$54</formula1>
    </dataValidation>
  </dataValidations>
  <hyperlinks>
    <hyperlink ref="B1" location="Contents!A1" display="&lt;&lt; Back to contents" xr:uid="{75B97840-F5C0-4F50-8979-ED245022A76E}"/>
  </hyperlinks>
  <pageMargins left="0.7" right="0.7" top="0.75" bottom="0.75" header="0.3" footer="0.3"/>
  <pageSetup paperSize="9" orientation="portrait" r:id="rId1"/>
  <headerFooter>
    <oddHeader>&amp;C&amp;B&amp;"Arial"&amp;12&amp;Kff0000​‌OFFICIAL‌​</oddHeader>
  </headerFooter>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109B-29B5-4AE2-A0AB-97F0D92BF6B8}">
  <sheetPr>
    <tabColor rgb="FFFFB13F"/>
    <pageSetUpPr autoPageBreaks="0"/>
  </sheetPr>
  <dimension ref="A1:X107"/>
  <sheetViews>
    <sheetView showGridLines="0" topLeftCell="B1" zoomScale="90" zoomScaleNormal="90" workbookViewId="0">
      <pane ySplit="3" topLeftCell="A4" activePane="bottomLeft" state="frozen"/>
      <selection activeCell="D18" sqref="D18"/>
      <selection pane="bottomLeft" activeCell="D31" sqref="D31"/>
    </sheetView>
  </sheetViews>
  <sheetFormatPr defaultColWidth="9.453125" defaultRowHeight="14.5" outlineLevelRow="1" outlineLevelCol="1"/>
  <cols>
    <col min="1" max="1" width="100.54296875" hidden="1" customWidth="1" outlineLevel="1"/>
    <col min="2" max="2" width="10.54296875" style="6" customWidth="1" collapsed="1"/>
    <col min="3" max="17" width="25.54296875" customWidth="1"/>
    <col min="18" max="18" width="5.54296875" customWidth="1"/>
    <col min="19" max="19" width="11.453125" bestFit="1" customWidth="1"/>
    <col min="22" max="22" width="13.453125" bestFit="1" customWidth="1"/>
  </cols>
  <sheetData>
    <row r="1" spans="1:18" ht="15" customHeight="1">
      <c r="A1" s="1" t="s">
        <v>15</v>
      </c>
      <c r="B1" s="234" t="s">
        <v>569</v>
      </c>
      <c r="C1" s="19"/>
      <c r="D1" s="19"/>
      <c r="E1" s="19"/>
      <c r="F1" s="102" t="s">
        <v>52</v>
      </c>
      <c r="G1" s="87"/>
      <c r="H1" s="19"/>
      <c r="I1" s="19"/>
      <c r="J1" s="19"/>
      <c r="K1" s="19"/>
      <c r="L1" s="19"/>
      <c r="M1" s="19"/>
      <c r="N1" s="19"/>
      <c r="O1" s="19"/>
      <c r="P1" s="19"/>
      <c r="Q1" s="19"/>
      <c r="R1" s="19"/>
    </row>
    <row r="2" spans="1:18" s="4" customFormat="1" ht="50.15" customHeight="1">
      <c r="A2" s="236" t="s">
        <v>16</v>
      </c>
      <c r="B2" s="22"/>
      <c r="C2" s="22" t="str">
        <f>[1]Disclaimer!$B$1</f>
        <v>VDO calculation model</v>
      </c>
      <c r="D2" s="22"/>
      <c r="E2" s="22"/>
      <c r="F2" s="156" t="str">
        <f>[1]Calc_Rates!$D$5</f>
        <v>VDO 2023-24 - Final</v>
      </c>
      <c r="G2" s="156" t="str">
        <f>[1]Calc_Rates!$D$266</f>
        <v>VDO 2022-23 - Final</v>
      </c>
      <c r="H2" s="22"/>
      <c r="I2" s="22"/>
      <c r="J2" s="22"/>
      <c r="K2" s="22"/>
      <c r="L2" s="22"/>
      <c r="M2" s="22"/>
      <c r="N2" s="22"/>
      <c r="O2" s="22"/>
      <c r="P2" s="22"/>
      <c r="Q2" s="22"/>
      <c r="R2" s="22"/>
    </row>
    <row r="3" spans="1:18" s="4" customFormat="1" ht="30" customHeight="1">
      <c r="A3" s="237"/>
      <c r="B3" s="24">
        <f ca="1">_xlfn.SHEET()</f>
        <v>9</v>
      </c>
      <c r="C3" s="23" t="s">
        <v>544</v>
      </c>
      <c r="D3" s="23"/>
      <c r="E3" s="23"/>
      <c r="F3" s="86">
        <f>SUM(D68:H68,M35)</f>
        <v>0</v>
      </c>
      <c r="G3" s="86">
        <f>SUM(L68:P68,M36)</f>
        <v>0</v>
      </c>
      <c r="H3" s="23"/>
      <c r="I3" s="23"/>
      <c r="J3" s="23"/>
      <c r="K3" s="23"/>
      <c r="L3" s="23"/>
      <c r="M3" s="23"/>
      <c r="N3" s="23"/>
      <c r="O3" s="23"/>
      <c r="P3" s="23"/>
      <c r="Q3" s="23"/>
      <c r="R3" s="23"/>
    </row>
    <row r="4" spans="1:18">
      <c r="B4"/>
    </row>
    <row r="5" spans="1:18" ht="16" thickBot="1">
      <c r="A5" s="1" t="s">
        <v>18</v>
      </c>
      <c r="B5" s="216">
        <f ca="1">MAX(B$3:B4)+0.01</f>
        <v>9.01</v>
      </c>
      <c r="C5" s="25" t="str">
        <f>"VDO cost stack chart - Flat VDO - "&amp;IF(ISNUMBER(SEARCH("Residential",$C$48)),"Residential","Small business")</f>
        <v>VDO cost stack chart - Flat VDO - Small business</v>
      </c>
      <c r="D5" s="25"/>
      <c r="E5" s="25"/>
      <c r="F5" s="25"/>
      <c r="G5" s="25"/>
      <c r="H5" s="25"/>
      <c r="I5" s="25"/>
      <c r="J5" s="25"/>
      <c r="K5" s="25"/>
      <c r="L5" s="25"/>
      <c r="M5" s="25"/>
      <c r="N5" s="25"/>
      <c r="O5" s="25"/>
      <c r="P5" s="25"/>
      <c r="Q5" s="25"/>
      <c r="R5" s="25"/>
    </row>
    <row r="6" spans="1:18" outlineLevel="1">
      <c r="B6"/>
    </row>
    <row r="7" spans="1:18" outlineLevel="1">
      <c r="B7"/>
    </row>
    <row r="8" spans="1:18" outlineLevel="1">
      <c r="B8"/>
    </row>
    <row r="9" spans="1:18" outlineLevel="1">
      <c r="B9"/>
    </row>
    <row r="10" spans="1:18" outlineLevel="1">
      <c r="B10"/>
      <c r="K10" t="s">
        <v>117</v>
      </c>
    </row>
    <row r="11" spans="1:18" outlineLevel="1">
      <c r="B11"/>
    </row>
    <row r="12" spans="1:18" outlineLevel="1">
      <c r="B12"/>
    </row>
    <row r="13" spans="1:18" outlineLevel="1">
      <c r="B13"/>
    </row>
    <row r="14" spans="1:18" outlineLevel="1">
      <c r="B14"/>
    </row>
    <row r="15" spans="1:18" outlineLevel="1">
      <c r="B15"/>
    </row>
    <row r="16" spans="1:18" outlineLevel="1">
      <c r="B16"/>
    </row>
    <row r="17" spans="2:16" outlineLevel="1">
      <c r="B17"/>
    </row>
    <row r="18" spans="2:16" outlineLevel="1">
      <c r="B18"/>
    </row>
    <row r="19" spans="2:16" outlineLevel="1">
      <c r="B19"/>
    </row>
    <row r="20" spans="2:16" outlineLevel="1">
      <c r="B20"/>
    </row>
    <row r="21" spans="2:16" outlineLevel="1">
      <c r="B21"/>
    </row>
    <row r="22" spans="2:16" outlineLevel="1">
      <c r="B22"/>
    </row>
    <row r="23" spans="2:16" outlineLevel="1">
      <c r="B23"/>
    </row>
    <row r="24" spans="2:16" outlineLevel="1">
      <c r="B24"/>
    </row>
    <row r="25" spans="2:16" outlineLevel="1">
      <c r="B25"/>
    </row>
    <row r="26" spans="2:16" outlineLevel="1">
      <c r="B26"/>
    </row>
    <row r="27" spans="2:16" outlineLevel="1">
      <c r="B27"/>
    </row>
    <row r="28" spans="2:16" outlineLevel="1">
      <c r="B28"/>
    </row>
    <row r="29" spans="2:16" outlineLevel="1">
      <c r="B29"/>
    </row>
    <row r="30" spans="2:16" outlineLevel="1">
      <c r="B30"/>
    </row>
    <row r="31" spans="2:16" ht="15.5" outlineLevel="1">
      <c r="B31"/>
      <c r="C31" s="38" t="s">
        <v>464</v>
      </c>
      <c r="D31" s="233" t="s">
        <v>465</v>
      </c>
    </row>
    <row r="32" spans="2:16" ht="15.5" outlineLevel="1">
      <c r="B32"/>
      <c r="C32" s="38" t="s">
        <v>545</v>
      </c>
      <c r="D32" s="91" t="s">
        <v>66</v>
      </c>
      <c r="P32" s="78"/>
    </row>
    <row r="33" spans="1:22" outlineLevel="1">
      <c r="B33"/>
    </row>
    <row r="34" spans="1:22" ht="15.5" outlineLevel="1">
      <c r="B34"/>
      <c r="C34" s="38" t="s">
        <v>466</v>
      </c>
      <c r="D34" s="38" t="s">
        <v>140</v>
      </c>
      <c r="E34" s="38" t="s">
        <v>80</v>
      </c>
      <c r="F34" s="38" t="s">
        <v>89</v>
      </c>
      <c r="G34" s="38" t="s">
        <v>82</v>
      </c>
      <c r="H34" s="38" t="s">
        <v>92</v>
      </c>
      <c r="I34" s="38" t="s">
        <v>383</v>
      </c>
      <c r="J34" s="38" t="s">
        <v>98</v>
      </c>
      <c r="K34" s="38" t="s">
        <v>467</v>
      </c>
    </row>
    <row r="35" spans="1:22" ht="15.5" outlineLevel="1">
      <c r="B35"/>
      <c r="C35" s="75" t="str">
        <f>$L$45</f>
        <v>VDO 2022-23 - Final</v>
      </c>
      <c r="D35" s="92">
        <f>INDEX(CostStackCalcs_SME_4[[Ausnet]:[Average]],MATCH(D$34,CostStackCalcs_SME_4[Labels],0),MATCH($D$31,CostStackCalcs_SME_4[[#Headers],[Ausnet]:[Average]],0))</f>
        <v>739.2203671168968</v>
      </c>
      <c r="E35" s="92">
        <f>INDEX(CostStackCalcs_SME_4[[Ausnet]:[Average]],MATCH(E$34,CostStackCalcs_SME_4[[Labels]:[Labels]],0),MATCH($D$31,CostStackCalcs_SME_4[[#Headers],[Ausnet]:[Average]],0))</f>
        <v>1340.3432571067067</v>
      </c>
      <c r="F35" s="92">
        <f>INDEX(CostStackCalcs_SME_4[[Ausnet]:[Average]],MATCH(F$34,CostStackCalcs_SME_4[[Labels]:[Labels]],0),MATCH($D$31,CostStackCalcs_SME_4[[#Headers],[Ausnet]:[Average]],0))</f>
        <v>187.35930628726288</v>
      </c>
      <c r="G35" s="92">
        <f>INDEX(CostStackCalcs_SME_4[[Ausnet]:[Average]],MATCH("Environmental schemes",CostStackCalcs_SME_4[[Labels]:[Labels]],0),MATCH($D$31,CostStackCalcs_SME_4[[#Headers],[Ausnet]:[Average]],0))+
INDEX(CostStackCalcs_SME_4[[Ausnet]:[Average]],MATCH("FiT",CostStackCalcs_SME_4[[Labels]:[Labels]],0),MATCH($D$31,CostStackCalcs_SME_4[[#Headers],[Ausnet]:[Average]],0))+
IF(INDEX(CostStackCalcs_SME_4[[Ausnet]:[Average]],MATCH("Environmental true up",CostStackCalcs_SME_4[[Labels]:[Labels]],0),MATCH($D$31,CostStackCalcs_SME_4[[#Headers],[Ausnet]:[Average]],0))="-",0,
INDEX(CostStackCalcs_SME_4[[Ausnet]:[Average]],MATCH("Environmental true up",CostStackCalcs_SME_4[[Labels]:[Labels]],0),MATCH($D$31,CostStackCalcs_SME_4[[#Headers],[Ausnet]:[Average]],0)))</f>
        <v>320.28322114002123</v>
      </c>
      <c r="H35" s="92">
        <f>INDEX(CostStackCalcs_SME_4[[Ausnet]:[Average]],MATCH(H$34,CostStackCalcs_SME_4[[Labels]:[Labels]],0),MATCH($D$31,CostStackCalcs_SME_4[[#Headers],[Ausnet]:[Average]],0))</f>
        <v>18.242897068371828</v>
      </c>
      <c r="I35" s="92">
        <f>INDEX(CostStackCalcs_SME_4[[Ausnet]:[Average]],MATCH(I$34,CostStackCalcs_SME_4[[Labels]:[Labels]],0),MATCH($D$31,CostStackCalcs_SME_4[[#Headers],[Ausnet]:[Average]],0))</f>
        <v>157.11100565834255</v>
      </c>
      <c r="J35" s="92">
        <f>INDEX(CostStackCalcs_SME_4[[Ausnet]:[Average]],MATCH(J$34,CostStackCalcs_SME_4[[Labels]:[Labels]],0),MATCH($D$31,CostStackCalcs_SME_4[[#Headers],[Ausnet]:[Average]],0))</f>
        <v>275.82865960282527</v>
      </c>
      <c r="K35" s="92">
        <f>INDEX(CostStackCalcs_SME_4[[Ausnet]:[Average]],MATCH(K$34,CostStackCalcs_SME_4[[Labels]:[Labels]],0),MATCH($D$31,CostStackCalcs_SME_4[[#Headers],[Ausnet]:[Average]],0))</f>
        <v>3039</v>
      </c>
      <c r="M35" s="21">
        <f>IF(OR(ROUNDUP(SUM(D35:J35),0)-K35&lt;1,ROUNDUP(SUM(D35:J35),0)-K35&gt;-1),0,1)</f>
        <v>0</v>
      </c>
    </row>
    <row r="36" spans="1:22" ht="15.5" outlineLevel="1">
      <c r="B36"/>
      <c r="C36" s="75" t="str">
        <f>$D$45</f>
        <v>VDO 2023-24 - Final</v>
      </c>
      <c r="D36" s="92">
        <f>INDEX(CostStackCalcs_SME_3[[Ausnet]:[Average]],MATCH(D$34,CostStackCalcs_SME_3[[Labels]:[Labels]],0),MATCH($D$31,CostStackCalcs_SME_3[[#Headers],[Ausnet]:[Average]],0))</f>
        <v>1357.5515346254031</v>
      </c>
      <c r="E36" s="92">
        <f>INDEX(CostStackCalcs_SME_3[[Ausnet]:[Average]],MATCH(E$34,CostStackCalcs_SME_3[[Labels]:[Labels]],0),MATCH($D$31,CostStackCalcs_SME_3[[#Headers],[Ausnet]:[Average]],0))</f>
        <v>1395.1974513925231</v>
      </c>
      <c r="F36" s="92">
        <f>INDEX(CostStackCalcs_SME_3[[Ausnet]:[Average]],MATCH(F$34,CostStackCalcs_SME_3[[Labels]:[Labels]],0),MATCH($D$31,CostStackCalcs_SME_3[[#Headers],[Ausnet]:[Average]],0))</f>
        <v>175.92415101117138</v>
      </c>
      <c r="G36" s="92">
        <f>INDEX(CostStackCalcs_SME_3[[Ausnet]:[Average]],MATCH("Environmental schemes",CostStackCalcs_SME_3[[Labels]:[Labels]],0),MATCH($D$31,CostStackCalcs_SME_3[[#Headers],[Ausnet]:[Average]],0))+
INDEX(CostStackCalcs_SME_3[[Ausnet]:[Average]],MATCH("FiT",CostStackCalcs_SME_3[[Labels]:[Labels]],0),MATCH($D$31,CostStackCalcs_SME_3[[#Headers],[Ausnet]:[Average]],0))+
IF(INDEX(CostStackCalcs_SME_3[[Ausnet]:[Average]],MATCH("Environmental true up",CostStackCalcs_SME_3[[Labels]:[Labels]],0),MATCH($D$31,CostStackCalcs_SME_3[[#Headers],[Ausnet]:[Average]],0))="-",0,
INDEX(CostStackCalcs_SME_3[[Ausnet]:[Average]],MATCH("Environmental true up",CostStackCalcs_SME_3[[Labels]:[Labels]],0),MATCH($D$31,CostStackCalcs_SME_3[[#Headers],[Ausnet]:[Average]],0)))</f>
        <v>303.8221071248704</v>
      </c>
      <c r="H36" s="92">
        <f>INDEX(CostStackCalcs_SME_3[[Ausnet]:[Average]],MATCH(H$34,CostStackCalcs_SME_3[[Labels]:[Labels]],0),MATCH($D$31,CostStackCalcs_SME_3[[#Headers],[Ausnet]:[Average]],0))</f>
        <v>28.443481536271662</v>
      </c>
      <c r="I36" s="92">
        <f>INDEX(CostStackCalcs_SME_3[[Ausnet]:[Average]],MATCH(I$34,CostStackCalcs_SME_3[[Labels]:[Labels]],0),MATCH($D$31,CostStackCalcs_SME_3[[#Headers],[Ausnet]:[Average]],0))</f>
        <v>183.40618237296695</v>
      </c>
      <c r="J36" s="92">
        <f>INDEX(CostStackCalcs_SME_3[[Ausnet]:[Average]],MATCH(J$34,CostStackCalcs_SME_3[[Labels]:[Labels]],0),MATCH($D$31,CostStackCalcs_SME_3[[#Headers],[Ausnet]:[Average]],0))</f>
        <v>345.8516581890234</v>
      </c>
      <c r="K36" s="92">
        <f>INDEX(CostStackCalcs_SME_3[[Ausnet]:[Average]],MATCH(K$34,CostStackCalcs_SME_3[[Labels]:[Labels]],0),MATCH($D$31,CostStackCalcs_SME_3[[#Headers],[Ausnet]:[Average]],0))</f>
        <v>3791</v>
      </c>
      <c r="M36" s="21">
        <f>IF(OR(ROUNDUP(SUM(D36:J36),0)-K36&lt;1,ROUNDUP(SUM(D36:J36),0)-K36&gt;-1),0,1)</f>
        <v>0</v>
      </c>
    </row>
    <row r="37" spans="1:22" outlineLevel="1">
      <c r="B37"/>
      <c r="M37" s="101"/>
      <c r="N37" s="100"/>
    </row>
    <row r="38" spans="1:22" outlineLevel="1">
      <c r="B38"/>
      <c r="C38" s="75" t="str">
        <f>$L$45</f>
        <v>VDO 2022-23 - Final</v>
      </c>
      <c r="D38" s="97">
        <f>D35/$K35</f>
        <v>0.24324460912040038</v>
      </c>
      <c r="E38" s="97">
        <f t="shared" ref="E38:K39" si="0">E35/$K35</f>
        <v>0.44104746861030164</v>
      </c>
      <c r="F38" s="97">
        <f t="shared" si="0"/>
        <v>6.1651630894130595E-2</v>
      </c>
      <c r="G38" s="97">
        <f t="shared" si="0"/>
        <v>0.10539099083251768</v>
      </c>
      <c r="H38" s="97">
        <f t="shared" si="0"/>
        <v>6.0029276302638462E-3</v>
      </c>
      <c r="I38" s="97">
        <f t="shared" si="0"/>
        <v>5.1698257867174253E-2</v>
      </c>
      <c r="J38" s="97">
        <f t="shared" si="0"/>
        <v>9.0762967950913223E-2</v>
      </c>
      <c r="K38" s="97">
        <f t="shared" si="0"/>
        <v>1</v>
      </c>
    </row>
    <row r="39" spans="1:22" outlineLevel="1">
      <c r="B39"/>
      <c r="C39" s="75" t="str">
        <f>$D$45</f>
        <v>VDO 2023-24 - Final</v>
      </c>
      <c r="D39" s="97">
        <f>D36/$K36</f>
        <v>0.35809853195077895</v>
      </c>
      <c r="E39" s="97">
        <f>E36/$K36</f>
        <v>0.36802887137761098</v>
      </c>
      <c r="F39" s="97">
        <f t="shared" si="0"/>
        <v>4.6405737539216931E-2</v>
      </c>
      <c r="G39" s="97">
        <f>G36/$K36</f>
        <v>8.0142998450242781E-2</v>
      </c>
      <c r="H39" s="97">
        <f t="shared" si="0"/>
        <v>7.5028967386630606E-3</v>
      </c>
      <c r="I39" s="97">
        <f t="shared" si="0"/>
        <v>4.8379367547604052E-2</v>
      </c>
      <c r="J39" s="97">
        <f t="shared" si="0"/>
        <v>9.1229664518339068E-2</v>
      </c>
      <c r="K39" s="97">
        <f t="shared" si="0"/>
        <v>1</v>
      </c>
    </row>
    <row r="40" spans="1:22" ht="15.5" outlineLevel="1">
      <c r="B40"/>
      <c r="C40" s="26" t="s">
        <v>546</v>
      </c>
      <c r="D40" s="97">
        <f>(D36-D35)/D35</f>
        <v>0.8364639220103175</v>
      </c>
      <c r="E40" s="97">
        <f t="shared" ref="E40:K40" si="1">(E36-E35)/E35</f>
        <v>4.0925482330717189E-2</v>
      </c>
      <c r="F40" s="97">
        <f t="shared" si="1"/>
        <v>-6.1033292141671934E-2</v>
      </c>
      <c r="G40" s="97">
        <f>(G36-G35)/G35</f>
        <v>-5.1395492890819801E-2</v>
      </c>
      <c r="H40" s="97">
        <f t="shared" si="1"/>
        <v>0.55915375883937013</v>
      </c>
      <c r="I40" s="97">
        <f t="shared" si="1"/>
        <v>0.16736686653133989</v>
      </c>
      <c r="J40" s="97">
        <f t="shared" si="1"/>
        <v>0.25386411508878931</v>
      </c>
      <c r="K40" s="97">
        <f t="shared" si="1"/>
        <v>0.24744981901941429</v>
      </c>
    </row>
    <row r="41" spans="1:22" ht="15.5" outlineLevel="1">
      <c r="B41"/>
      <c r="C41" s="26" t="s">
        <v>547</v>
      </c>
      <c r="D41" s="97">
        <f t="shared" ref="D41:J41" si="2">D38*D40</f>
        <v>0.20346533975271675</v>
      </c>
      <c r="E41" s="97">
        <f t="shared" si="2"/>
        <v>1.8050080383618442E-2</v>
      </c>
      <c r="F41" s="97">
        <f t="shared" si="2"/>
        <v>-3.7628019993719993E-3</v>
      </c>
      <c r="G41" s="97">
        <f t="shared" si="2"/>
        <v>-5.4166219200891177E-3</v>
      </c>
      <c r="H41" s="97">
        <f t="shared" si="2"/>
        <v>3.3565595485027422E-3</v>
      </c>
      <c r="I41" s="97">
        <f t="shared" si="2"/>
        <v>8.652575424358145E-3</v>
      </c>
      <c r="J41" s="97">
        <f t="shared" si="2"/>
        <v>2.304146054169073E-2</v>
      </c>
      <c r="K41" s="97">
        <f>SUM(D41:J41)</f>
        <v>0.24738659173142569</v>
      </c>
      <c r="M41" s="21">
        <f>IF(ROUND(K41,2)=ROUND(K40,2),0,1)</f>
        <v>0</v>
      </c>
    </row>
    <row r="42" spans="1:22">
      <c r="B42"/>
      <c r="K42" s="100"/>
      <c r="L42" s="101"/>
    </row>
    <row r="43" spans="1:22" ht="16" thickBot="1">
      <c r="A43" s="1" t="s">
        <v>18</v>
      </c>
      <c r="B43" s="216">
        <f ca="1">MAX(B$3:B42)+0.01</f>
        <v>9.02</v>
      </c>
      <c r="C43" s="25" t="str">
        <f>"VDO cost stack calcs - Flat VDO - "&amp;IF(ISNUMBER(SEARCH("Residential",$C$48)),"Residential","Small business")</f>
        <v>VDO cost stack calcs - Flat VDO - Small business</v>
      </c>
      <c r="D43" s="25"/>
      <c r="E43" s="25"/>
      <c r="F43" s="25"/>
      <c r="G43" s="25"/>
      <c r="H43" s="25"/>
      <c r="I43" s="25"/>
      <c r="J43" s="25"/>
      <c r="K43" s="25"/>
      <c r="L43" s="25"/>
      <c r="M43" s="25"/>
      <c r="N43" s="25"/>
      <c r="O43" s="25"/>
      <c r="P43" s="25"/>
      <c r="Q43" s="25"/>
      <c r="R43" s="25"/>
    </row>
    <row r="44" spans="1:22" outlineLevel="1">
      <c r="V44" s="97"/>
    </row>
    <row r="45" spans="1:22" ht="15.5" outlineLevel="1">
      <c r="C45" s="49" t="s">
        <v>31</v>
      </c>
      <c r="D45" s="37" t="str">
        <f>FY</f>
        <v>VDO 2023-24 - Final</v>
      </c>
      <c r="K45" s="49" t="s">
        <v>31</v>
      </c>
      <c r="L45" s="37" t="str">
        <f>PY</f>
        <v>VDO 2022-23 - Final</v>
      </c>
    </row>
    <row r="46" spans="1:22" ht="15.5" outlineLevel="1">
      <c r="C46" s="26"/>
      <c r="K46" s="26"/>
    </row>
    <row r="47" spans="1:22" ht="15.5" outlineLevel="1">
      <c r="C47" s="38" t="s">
        <v>165</v>
      </c>
      <c r="D47" s="45" t="s">
        <v>548</v>
      </c>
      <c r="F47" s="26"/>
      <c r="K47" s="38" t="s">
        <v>165</v>
      </c>
      <c r="L47" s="45" t="s">
        <v>548</v>
      </c>
    </row>
    <row r="48" spans="1:22" outlineLevel="1">
      <c r="C48" s="218" t="s">
        <v>167</v>
      </c>
      <c r="D48" s="219">
        <f>INDEX(Input_Usage[#Data],MATCH(C48&amp;" - Annual",Input_Usage[Ref],0),MATCH($D$45,[1]Inputs!$C$140:$Q$140,0))</f>
        <v>10000</v>
      </c>
      <c r="K48" s="75" t="str">
        <f>$C$48</f>
        <v>Small business - small</v>
      </c>
      <c r="L48" s="219">
        <f>INDEX(Input_Usage[#Data],MATCH(K48&amp;" - Annual",Input_Usage[Ref],0),MATCH($L$45,[1]Inputs!$C$140:$Q$140,0))</f>
        <v>10000</v>
      </c>
    </row>
    <row r="49" spans="3:24" ht="15.5" outlineLevel="1">
      <c r="C49" s="26"/>
      <c r="K49" s="26"/>
    </row>
    <row r="50" spans="3:24" ht="15.5" outlineLevel="1">
      <c r="C50" s="38" t="s">
        <v>67</v>
      </c>
      <c r="D50" s="219">
        <f>INDEX(Input_Usage[#Data],MATCH(C$48&amp;" - "&amp;C50,Input_Usage[Ref],0),MATCH(D$45,[1]Inputs!$C$140:$Q$140,0))</f>
        <v>4080</v>
      </c>
      <c r="G50" s="49" t="s">
        <v>501</v>
      </c>
      <c r="H50" s="75" t="str">
        <f>INDEX(Input_DecisionActual[Decision],MATCH(H51,Input_DecisionActual[Actual],0),1)</f>
        <v>VDO 2022-23 - Final</v>
      </c>
      <c r="I50" s="69">
        <f>INDEX(Input_TU_Periods[#Data],1,MATCH(H50,[1]Inputs!$C$244:$N$244,0))</f>
        <v>365</v>
      </c>
      <c r="K50" s="38" t="s">
        <v>67</v>
      </c>
      <c r="L50" s="219">
        <f>INDEX(Input_Usage[#Data],MATCH(K$48&amp;" - "&amp;K50,Input_Usage[Ref],0),MATCH(L$45,[1]Inputs!$C$140:$Q$140,0))</f>
        <v>4080</v>
      </c>
      <c r="O50" s="49" t="s">
        <v>501</v>
      </c>
      <c r="P50" s="75" t="str">
        <f>INDEX(Input_DecisionActual[Decision],MATCH(P51,Input_DecisionActual[Actual],0),1)</f>
        <v>VDO 2022 - Final</v>
      </c>
      <c r="Q50" s="69">
        <f>INDEX(Input_TU_Periods[#Data],1,MATCH(P50,[1]Inputs!$C$244:$N$244,0))</f>
        <v>365</v>
      </c>
    </row>
    <row r="51" spans="3:24" ht="15.5" outlineLevel="1">
      <c r="C51" s="38" t="s">
        <v>69</v>
      </c>
      <c r="D51" s="219">
        <f>INDEX(Input_Usage[#Data],MATCH(C$48&amp;" - "&amp;C51,Input_Usage[Ref],0),MATCH(D$45,[1]Inputs!$C$140:$Q$140,0))</f>
        <v>5920</v>
      </c>
      <c r="G51" s="49" t="s">
        <v>549</v>
      </c>
      <c r="H51" s="75" t="str">
        <f>D45</f>
        <v>VDO 2023-24 - Final</v>
      </c>
      <c r="I51" s="69">
        <f>INDEX(Input_TU_Periods[#Data],2,MATCH(H51,[1]Inputs!$C$244:$N$244,0))</f>
        <v>366</v>
      </c>
      <c r="K51" s="38" t="s">
        <v>69</v>
      </c>
      <c r="L51" s="219">
        <f>INDEX(Input_Usage[#Data],MATCH(K$48&amp;" - "&amp;K51,Input_Usage[Ref],0),MATCH(L$45,[1]Inputs!$C$140:$Q$140,0))</f>
        <v>5920</v>
      </c>
      <c r="O51" s="49" t="s">
        <v>549</v>
      </c>
      <c r="P51" s="75" t="str">
        <f>L45</f>
        <v>VDO 2022-23 - Final</v>
      </c>
      <c r="Q51" s="69">
        <f>INDEX(Input_TU_Periods[#Data],2,MATCH(P51,[1]Inputs!$C$244:$N$244,0))</f>
        <v>365</v>
      </c>
    </row>
    <row r="52" spans="3:24" ht="15.5" outlineLevel="1">
      <c r="C52" s="26"/>
      <c r="D52" s="95"/>
      <c r="G52" s="49" t="s">
        <v>270</v>
      </c>
      <c r="I52" s="177">
        <f>I50/I51</f>
        <v>0.99726775956284153</v>
      </c>
      <c r="K52" s="26"/>
      <c r="O52" s="49" t="s">
        <v>270</v>
      </c>
      <c r="Q52" s="177">
        <f>Q50/Q51</f>
        <v>1</v>
      </c>
    </row>
    <row r="53" spans="3:24" ht="15.5" outlineLevel="1">
      <c r="C53" s="26"/>
      <c r="D53" s="95"/>
      <c r="K53" s="26"/>
    </row>
    <row r="54" spans="3:24" ht="15.5" outlineLevel="1">
      <c r="C54" s="39" t="s">
        <v>550</v>
      </c>
      <c r="D54" s="54" t="s">
        <v>58</v>
      </c>
      <c r="E54" s="54" t="s">
        <v>59</v>
      </c>
      <c r="F54" s="54" t="s">
        <v>60</v>
      </c>
      <c r="G54" s="54" t="s">
        <v>61</v>
      </c>
      <c r="H54" s="54" t="s">
        <v>62</v>
      </c>
      <c r="I54" s="54" t="s">
        <v>465</v>
      </c>
      <c r="K54" s="39" t="s">
        <v>550</v>
      </c>
      <c r="L54" s="54" t="s">
        <v>58</v>
      </c>
      <c r="M54" s="54" t="s">
        <v>59</v>
      </c>
      <c r="N54" s="54" t="s">
        <v>60</v>
      </c>
      <c r="O54" s="54" t="s">
        <v>61</v>
      </c>
      <c r="P54" s="54" t="s">
        <v>62</v>
      </c>
      <c r="Q54" s="54" t="s">
        <v>465</v>
      </c>
    </row>
    <row r="55" spans="3:24" outlineLevel="1">
      <c r="C55" s="20" t="s">
        <v>140</v>
      </c>
      <c r="D55" s="220">
        <f>D$86*($D$48*(1+D$72))</f>
        <v>1395.4483407377236</v>
      </c>
      <c r="E55" s="220">
        <f>E$86*($D$48*(1+E$72))</f>
        <v>1321.7487583813038</v>
      </c>
      <c r="F55" s="220">
        <f>F$86*($D$48*(1+F$72))</f>
        <v>1361.1562465934878</v>
      </c>
      <c r="G55" s="220">
        <f>G$86*($D$48*(1+G$72))</f>
        <v>1344.4418315543239</v>
      </c>
      <c r="H55" s="220">
        <f>H$86*($D$48*(1+H$72))</f>
        <v>1364.9624958601773</v>
      </c>
      <c r="I55" s="221">
        <f>AVERAGE(D55:H55)</f>
        <v>1357.5515346254031</v>
      </c>
      <c r="K55" s="20" t="s">
        <v>140</v>
      </c>
      <c r="L55" s="220">
        <f>L$86*($L$48*(1+L$72))</f>
        <v>761.93095513749415</v>
      </c>
      <c r="M55" s="220">
        <f>M$86*($L$48*(1+M$72))</f>
        <v>739.51839681119998</v>
      </c>
      <c r="N55" s="220">
        <f>N$86*($L$48*(1+N$72))</f>
        <v>719.42316008512501</v>
      </c>
      <c r="O55" s="220">
        <f>O$86*($L$48*(1+O$72))</f>
        <v>749.41269381514508</v>
      </c>
      <c r="P55" s="220">
        <f>P$86*($L$48*(1+P$72))</f>
        <v>725.81662973551965</v>
      </c>
      <c r="Q55" s="221">
        <f>AVERAGE(L55:P55)</f>
        <v>739.2203671168968</v>
      </c>
      <c r="U55" s="222"/>
      <c r="V55" s="223"/>
    </row>
    <row r="56" spans="3:24" outlineLevel="1">
      <c r="C56" s="20" t="s">
        <v>80</v>
      </c>
      <c r="D56" s="220">
        <f>D$77+(D$91*$D$50)+(D$92*$D$51)+(D$93*$D$48)</f>
        <v>2196.3965757831479</v>
      </c>
      <c r="E56" s="220">
        <f>E$77+(E$91*$D$50)+(E$92*$D$51)+(E$93*$D$48)</f>
        <v>1034.759895686956</v>
      </c>
      <c r="F56" s="220">
        <f>F$77+(F$91*$D$50)+(F$92*$D$51)+(F$93*$D$48)</f>
        <v>1391.2703427550439</v>
      </c>
      <c r="G56" s="220">
        <f>G$77+(G$91*$D$50)+(G$92*$D$51)+(G$93*$D$48)</f>
        <v>1227.2371551055203</v>
      </c>
      <c r="H56" s="220">
        <f>H$77+(H$91*$D$50)+(H$92*$D$51)+(H$93*$D$48)</f>
        <v>1126.3232876319478</v>
      </c>
      <c r="I56" s="221">
        <f t="shared" ref="I56:I63" si="3">AVERAGE(D56:H56)</f>
        <v>1395.1974513925231</v>
      </c>
      <c r="K56" s="20" t="s">
        <v>80</v>
      </c>
      <c r="L56" s="220">
        <f>L$77+(L$91*$L$50)+(L$92*$L$51)+(L$93*$L$48)</f>
        <v>2128.4448116739832</v>
      </c>
      <c r="M56" s="220">
        <f>M$77+(M$91*$L$50)+(M$92*$L$51)+(M$93*$L$48)</f>
        <v>1028.8590691773436</v>
      </c>
      <c r="N56" s="220">
        <f>N$77+(N$91*$L$50)+(N$92*$L$51)+(N$93*$L$48)</f>
        <v>1285.6630124341132</v>
      </c>
      <c r="O56" s="220">
        <f>O$77+(O$91*$L$50)+(O$92*$L$51)+(O$93*$L$48)</f>
        <v>1171.1321314059685</v>
      </c>
      <c r="P56" s="220">
        <f>P$77+(P$91*$L$50)+(P$92*$L$51)+(P$93*$L$48)</f>
        <v>1087.6172608421246</v>
      </c>
      <c r="Q56" s="221">
        <f t="shared" ref="Q56:Q63" si="4">AVERAGE(L56:P56)</f>
        <v>1340.3432571067067</v>
      </c>
      <c r="T56" s="100"/>
      <c r="U56" s="222"/>
      <c r="V56" s="223"/>
      <c r="X56" s="78"/>
    </row>
    <row r="57" spans="3:24" outlineLevel="1">
      <c r="C57" s="20" t="s">
        <v>89</v>
      </c>
      <c r="D57" s="220">
        <f>D$75</f>
        <v>175.92415101117138</v>
      </c>
      <c r="E57" s="220">
        <f>E$75</f>
        <v>175.92415101117138</v>
      </c>
      <c r="F57" s="220">
        <f>F$75</f>
        <v>175.92415101117138</v>
      </c>
      <c r="G57" s="220">
        <f>G$75</f>
        <v>175.92415101117138</v>
      </c>
      <c r="H57" s="220">
        <f>H$75</f>
        <v>175.92415101117138</v>
      </c>
      <c r="I57" s="221">
        <f t="shared" si="3"/>
        <v>175.92415101117138</v>
      </c>
      <c r="K57" s="20" t="s">
        <v>89</v>
      </c>
      <c r="L57" s="220">
        <f>L$75</f>
        <v>187.35930628726288</v>
      </c>
      <c r="M57" s="220">
        <f>M$75</f>
        <v>187.35930628726288</v>
      </c>
      <c r="N57" s="220">
        <f>N$75</f>
        <v>187.35930628726288</v>
      </c>
      <c r="O57" s="220">
        <f>O$75</f>
        <v>187.35930628726288</v>
      </c>
      <c r="P57" s="220">
        <f>P$75</f>
        <v>187.35930628726288</v>
      </c>
      <c r="Q57" s="221">
        <f t="shared" si="4"/>
        <v>187.35930628726288</v>
      </c>
      <c r="U57" s="222"/>
      <c r="V57" s="223"/>
      <c r="X57" s="78"/>
    </row>
    <row r="58" spans="3:24" outlineLevel="1">
      <c r="C58" s="20" t="s">
        <v>469</v>
      </c>
      <c r="D58" s="220">
        <f>(D$84*($D$48*(1+D$72)))</f>
        <v>308.60880974690025</v>
      </c>
      <c r="E58" s="220">
        <f>(E$84*($D$48*(1+E$72)))</f>
        <v>297.11362773894132</v>
      </c>
      <c r="F58" s="220">
        <f>(F$84*($D$48*(1+F$72)))</f>
        <v>297.21694683758682</v>
      </c>
      <c r="G58" s="220">
        <f>(G$84*($D$48*(1+G$72)))</f>
        <v>304.63155774375548</v>
      </c>
      <c r="H58" s="220">
        <f>(H$84*($D$48*(1+H$72)))</f>
        <v>297.67010011809043</v>
      </c>
      <c r="I58" s="221">
        <f t="shared" si="3"/>
        <v>301.04820843705483</v>
      </c>
      <c r="K58" s="20" t="s">
        <v>469</v>
      </c>
      <c r="L58" s="220">
        <f>(L$84*($L$48*(1+L$72)))</f>
        <v>306.37781901130444</v>
      </c>
      <c r="M58" s="220">
        <f>(M$84*($L$48*(1+M$72)))</f>
        <v>297.1551509765867</v>
      </c>
      <c r="N58" s="220">
        <f>(N$84*($L$48*(1+N$72)))</f>
        <v>294.62603977279133</v>
      </c>
      <c r="O58" s="220">
        <f>(O$84*($L$48*(1+O$72)))</f>
        <v>303.6664701541834</v>
      </c>
      <c r="P58" s="220">
        <f>(P$84*($L$48*(1+P$72)))</f>
        <v>296.34673156634767</v>
      </c>
      <c r="Q58" s="221">
        <f>AVERAGE(L58:P58)</f>
        <v>299.6344422962427</v>
      </c>
      <c r="U58" s="222"/>
      <c r="V58" s="223"/>
      <c r="X58" s="78"/>
    </row>
    <row r="59" spans="3:24" outlineLevel="1">
      <c r="C59" s="20" t="s">
        <v>470</v>
      </c>
      <c r="D59" s="220">
        <f>D81</f>
        <v>16.945572514842485</v>
      </c>
      <c r="E59" s="220">
        <f>E81</f>
        <v>16.945572514842485</v>
      </c>
      <c r="F59" s="220">
        <f>F81</f>
        <v>16.945572514842485</v>
      </c>
      <c r="G59" s="220">
        <f>G81</f>
        <v>16.945572514842485</v>
      </c>
      <c r="H59" s="220">
        <f>H81</f>
        <v>16.945572514842485</v>
      </c>
      <c r="I59" s="221">
        <f>AVERAGE(D59:H59)</f>
        <v>16.945572514842485</v>
      </c>
      <c r="K59" s="20" t="s">
        <v>470</v>
      </c>
      <c r="L59" s="220">
        <f>L81</f>
        <v>16.375320494428642</v>
      </c>
      <c r="M59" s="220">
        <f t="shared" ref="M59:P59" si="5">M81</f>
        <v>16.375320494428642</v>
      </c>
      <c r="N59" s="220">
        <f t="shared" si="5"/>
        <v>16.375320494428642</v>
      </c>
      <c r="O59" s="220">
        <f t="shared" si="5"/>
        <v>16.375320494428642</v>
      </c>
      <c r="P59" s="220">
        <f t="shared" si="5"/>
        <v>16.375320494428642</v>
      </c>
      <c r="Q59" s="221">
        <f>AVERAGE(L59:P59)</f>
        <v>16.375320494428642</v>
      </c>
      <c r="U59" s="222"/>
      <c r="V59" s="223"/>
    </row>
    <row r="60" spans="3:24" outlineLevel="1">
      <c r="C60" s="20" t="s">
        <v>92</v>
      </c>
      <c r="D60" s="220">
        <f>D$79+(D$88*($D$48*(1+D$72)))</f>
        <v>28.890001845906461</v>
      </c>
      <c r="E60" s="220">
        <f>E$79+(E$88*($D$48*(1+E$72)))</f>
        <v>28.211109781750366</v>
      </c>
      <c r="F60" s="220">
        <f>F$79+(F$88*($D$48*(1+F$72)))</f>
        <v>28.217211687409421</v>
      </c>
      <c r="G60" s="220">
        <f>G$79+(G$88*($D$48*(1+G$72)))</f>
        <v>28.655109973797398</v>
      </c>
      <c r="H60" s="220">
        <f>H$79+(H$88*($D$48*(1+H$72)))</f>
        <v>28.243974392494664</v>
      </c>
      <c r="I60" s="221">
        <f t="shared" si="3"/>
        <v>28.443481536271662</v>
      </c>
      <c r="K60" s="20" t="s">
        <v>92</v>
      </c>
      <c r="L60" s="220">
        <f>L$79+(L$88*($L$48*(1+L$72)))</f>
        <v>18.560754537359117</v>
      </c>
      <c r="M60" s="220">
        <f>M$79+(M$88*($L$48*(1+M$72)))</f>
        <v>18.126032580883262</v>
      </c>
      <c r="N60" s="220">
        <f>N$79+(N$88*($L$48*(1+N$72)))</f>
        <v>18.006819771041236</v>
      </c>
      <c r="O60" s="220">
        <f>O$79+(O$88*($L$48*(1+O$72)))</f>
        <v>18.432951728516905</v>
      </c>
      <c r="P60" s="220">
        <f>P$79+(P$88*($L$48*(1+P$72)))</f>
        <v>18.087926724058619</v>
      </c>
      <c r="Q60" s="221">
        <f t="shared" si="4"/>
        <v>18.242897068371828</v>
      </c>
      <c r="U60" s="222"/>
      <c r="V60" s="223"/>
    </row>
    <row r="61" spans="3:24" outlineLevel="1">
      <c r="C61" s="20" t="s">
        <v>383</v>
      </c>
      <c r="D61" s="220">
        <f>SUM(D55:D60)*D$70</f>
        <v>230.84395329182274</v>
      </c>
      <c r="E61" s="220">
        <f>SUM(E55:E60)*E$70</f>
        <v>160.98337444643806</v>
      </c>
      <c r="F61" s="220">
        <f>SUM(F55:F60)*F$70</f>
        <v>183.16090639837435</v>
      </c>
      <c r="G61" s="220">
        <f>SUM(G55:G60)*G$70</f>
        <v>173.47878116259102</v>
      </c>
      <c r="H61" s="220">
        <f>SUM(H55:H60)*H$70</f>
        <v>168.56389656560856</v>
      </c>
      <c r="I61" s="221">
        <f t="shared" si="3"/>
        <v>183.40618237296695</v>
      </c>
      <c r="K61" s="20" t="s">
        <v>383</v>
      </c>
      <c r="L61" s="220">
        <f>SUM(L55:L60)*L$70</f>
        <v>206.51055761536668</v>
      </c>
      <c r="M61" s="220">
        <f>SUM(M55:M60)*M$70</f>
        <v>138.15855389019342</v>
      </c>
      <c r="N61" s="220">
        <f>SUM(N55:N60)*N$70</f>
        <v>152.29580099422364</v>
      </c>
      <c r="O61" s="220">
        <f>SUM(O55:O60)*O$70</f>
        <v>147.76128398268455</v>
      </c>
      <c r="P61" s="220">
        <f>SUM(P55:P60)*P$70</f>
        <v>140.82883180924441</v>
      </c>
      <c r="Q61" s="221">
        <f t="shared" si="4"/>
        <v>157.11100565834255</v>
      </c>
      <c r="U61" s="222"/>
      <c r="V61" s="223"/>
    </row>
    <row r="62" spans="3:24" outlineLevel="1">
      <c r="C62" s="20" t="s">
        <v>98</v>
      </c>
      <c r="D62" s="220">
        <f>SUM(D55:D61)*GST</f>
        <v>435.30574049315146</v>
      </c>
      <c r="E62" s="220">
        <f>SUM(E55:E61)*GST</f>
        <v>303.56864895614035</v>
      </c>
      <c r="F62" s="220">
        <f>SUM(F55:F61)*GST</f>
        <v>345.38913777979161</v>
      </c>
      <c r="G62" s="220">
        <f>SUM(G55:G61)*GST</f>
        <v>327.13141590660024</v>
      </c>
      <c r="H62" s="220">
        <f>SUM(H55:H61)*GST</f>
        <v>317.86334780943326</v>
      </c>
      <c r="I62" s="221">
        <f t="shared" si="3"/>
        <v>345.8516581890234</v>
      </c>
      <c r="K62" s="20" t="s">
        <v>98</v>
      </c>
      <c r="L62" s="220">
        <f>SUM(L55:L61)*GST</f>
        <v>362.55595247571995</v>
      </c>
      <c r="M62" s="220">
        <f>SUM(M55:M61)*GST</f>
        <v>242.5551830217899</v>
      </c>
      <c r="N62" s="220">
        <f>SUM(N55:N61)*GST</f>
        <v>267.37494598389861</v>
      </c>
      <c r="O62" s="220">
        <f>SUM(O55:O61)*GST</f>
        <v>259.41401578681905</v>
      </c>
      <c r="P62" s="220">
        <f>SUM(P55:P61)*GST</f>
        <v>247.24320074589866</v>
      </c>
      <c r="Q62" s="221">
        <f t="shared" si="4"/>
        <v>275.82865960282527</v>
      </c>
      <c r="U62" s="222"/>
      <c r="V62" s="223"/>
    </row>
    <row r="63" spans="3:24" outlineLevel="1">
      <c r="C63" s="20" t="s">
        <v>472</v>
      </c>
      <c r="D63" s="224">
        <f>(D$99*($D$50/$I$52))+(D$100*($D$51/$I$52))+(D$101*($D$48/$I$52))</f>
        <v>-14.490612246009229</v>
      </c>
      <c r="E63" s="224">
        <f>(E$99*($D$50/$I$52))+(E$100*($D$51/$I$52))+(E$101*($D$48/$I$52))</f>
        <v>-14.054411914026876</v>
      </c>
      <c r="F63" s="224">
        <f>(F$99*($D$50/$I$52))+(F$100*($D$51/$I$52))+(F$101*($D$48/$I$52))</f>
        <v>-13.934793692644204</v>
      </c>
      <c r="G63" s="224">
        <f>(G$99*($D$50/$I$52))+(G$100*($D$51/$I$52))+(G$101*($D$48/$I$52))</f>
        <v>-14.362374813289756</v>
      </c>
      <c r="H63" s="224">
        <f>(H$99*($D$50/$I$52))+(H$100*($D$51/$I$52))+(H$101*($D$48/$I$52))</f>
        <v>-14.016176469164312</v>
      </c>
      <c r="I63" s="221">
        <f t="shared" si="3"/>
        <v>-14.171673827026876</v>
      </c>
      <c r="K63" s="20" t="s">
        <v>472</v>
      </c>
      <c r="L63" s="224">
        <f>(L$99*($L$50/$Q$52))+(L$100*($L$51/$Q$52))+(L$101*($L$48/$Q$52))</f>
        <v>4.3609479704997938</v>
      </c>
      <c r="M63" s="224">
        <f>(M$99*($L$50/$Q$52))+(M$100*($L$51/$Q$52))+(M$101*($L$48/$Q$52))</f>
        <v>4.2329571152283947</v>
      </c>
      <c r="N63" s="224">
        <f>(N$99*($L$50/$Q$52))+(N$100*($L$51/$Q$52))+(N$101*($L$48/$Q$52))</f>
        <v>4.2108355321215027</v>
      </c>
      <c r="O63" s="224">
        <f>(O$99*($L$50/$Q$52))+(O$100*($L$51/$Q$52))+(O$101*($L$48/$Q$52))</f>
        <v>4.3289302051611624</v>
      </c>
      <c r="P63" s="224">
        <f>(P$99*($L$50/$Q$52))+(P$100*($L$51/$Q$52))+(P$101*($L$48/$Q$52))</f>
        <v>4.2336209237385489</v>
      </c>
      <c r="Q63" s="221">
        <f t="shared" si="4"/>
        <v>4.2734583493498803</v>
      </c>
      <c r="U63" s="222"/>
      <c r="V63" s="223"/>
    </row>
    <row r="64" spans="3:24" outlineLevel="1">
      <c r="C64" s="40" t="s">
        <v>551</v>
      </c>
      <c r="D64" s="225">
        <f>ROUNDUP(SUM(D55:D63),0)</f>
        <v>4774</v>
      </c>
      <c r="E64" s="225">
        <f>ROUNDUP(SUM(E55:E63),0)</f>
        <v>3326</v>
      </c>
      <c r="F64" s="225">
        <f>ROUNDUP(SUM(F55:F63),0)</f>
        <v>3786</v>
      </c>
      <c r="G64" s="225">
        <f>ROUNDUP(SUM(G55:G63),0)</f>
        <v>3585</v>
      </c>
      <c r="H64" s="225">
        <f>ROUNDUP(SUM(H55:H63),0)</f>
        <v>3483</v>
      </c>
      <c r="I64" s="221">
        <f>AVERAGE(D64:H64)</f>
        <v>3790.8</v>
      </c>
      <c r="K64" s="40" t="s">
        <v>551</v>
      </c>
      <c r="L64" s="225">
        <f>ROUNDUP(SUM(L55:L63),0)</f>
        <v>3993</v>
      </c>
      <c r="M64" s="225">
        <f>ROUNDUP(SUM(M55:M63),0)</f>
        <v>2673</v>
      </c>
      <c r="N64" s="225">
        <f>ROUNDUP(SUM(N55:N63),0)</f>
        <v>2946</v>
      </c>
      <c r="O64" s="225">
        <f>ROUNDUP(SUM(O55:O63),0)</f>
        <v>2858</v>
      </c>
      <c r="P64" s="225">
        <f>ROUNDUP(SUM(P55:P63),0)</f>
        <v>2724</v>
      </c>
      <c r="Q64" s="221">
        <f>AVERAGE(L64:P64)</f>
        <v>3038.8</v>
      </c>
      <c r="T64" s="95"/>
      <c r="U64" s="222"/>
      <c r="V64" s="223"/>
      <c r="X64" s="78"/>
    </row>
    <row r="65" spans="3:24" outlineLevel="1">
      <c r="C65" s="20"/>
      <c r="D65" s="220"/>
      <c r="E65" s="220"/>
      <c r="F65" s="220"/>
      <c r="G65" s="220"/>
      <c r="H65" s="220"/>
      <c r="I65" s="221"/>
      <c r="K65" s="20"/>
      <c r="L65" s="220"/>
      <c r="M65" s="220"/>
      <c r="N65" s="220"/>
      <c r="O65" s="220"/>
      <c r="P65" s="220"/>
      <c r="Q65" s="221"/>
      <c r="S65" s="93"/>
      <c r="V65" s="223"/>
    </row>
    <row r="66" spans="3:24" outlineLevel="1">
      <c r="C66" s="20" t="s">
        <v>467</v>
      </c>
      <c r="D66" s="221">
        <f>IF($D$32="Residential",
ROUNDUP(
(INDEX(OP_Rates_RES_1[[Ausnet]:[United Energy]],MATCH("Anytime - supply",OP_Rates_RES_1[[Rate name]:[Rate name]],0),MATCH(CostStackCalcs_RES_1[[#Headers],[Ausnet]],OP_Rates_RES_1[[#Headers],[Ausnet]:[United Energy]],0))*DiLY)+
(IFERROR((INDEX(OP_Rates_RES_1[[Ausnet]:[United Energy]],MATCH("Block 1",OP_Rates_RES_1[[Rate name]:[Rate name]],0),MATCH(CostStackCalcs_RES_1[[#Headers],[Ausnet]],OP_Rates_RES_1[[#Headers],[Ausnet]:[United Energy]],0))*$D$50),0)+
IFERROR((INDEX(OP_Rates_RES_1[[Ausnet]:[United Energy]],MATCH("Balance",OP_Rates_RES_1[[Rate name]:[Rate name]],0),MATCH(CostStackCalcs_RES_1[[#Headers],[Ausnet]],OP_Rates_RES_1[[#Headers],[Ausnet]:[United Energy]],0))*$D$51),0)+
IFERROR((INDEX(OP_Rates_RES_1[[Ausnet]:[United Energy]],MATCH("Single rate",OP_Rates_RES_1[[Rate name]:[Rate name]],0),MATCH(CostStackCalcs_RES_1[[#Headers],[Ausnet]],OP_Rates_RES_1[[#Headers],[Ausnet]:[United Energy]],0))*$D$48),0))
+
(IFERROR((INDEX(OP_RatesTU_RES_1[[Ausnet]:[United Energy]],MATCH("Block 1",OP_RatesTU_RES_1[[Rate name]:[Rate name]],0),MATCH(CostStackCalcs_RES_1[[#Headers],[Ausnet]],OP_RatesTU_RES_1[[#Headers],[Ausnet]:[United Energy]],0))*($D$50/$I$52)),0)+
IFERROR((INDEX(OP_RatesTU_RES_1[[Ausnet]:[United Energy]],MATCH("Balance",OP_RatesTU_RES_1[[Rate name]:[Rate name]],0),MATCH(CostStackCalcs_RES_1[[#Headers],[Ausnet]],OP_RatesTU_RES_1[[#Headers],[Ausnet]:[United Energy]],0))*($D$51/$I$52)),0)+
IFERROR((INDEX(OP_RatesTU_RES_1[[Ausnet]:[United Energy]],MATCH("Single rate",OP_RatesTU_RES_1[[Rate name]:[Rate name]],0),MATCH(CostStackCalcs_RES_1[[#Headers],[Ausnet]],OP_RatesTU_RES_1[[#Headers],[Ausnet]:[United Energy]],0))*($D$48/$I$52)),0)),0),ROUNDUP(
(INDEX(OP_Rates_SME_1[[Ausnet]:[United Energy]],MATCH("Anytime - supply",OP_Rates_SME_1[[Rate name]:[Rate name]],0),MATCH(CostStackCalcs_SME_3[[#Headers],[Ausnet]],OP_Rates_SME_1[[#Headers],[Ausnet]:[United Energy]],0))*DiLY)+
(IFERROR((INDEX(OP_Rates_SME_1[[Ausnet]:[United Energy]],MATCH("Block 1",OP_Rates_SME_1[[Rate name]:[Rate name]],0),MATCH(CostStackCalcs_SME_3[[#Headers],[Ausnet]],OP_Rates_SME_1[[#Headers],[Ausnet]:[United Energy]],0))*$D$50),0)+
IFERROR((INDEX(OP_Rates_SME_1[[Ausnet]:[United Energy]],MATCH("Balance",OP_Rates_SME_1[[Rate name]:[Rate name]],0),MATCH(CostStackCalcs_SME_3[[#Headers],[Ausnet]],OP_Rates_SME_1[[#Headers],[Ausnet]:[United Energy]],0))*$D$51),0)+
IFERROR((INDEX(OP_Rates_SME_1[[Ausnet]:[United Energy]],MATCH("Single rate",OP_Rates_SME_1[[Rate name]:[Rate name]],0),MATCH(CostStackCalcs_SME_3[[#Headers],[Ausnet]],OP_Rates_SME_1[[#Headers],[Ausnet]:[United Energy]],0))*$D$48),0))
+
(IFERROR((INDEX(OP_RatesTU_SME_1[[Ausnet]:[United Energy]],MATCH("Block 1",OP_RatesTU_SME_1[[Rate name]:[Rate name]],0),MATCH(CostStackCalcs_SME_3[[#Headers],[Ausnet]],OP_RatesTU_SME_1[[#Headers],[Ausnet]:[United Energy]],0))*($D$50/$I$52)),0)+
IFERROR((INDEX(OP_RatesTU_SME_1[[Ausnet]:[United Energy]],MATCH("Balance",OP_RatesTU_SME_1[[Rate name]:[Rate name]],0),MATCH(CostStackCalcs_SME_3[[#Headers],[Ausnet]],OP_RatesTU_SME_1[[#Headers],[Ausnet]:[United Energy]],0))*($D$51/$I$52)),0)+
IFERROR((INDEX(OP_RatesTU_SME_1[[Ausnet]:[United Energy]],MATCH("Single rate",OP_RatesTU_SME_1[[Rate name]:[Rate name]],0),MATCH(CostStackCalcs_SME_3[[#Headers],[Ausnet]],OP_RatesTU_SME_1[[#Headers],[Ausnet]:[United Energy]],0))*($D$48/$I$52)),0)),0))</f>
        <v>4774</v>
      </c>
      <c r="E66" s="221">
        <f>IF($D$32="Residential",
ROUNDUP(
(INDEX(OP_Rates_RES_1[[Ausnet]:[United Energy]],MATCH("Anytime - supply",OP_Rates_RES_1[[Rate name]:[Rate name]],0),MATCH(CostStackCalcs_RES_1[[#Headers],[Citipower]],OP_Rates_RES_1[[#Headers],[Ausnet]:[United Energy]],0))*DiLY)+
(IFERROR((INDEX(OP_Rates_RES_1[[Ausnet]:[United Energy]],MATCH("Block 1",OP_Rates_RES_1[[Rate name]:[Rate name]],0),MATCH(CostStackCalcs_RES_1[[#Headers],[Citipower]],OP_Rates_RES_1[[#Headers],[Ausnet]:[United Energy]],0))*$D$50),0)+
IFERROR((INDEX(OP_Rates_RES_1[[Ausnet]:[United Energy]],MATCH("Balance",OP_Rates_RES_1[[Rate name]:[Rate name]],0),MATCH(CostStackCalcs_RES_1[[#Headers],[Citipower]],OP_Rates_RES_1[[#Headers],[Ausnet]:[United Energy]],0))*$D$51),0)+
IFERROR((INDEX(OP_Rates_RES_1[[Ausnet]:[United Energy]],MATCH("Single rate",OP_Rates_RES_1[[Rate name]:[Rate name]],0),MATCH(CostStackCalcs_RES_1[[#Headers],[Citipower]],OP_Rates_RES_1[[#Headers],[Ausnet]:[United Energy]],0))*$D$48),0))
+
(IFERROR((INDEX(OP_RatesTU_RES_1[[Ausnet]:[United Energy]],MATCH("Block 1",OP_RatesTU_RES_1[[Rate name]:[Rate name]],0),MATCH(CostStackCalcs_RES_1[[#Headers],[Citipower]],OP_RatesTU_RES_1[[#Headers],[Ausnet]:[United Energy]],0))*($D$50/$I$52)),0)+
IFERROR((INDEX(OP_RatesTU_RES_1[[Ausnet]:[United Energy]],MATCH("Balance",OP_RatesTU_RES_1[[Rate name]:[Rate name]],0),MATCH(CostStackCalcs_RES_1[[#Headers],[Citipower]],OP_RatesTU_RES_1[[#Headers],[Ausnet]:[United Energy]],0))*($D$51/$I$52)),0)+
IFERROR((INDEX(OP_RatesTU_RES_1[[Ausnet]:[United Energy]],MATCH("Single rate",OP_RatesTU_RES_1[[Rate name]:[Rate name]],0),MATCH(CostStackCalcs_RES_1[[#Headers],[Citipower]],OP_RatesTU_RES_1[[#Headers],[Ausnet]:[United Energy]],0))*($D$48/$I$52)),0)),0),ROUNDUP(
(INDEX(OP_Rates_SME_1[[Ausnet]:[United Energy]],MATCH("Anytime - supply",OP_Rates_SME_1[[Rate name]:[Rate name]],0),MATCH(CostStackCalcs_SME_3[[#Headers],[Citipower]],OP_Rates_SME_1[[#Headers],[Ausnet]:[United Energy]],0))*DiLY)+
(IFERROR((INDEX(OP_Rates_SME_1[[Ausnet]:[United Energy]],MATCH("Block 1",OP_Rates_SME_1[[Rate name]:[Rate name]],0),MATCH(CostStackCalcs_SME_3[[#Headers],[Citipower]],OP_Rates_SME_1[[#Headers],[Ausnet]:[United Energy]],0))*$D$50),0)+
IFERROR((INDEX(OP_Rates_SME_1[[Ausnet]:[United Energy]],MATCH("Balance",OP_Rates_SME_1[[Rate name]:[Rate name]],0),MATCH(CostStackCalcs_SME_3[[#Headers],[Citipower]],OP_Rates_SME_1[[#Headers],[Ausnet]:[United Energy]],0))*$D$51),0)+
IFERROR((INDEX(OP_Rates_SME_1[[Ausnet]:[United Energy]],MATCH("Single rate",OP_Rates_SME_1[[Rate name]:[Rate name]],0),MATCH(CostStackCalcs_SME_3[[#Headers],[Citipower]],OP_Rates_SME_1[[#Headers],[Ausnet]:[United Energy]],0))*$D$48),0))
+
(IFERROR((INDEX(OP_RatesTU_SME_1[[Ausnet]:[United Energy]],MATCH("Block 1",OP_RatesTU_SME_1[[Rate name]:[Rate name]],0),MATCH(CostStackCalcs_SME_3[[#Headers],[Citipower]],OP_RatesTU_SME_1[[#Headers],[Ausnet]:[United Energy]],0))*($D$50/$I$52)),0)+
IFERROR((INDEX(OP_RatesTU_SME_1[[Ausnet]:[United Energy]],MATCH("Balance",OP_RatesTU_SME_1[[Rate name]:[Rate name]],0),MATCH(CostStackCalcs_SME_3[[#Headers],[Citipower]],OP_RatesTU_SME_1[[#Headers],[Ausnet]:[United Energy]],0))*($D$51/$I$52)),0)+
IFERROR((INDEX(OP_RatesTU_SME_1[[Ausnet]:[United Energy]],MATCH("Single rate",OP_RatesTU_SME_1[[Rate name]:[Rate name]],0),MATCH(CostStackCalcs_SME_3[[#Headers],[Citipower]],OP_RatesTU_SME_1[[#Headers],[Ausnet]:[United Energy]],0))*($D$48/$I$52)),0)),0))</f>
        <v>3326</v>
      </c>
      <c r="F66" s="221">
        <f>IF($D$32="Residential",
ROUNDUP(
(INDEX(OP_Rates_RES_1[[Ausnet]:[United Energy]],MATCH("Anytime - supply",OP_Rates_RES_1[[Rate name]:[Rate name]],0),MATCH(CostStackCalcs_RES_1[[#Headers],[Jemena]],OP_Rates_RES_1[[#Headers],[Ausnet]:[United Energy]],0))*DiLY)+
(IFERROR((INDEX(OP_Rates_RES_1[[Ausnet]:[United Energy]],MATCH("Block 1",OP_Rates_RES_1[[Rate name]:[Rate name]],0),MATCH(CostStackCalcs_RES_1[[#Headers],[Jemena]],OP_Rates_RES_1[[#Headers],[Ausnet]:[United Energy]],0))*$D$50),0)+
IFERROR((INDEX(OP_Rates_RES_1[[Ausnet]:[United Energy]],MATCH("Balance",OP_Rates_RES_1[[Rate name]:[Rate name]],0),MATCH(CostStackCalcs_RES_1[[#Headers],[Jemena]],OP_Rates_RES_1[[#Headers],[Ausnet]:[United Energy]],0))*$D$51),0)+
IFERROR((INDEX(OP_Rates_RES_1[[Ausnet]:[United Energy]],MATCH("Single rate",OP_Rates_RES_1[[Rate name]:[Rate name]],0),MATCH(CostStackCalcs_RES_1[[#Headers],[Jemena]],OP_Rates_RES_1[[#Headers],[Ausnet]:[United Energy]],0))*$D$48),0))
+
(IFERROR((INDEX(OP_RatesTU_RES_1[[Ausnet]:[United Energy]],MATCH("Block 1",OP_RatesTU_RES_1[[Rate name]:[Rate name]],0),MATCH(CostStackCalcs_RES_1[[#Headers],[Jemena]],OP_RatesTU_RES_1[[#Headers],[Ausnet]:[United Energy]],0))*($D$50/$I$52)),0)+
IFERROR((INDEX(OP_RatesTU_RES_1[[Ausnet]:[United Energy]],MATCH("Balance",OP_RatesTU_RES_1[[Rate name]:[Rate name]],0),MATCH(CostStackCalcs_RES_1[[#Headers],[Jemena]],OP_RatesTU_RES_1[[#Headers],[Ausnet]:[United Energy]],0))*($D$51/$I$52)),0)+
IFERROR((INDEX(OP_RatesTU_RES_1[[Ausnet]:[United Energy]],MATCH("Single rate",OP_RatesTU_RES_1[[Rate name]:[Rate name]],0),MATCH(CostStackCalcs_RES_1[[#Headers],[Jemena]],OP_RatesTU_RES_1[[#Headers],[Ausnet]:[United Energy]],0))*($D$48/$I$52)),0)),0),ROUNDUP(
(INDEX(OP_Rates_SME_1[[Ausnet]:[United Energy]],MATCH("Anytime - supply",OP_Rates_SME_1[[Rate name]:[Rate name]],0),MATCH(CostStackCalcs_SME_3[[#Headers],[Jemena]],OP_Rates_SME_1[[#Headers],[Ausnet]:[United Energy]],0))*DiLY)+
(IFERROR((INDEX(OP_Rates_SME_1[[Ausnet]:[United Energy]],MATCH("Block 1",OP_Rates_SME_1[[Rate name]:[Rate name]],0),MATCH(CostStackCalcs_SME_3[[#Headers],[Jemena]],OP_Rates_SME_1[[#Headers],[Ausnet]:[United Energy]],0))*$D$50),0)+
IFERROR((INDEX(OP_Rates_SME_1[[Ausnet]:[United Energy]],MATCH("Balance",OP_Rates_SME_1[[Rate name]:[Rate name]],0),MATCH(CostStackCalcs_SME_3[[#Headers],[Jemena]],OP_Rates_SME_1[[#Headers],[Ausnet]:[United Energy]],0))*$D$51),0)+
IFERROR((INDEX(OP_Rates_SME_1[[Ausnet]:[United Energy]],MATCH("Single rate",OP_Rates_SME_1[[Rate name]:[Rate name]],0),MATCH(CostStackCalcs_SME_3[[#Headers],[Jemena]],OP_Rates_SME_1[[#Headers],[Ausnet]:[United Energy]],0))*$D$48),0))
+
(IFERROR((INDEX(OP_RatesTU_SME_1[[Ausnet]:[United Energy]],MATCH("Block 1",OP_RatesTU_SME_1[[Rate name]:[Rate name]],0),MATCH(CostStackCalcs_SME_3[[#Headers],[Jemena]],OP_RatesTU_SME_1[[#Headers],[Ausnet]:[United Energy]],0))*($D$50/$I$52)),0)+
IFERROR((INDEX(OP_RatesTU_SME_1[[Ausnet]:[United Energy]],MATCH("Balance",OP_RatesTU_SME_1[[Rate name]:[Rate name]],0),MATCH(CostStackCalcs_SME_3[[#Headers],[Jemena]],OP_RatesTU_SME_1[[#Headers],[Ausnet]:[United Energy]],0))*($D$51/$I$52)),0)+
IFERROR((INDEX(OP_RatesTU_SME_1[[Ausnet]:[United Energy]],MATCH("Single rate",OP_RatesTU_SME_1[[Rate name]:[Rate name]],0),MATCH(CostStackCalcs_SME_3[[#Headers],[Jemena]],OP_RatesTU_SME_1[[#Headers],[Ausnet]:[United Energy]],0))*($D$48/$I$52)),0)),0))</f>
        <v>3786</v>
      </c>
      <c r="G66" s="221">
        <f>IF($D$32="Residential",
ROUNDUP(
(INDEX(OP_Rates_RES_1[[Ausnet]:[United Energy]],MATCH("Anytime - supply",OP_Rates_RES_1[[Rate name]:[Rate name]],0),MATCH(CostStackCalcs_RES_1[[#Headers],[Powercor]],OP_Rates_RES_1[[#Headers],[Ausnet]:[United Energy]],0))*DiLY)+
(IFERROR((INDEX(OP_Rates_RES_1[[Ausnet]:[United Energy]],MATCH("Block 1",OP_Rates_RES_1[[Rate name]:[Rate name]],0),MATCH(CostStackCalcs_RES_1[[#Headers],[Powercor]],OP_Rates_RES_1[[#Headers],[Ausnet]:[United Energy]],0))*$D$50),0)+
IFERROR((INDEX(OP_Rates_RES_1[[Ausnet]:[United Energy]],MATCH("Balance",OP_Rates_RES_1[[Rate name]:[Rate name]],0),MATCH(CostStackCalcs_RES_1[[#Headers],[Powercor]],OP_Rates_RES_1[[#Headers],[Ausnet]:[United Energy]],0))*$D$51),0)+
IFERROR((INDEX(OP_Rates_RES_1[[Ausnet]:[United Energy]],MATCH("Single rate",OP_Rates_RES_1[[Rate name]:[Rate name]],0),MATCH(CostStackCalcs_RES_1[[#Headers],[Powercor]],OP_Rates_RES_1[[#Headers],[Ausnet]:[United Energy]],0))*$D$48),0))
+
(IFERROR((INDEX(OP_RatesTU_RES_1[[Ausnet]:[United Energy]],MATCH("Block 1",OP_RatesTU_RES_1[[Rate name]:[Rate name]],0),MATCH(CostStackCalcs_RES_1[[#Headers],[Powercor]],OP_RatesTU_RES_1[[#Headers],[Ausnet]:[United Energy]],0))*($D$50/$I$52)),0)+
IFERROR((INDEX(OP_RatesTU_RES_1[[Ausnet]:[United Energy]],MATCH("Balance",OP_RatesTU_RES_1[[Rate name]:[Rate name]],0),MATCH(CostStackCalcs_RES_1[[#Headers],[Powercor]],OP_RatesTU_RES_1[[#Headers],[Ausnet]:[United Energy]],0))*($D$51/$I$52)),0)+
IFERROR((INDEX(OP_RatesTU_RES_1[[Ausnet]:[United Energy]],MATCH("Single rate",OP_RatesTU_RES_1[[Rate name]:[Rate name]],0),MATCH(CostStackCalcs_RES_1[[#Headers],[Powercor]],OP_RatesTU_RES_1[[#Headers],[Ausnet]:[United Energy]],0))*($D$48/$I$52)),0)),0),ROUNDUP(
(INDEX(OP_Rates_SME_1[[Ausnet]:[United Energy]],MATCH("Anytime - supply",OP_Rates_SME_1[[Rate name]:[Rate name]],0),MATCH(CostStackCalcs_SME_3[[#Headers],[Powercor]],OP_Rates_SME_1[[#Headers],[Ausnet]:[United Energy]],0))*DiLY)+
(IFERROR((INDEX(OP_Rates_SME_1[[Ausnet]:[United Energy]],MATCH("Block 1",OP_Rates_SME_1[[Rate name]:[Rate name]],0),MATCH(CostStackCalcs_SME_3[[#Headers],[Powercor]],OP_Rates_SME_1[[#Headers],[Ausnet]:[United Energy]],0))*$D$50),0)+
IFERROR((INDEX(OP_Rates_SME_1[[Ausnet]:[United Energy]],MATCH("Balance",OP_Rates_SME_1[[Rate name]:[Rate name]],0),MATCH(CostStackCalcs_SME_3[[#Headers],[Powercor]],OP_Rates_SME_1[[#Headers],[Ausnet]:[United Energy]],0))*$D$51),0)+
IFERROR((INDEX(OP_Rates_SME_1[[Ausnet]:[United Energy]],MATCH("Single rate",OP_Rates_SME_1[[Rate name]:[Rate name]],0),MATCH(CostStackCalcs_SME_3[[#Headers],[Powercor]],OP_Rates_SME_1[[#Headers],[Ausnet]:[United Energy]],0))*$D$48),0))
+
(IFERROR((INDEX(OP_RatesTU_SME_1[[Ausnet]:[United Energy]],MATCH("Block 1",OP_RatesTU_SME_1[[Rate name]:[Rate name]],0),MATCH(CostStackCalcs_SME_3[[#Headers],[Powercor]],OP_RatesTU_SME_1[[#Headers],[Ausnet]:[United Energy]],0))*($D$50/$I$52)),0)+
IFERROR((INDEX(OP_RatesTU_SME_1[[Ausnet]:[United Energy]],MATCH("Balance",OP_RatesTU_SME_1[[Rate name]:[Rate name]],0),MATCH(CostStackCalcs_SME_3[[#Headers],[Powercor]],OP_RatesTU_SME_1[[#Headers],[Ausnet]:[United Energy]],0))*($D$51/$I$52)),0)+
IFERROR((INDEX(OP_RatesTU_SME_1[[Ausnet]:[United Energy]],MATCH("Single rate",OP_RatesTU_SME_1[[Rate name]:[Rate name]],0),MATCH(CostStackCalcs_SME_3[[#Headers],[Powercor]],OP_RatesTU_SME_1[[#Headers],[Ausnet]:[United Energy]],0))*($D$48/$I$52)),0)),0))</f>
        <v>3585</v>
      </c>
      <c r="H66" s="221">
        <f>IF($D$32="Residential",
ROUNDUP(
(INDEX(OP_Rates_RES_1[[Ausnet]:[United Energy]],MATCH("Anytime - supply",OP_Rates_RES_1[[Rate name]:[Rate name]],0),MATCH(CostStackCalcs_RES_1[[#Headers],[United Energy]],OP_Rates_RES_1[[#Headers],[Ausnet]:[United Energy]],0))*DiLY)+
(IFERROR((INDEX(OP_Rates_RES_1[[Ausnet]:[United Energy]],MATCH("Block 1",OP_Rates_RES_1[[Rate name]:[Rate name]],0),MATCH(CostStackCalcs_RES_1[[#Headers],[United Energy]],OP_Rates_RES_1[[#Headers],[Ausnet]:[United Energy]],0))*$D$50),0)+
IFERROR((INDEX(OP_Rates_RES_1[[Ausnet]:[United Energy]],MATCH("Balance",OP_Rates_RES_1[[Rate name]:[Rate name]],0),MATCH(CostStackCalcs_RES_1[[#Headers],[United Energy]],OP_Rates_RES_1[[#Headers],[Ausnet]:[United Energy]],0))*$D$51),0)+
IFERROR((INDEX(OP_Rates_RES_1[[Ausnet]:[United Energy]],MATCH("Single rate",OP_Rates_RES_1[[Rate name]:[Rate name]],0),MATCH(CostStackCalcs_RES_1[[#Headers],[United Energy]],OP_Rates_RES_1[[#Headers],[Ausnet]:[United Energy]],0))*$D$48),0))
+
(IFERROR((INDEX(OP_RatesTU_RES_1[[Ausnet]:[United Energy]],MATCH("Block 1",OP_RatesTU_RES_1[[Rate name]:[Rate name]],0),MATCH(CostStackCalcs_RES_1[[#Headers],[United Energy]],OP_RatesTU_RES_1[[#Headers],[Ausnet]:[United Energy]],0))*($D$50/$I$52)),0)+
IFERROR((INDEX(OP_RatesTU_RES_1[[Ausnet]:[United Energy]],MATCH("Balance",OP_RatesTU_RES_1[[Rate name]:[Rate name]],0),MATCH(CostStackCalcs_RES_1[[#Headers],[United Energy]],OP_RatesTU_RES_1[[#Headers],[Ausnet]:[United Energy]],0))*($D$51/$I$52)),0)+
IFERROR((INDEX(OP_RatesTU_RES_1[[Ausnet]:[United Energy]],MATCH("Single rate",OP_RatesTU_RES_1[[Rate name]:[Rate name]],0),MATCH(CostStackCalcs_RES_1[[#Headers],[United Energy]],OP_RatesTU_RES_1[[#Headers],[Ausnet]:[United Energy]],0))*($D$48/$I$52)),0)),0),ROUNDUP(
(INDEX(OP_Rates_SME_1[[Ausnet]:[United Energy]],MATCH("Anytime - supply",OP_Rates_SME_1[[Rate name]:[Rate name]],0),MATCH(CostStackCalcs_SME_3[[#Headers],[United Energy]],OP_Rates_SME_1[[#Headers],[Ausnet]:[United Energy]],0))*DiLY)+
(IFERROR((INDEX(OP_Rates_SME_1[[Ausnet]:[United Energy]],MATCH("Block 1",OP_Rates_SME_1[[Rate name]:[Rate name]],0),MATCH(CostStackCalcs_SME_3[[#Headers],[United Energy]],OP_Rates_SME_1[[#Headers],[Ausnet]:[United Energy]],0))*$D$50),0)+
IFERROR((INDEX(OP_Rates_SME_1[[Ausnet]:[United Energy]],MATCH("Balance",OP_Rates_SME_1[[Rate name]:[Rate name]],0),MATCH(CostStackCalcs_SME_3[[#Headers],[United Energy]],OP_Rates_SME_1[[#Headers],[Ausnet]:[United Energy]],0))*$D$51),0)+
IFERROR((INDEX(OP_Rates_SME_1[[Ausnet]:[United Energy]],MATCH("Single rate",OP_Rates_SME_1[[Rate name]:[Rate name]],0),MATCH(CostStackCalcs_SME_3[[#Headers],[United Energy]],OP_Rates_SME_1[[#Headers],[Ausnet]:[United Energy]],0))*$D$48),0))
+
(IFERROR((INDEX(OP_RatesTU_SME_1[[Ausnet]:[United Energy]],MATCH("Block 1",OP_RatesTU_SME_1[[Rate name]:[Rate name]],0),MATCH(CostStackCalcs_SME_3[[#Headers],[United Energy]],OP_RatesTU_SME_1[[#Headers],[Ausnet]:[United Energy]],0))*($D$50/$I$52)),0)+
IFERROR((INDEX(OP_RatesTU_SME_1[[Ausnet]:[United Energy]],MATCH("Balance",OP_RatesTU_SME_1[[Rate name]:[Rate name]],0),MATCH(CostStackCalcs_SME_3[[#Headers],[United Energy]],OP_RatesTU_SME_1[[#Headers],[Ausnet]:[United Energy]],0))*($D$51/$I$52)),0)+
IFERROR((INDEX(OP_RatesTU_SME_1[[Ausnet]:[United Energy]],MATCH("Single rate",OP_RatesTU_SME_1[[Rate name]:[Rate name]],0),MATCH(CostStackCalcs_SME_3[[#Headers],[United Energy]],OP_RatesTU_SME_1[[#Headers],[Ausnet]:[United Energy]],0))*($D$48/$I$52)),0)),0))</f>
        <v>3483</v>
      </c>
      <c r="I66" s="221">
        <f>ROUND(AVERAGE(D66:H66),0)</f>
        <v>3791</v>
      </c>
      <c r="K66" s="20" t="s">
        <v>467</v>
      </c>
      <c r="L66" s="221">
        <f>IF($D$32="Residential",
ROUNDUP(
(INDEX(OP_Rates_RES_2[[Ausnet]:[United Energy]],MATCH("Anytime - supply",OP_Rates_RES_2[[Rate name]:[Rate name]],0),MATCH(CostStackCalcs_RES_2[[#Headers],[Ausnet]],OP_Rates_RES_2[[#Headers],[Ausnet]:[United Energy]],0))*DiY)+
(IFERROR((INDEX(OP_Rates_RES_2[[Ausnet]:[United Energy]],MATCH("Block 1",OP_Rates_RES_2[[Rate name]:[Rate name]],0),MATCH(CostStackCalcs_RES_2[[#Headers],[Ausnet]],OP_Rates_RES_2[[#Headers],[Ausnet]:[United Energy]],0))*$L$50),0)+
IFERROR((INDEX(OP_Rates_RES_2[[Ausnet]:[United Energy]],MATCH("Balance",OP_Rates_RES_2[[Rate name]:[Rate name]],0),MATCH(CostStackCalcs_RES_2[[#Headers],[Ausnet]],OP_Rates_RES_2[[#Headers],[Ausnet]:[United Energy]],0))*$L$51),0)+
IFERROR((INDEX(OP_Rates_RES_2[[Ausnet]:[United Energy]],MATCH("Single rate",OP_Rates_RES_2[[Rate name]:[Rate name]],0),MATCH(CostStackCalcs_RES_2[[#Headers],[Ausnet]],OP_Rates_RES_2[[#Headers],[Ausnet]:[United Energy]],0))*$L$48),0))
+
(IFERROR((INDEX(OP_RatesTU_RES_2[[Ausnet]:[United Energy]],MATCH("Block 1",OP_RatesTU_RES_2[[Rate name]:[Rate name]],0),MATCH(CostStackCalcs_RES_2[[#Headers],[Ausnet]],OP_RatesTU_RES_2[[#Headers],[Ausnet]:[United Energy]],0))*($L$50/$Q$52)),0)+
IFERROR((INDEX(OP_RatesTU_RES_2[[Ausnet]:[United Energy]],MATCH("Balance",OP_RatesTU_RES_2[[Rate name]:[Rate name]],0),MATCH(CostStackCalcs_RES_2[[#Headers],[Ausnet]],OP_RatesTU_RES_2[[#Headers],[Ausnet]:[United Energy]],0))*($L$51/$Q$52)),0)+
IFERROR((INDEX(OP_RatesTU_RES_2[[Ausnet]:[United Energy]],MATCH("Single rate",OP_RatesTU_RES_2[[Rate name]:[Rate name]],0),MATCH(CostStackCalcs_RES_2[[#Headers],[Ausnet]],OP_RatesTU_RES_2[[#Headers],[Ausnet]:[United Energy]],0))*($L$48/$Q$52)),0)),0),ROUNDUP(
(INDEX(OP_Rates_SME_2[[Ausnet]:[United Energy]],MATCH("Anytime - supply",OP_Rates_SME_2[[Rate name]:[Rate name]],0),MATCH(CostStackCalcs_SME_4[[#Headers],[Ausnet]],OP_Rates_SME_2[[#Headers],[Ausnet]:[United Energy]],0))*DiY)+
(IFERROR((INDEX(OP_Rates_SME_2[[Ausnet]:[United Energy]],MATCH("Block 1",OP_Rates_SME_2[[Rate name]:[Rate name]],0),MATCH(CostStackCalcs_SME_4[[#Headers],[Ausnet]],OP_Rates_SME_2[[#Headers],[Ausnet]:[United Energy]],0))*$L$50),0)+
IFERROR((INDEX(OP_Rates_SME_2[[Ausnet]:[United Energy]],MATCH("Balance",OP_Rates_SME_2[[Rate name]:[Rate name]],0),MATCH(CostStackCalcs_SME_4[[#Headers],[Ausnet]],OP_Rates_SME_2[[#Headers],[Ausnet]:[United Energy]],0))*$L$51),0)+
IFERROR((INDEX(OP_Rates_SME_2[[Ausnet]:[United Energy]],MATCH("Single rate",OP_Rates_SME_2[[Rate name]:[Rate name]],0),MATCH(CostStackCalcs_SME_4[[#Headers],[Ausnet]],OP_Rates_SME_2[[#Headers],[Ausnet]:[United Energy]],0))*$L$48),0))
+
(IFERROR((INDEX(OP_RatesTU_SME_2[[Ausnet]:[United Energy]],MATCH("Block 1",OP_RatesTU_SME_2[[Rate name]:[Rate name]],0),MATCH(CostStackCalcs_SME_4[[#Headers],[Ausnet]],OP_RatesTU_SME_2[[#Headers],[Ausnet]:[United Energy]],0))*($L$50/$Q$52)),0)+
IFERROR((INDEX(OP_RatesTU_SME_2[[Ausnet]:[United Energy]],MATCH("Balance",OP_RatesTU_SME_2[[Rate name]:[Rate name]],0),MATCH(CostStackCalcs_SME_4[[#Headers],[Ausnet]],OP_RatesTU_SME_2[[#Headers],[Ausnet]:[United Energy]],0))*($L$51/$Q$52)),0)+
IFERROR((INDEX(OP_RatesTU_SME_2[[Ausnet]:[United Energy]],MATCH("Single rate",OP_RatesTU_SME_2[[Rate name]:[Rate name]],0),MATCH(CostStackCalcs_SME_4[[#Headers],[Ausnet]],OP_RatesTU_SME_2[[#Headers],[Ausnet]:[United Energy]],0))*($L$48/$Q$52)),0)),0))</f>
        <v>3993</v>
      </c>
      <c r="M66" s="221">
        <f>IF($D$32="Residential",
ROUNDUP(
(INDEX(OP_Rates_RES_2[[Ausnet]:[United Energy]],MATCH("Anytime - supply",OP_Rates_RES_2[[Rate name]:[Rate name]],0),MATCH(CostStackCalcs_RES_2[[#Headers],[Citipower]],OP_Rates_RES_2[[#Headers],[Ausnet]:[United Energy]],0))*DiY)+
(IFERROR((INDEX(OP_Rates_RES_2[[Ausnet]:[United Energy]],MATCH("Block 1",OP_Rates_RES_2[[Rate name]:[Rate name]],0),MATCH(CostStackCalcs_RES_2[[#Headers],[Citipower]],OP_Rates_RES_2[[#Headers],[Ausnet]:[United Energy]],0))*$L$50),0)+
IFERROR((INDEX(OP_Rates_RES_2[[Ausnet]:[United Energy]],MATCH("Balance",OP_Rates_RES_2[[Rate name]:[Rate name]],0),MATCH(CostStackCalcs_RES_2[[#Headers],[Citipower]],OP_Rates_RES_2[[#Headers],[Ausnet]:[United Energy]],0))*$L$51),0)+
IFERROR((INDEX(OP_Rates_RES_2[[Ausnet]:[United Energy]],MATCH("Single rate",OP_Rates_RES_2[[Rate name]:[Rate name]],0),MATCH(CostStackCalcs_RES_2[[#Headers],[Citipower]],OP_Rates_RES_2[[#Headers],[Ausnet]:[United Energy]],0))*$L$48),0))
+
(IFERROR((INDEX(OP_RatesTU_RES_2[[Ausnet]:[United Energy]],MATCH("Block 1",OP_RatesTU_RES_2[[Rate name]:[Rate name]],0),MATCH(CostStackCalcs_RES_2[[#Headers],[Citipower]],OP_RatesTU_RES_2[[#Headers],[Ausnet]:[United Energy]],0))*($L$50/$Q$52)),0)+
IFERROR((INDEX(OP_RatesTU_RES_2[[Ausnet]:[United Energy]],MATCH("Balance",OP_RatesTU_RES_2[[Rate name]:[Rate name]],0),MATCH(CostStackCalcs_RES_2[[#Headers],[Citipower]],OP_RatesTU_RES_2[[#Headers],[Ausnet]:[United Energy]],0))*($L$51/$Q$52)),0)+
IFERROR((INDEX(OP_RatesTU_RES_2[[Ausnet]:[United Energy]],MATCH("Single rate",OP_RatesTU_RES_2[[Rate name]:[Rate name]],0),MATCH(CostStackCalcs_RES_2[[#Headers],[Citipower]],OP_RatesTU_RES_2[[#Headers],[Ausnet]:[United Energy]],0))*($L$48/$Q$52)),0)),0),ROUNDUP(
(INDEX(OP_Rates_SME_2[[Ausnet]:[United Energy]],MATCH("Anytime - supply",OP_Rates_SME_2[[Rate name]:[Rate name]],0),MATCH(CostStackCalcs_SME_4[[#Headers],[Citipower]],OP_Rates_SME_2[[#Headers],[Ausnet]:[United Energy]],0))*DiY)+
(IFERROR((INDEX(OP_Rates_SME_2[[Ausnet]:[United Energy]],MATCH("Block 1",OP_Rates_SME_2[[Rate name]:[Rate name]],0),MATCH(CostStackCalcs_SME_4[[#Headers],[Citipower]],OP_Rates_SME_2[[#Headers],[Ausnet]:[United Energy]],0))*$L$50),0)+
IFERROR((INDEX(OP_Rates_SME_2[[Ausnet]:[United Energy]],MATCH("Balance",OP_Rates_SME_2[[Rate name]:[Rate name]],0),MATCH(CostStackCalcs_SME_4[[#Headers],[Citipower]],OP_Rates_SME_2[[#Headers],[Ausnet]:[United Energy]],0))*$L$51),0)+
IFERROR((INDEX(OP_Rates_SME_2[[Ausnet]:[United Energy]],MATCH("Single rate",OP_Rates_SME_2[[Rate name]:[Rate name]],0),MATCH(CostStackCalcs_SME_4[[#Headers],[Citipower]],OP_Rates_SME_2[[#Headers],[Ausnet]:[United Energy]],0))*$L$48),0))
+
(IFERROR((INDEX(OP_RatesTU_SME_2[[Ausnet]:[United Energy]],MATCH("Block 1",OP_RatesTU_SME_2[[Rate name]:[Rate name]],0),MATCH(CostStackCalcs_SME_4[[#Headers],[Citipower]],OP_RatesTU_SME_2[[#Headers],[Ausnet]:[United Energy]],0))*($L$50/$Q$52)),0)+
IFERROR((INDEX(OP_RatesTU_SME_2[[Ausnet]:[United Energy]],MATCH("Balance",OP_RatesTU_SME_2[[Rate name]:[Rate name]],0),MATCH(CostStackCalcs_SME_4[[#Headers],[Citipower]],OP_RatesTU_SME_2[[#Headers],[Ausnet]:[United Energy]],0))*($L$51/$Q$52)),0)+
IFERROR((INDEX(OP_RatesTU_SME_2[[Ausnet]:[United Energy]],MATCH("Single rate",OP_RatesTU_SME_2[[Rate name]:[Rate name]],0),MATCH(CostStackCalcs_SME_4[[#Headers],[Citipower]],OP_RatesTU_SME_2[[#Headers],[Ausnet]:[United Energy]],0))*($L$48/$Q$52)),0)),0))</f>
        <v>2673</v>
      </c>
      <c r="N66" s="221">
        <f>IF($D$32="Residential",
ROUNDUP(
(INDEX(OP_Rates_RES_2[[Ausnet]:[United Energy]],MATCH("Anytime - supply",OP_Rates_RES_2[[Rate name]:[Rate name]],0),MATCH(CostStackCalcs_RES_2[[#Headers],[Jemena]],OP_Rates_RES_2[[#Headers],[Ausnet]:[United Energy]],0))*DiY)+
(IFERROR((INDEX(OP_Rates_RES_2[[Ausnet]:[United Energy]],MATCH("Block 1",OP_Rates_RES_2[[Rate name]:[Rate name]],0),MATCH(CostStackCalcs_RES_2[[#Headers],[Jemena]],OP_Rates_RES_2[[#Headers],[Ausnet]:[United Energy]],0))*$L$50),0)+
IFERROR((INDEX(OP_Rates_RES_2[[Ausnet]:[United Energy]],MATCH("Balance",OP_Rates_RES_2[[Rate name]:[Rate name]],0),MATCH(CostStackCalcs_RES_2[[#Headers],[Jemena]],OP_Rates_RES_2[[#Headers],[Ausnet]:[United Energy]],0))*$L$51),0)+
IFERROR((INDEX(OP_Rates_RES_2[[Ausnet]:[United Energy]],MATCH("Single rate",OP_Rates_RES_2[[Rate name]:[Rate name]],0),MATCH(CostStackCalcs_RES_2[[#Headers],[Jemena]],OP_Rates_RES_2[[#Headers],[Ausnet]:[United Energy]],0))*$L$48),0))
+
(IFERROR((INDEX(OP_RatesTU_RES_2[[Ausnet]:[United Energy]],MATCH("Block 1",OP_RatesTU_RES_2[[Rate name]:[Rate name]],0),MATCH(CostStackCalcs_RES_2[[#Headers],[Jemena]],OP_RatesTU_RES_2[[#Headers],[Ausnet]:[United Energy]],0))*($L$50/$Q$52)),0)+
IFERROR((INDEX(OP_RatesTU_RES_2[[Ausnet]:[United Energy]],MATCH("Balance",OP_RatesTU_RES_2[[Rate name]:[Rate name]],0),MATCH(CostStackCalcs_RES_2[[#Headers],[Jemena]],OP_RatesTU_RES_2[[#Headers],[Ausnet]:[United Energy]],0))*($L$51/$Q$52)),0)+
IFERROR((INDEX(OP_RatesTU_RES_2[[Ausnet]:[United Energy]],MATCH("Single rate",OP_RatesTU_RES_2[[Rate name]:[Rate name]],0),MATCH(CostStackCalcs_RES_2[[#Headers],[Jemena]],OP_RatesTU_RES_2[[#Headers],[Ausnet]:[United Energy]],0))*($L$48/$Q$52)),0)),0),ROUNDUP(
(INDEX(OP_Rates_SME_2[[Ausnet]:[United Energy]],MATCH("Anytime - supply",OP_Rates_SME_2[[Rate name]:[Rate name]],0),MATCH(CostStackCalcs_SME_4[[#Headers],[Jemena]],OP_Rates_SME_2[[#Headers],[Ausnet]:[United Energy]],0))*DiY)+
(IFERROR((INDEX(OP_Rates_SME_2[[Ausnet]:[United Energy]],MATCH("Block 1",OP_Rates_SME_2[[Rate name]:[Rate name]],0),MATCH(CostStackCalcs_SME_4[[#Headers],[Jemena]],OP_Rates_SME_2[[#Headers],[Ausnet]:[United Energy]],0))*$L$50),0)+
IFERROR((INDEX(OP_Rates_SME_2[[Ausnet]:[United Energy]],MATCH("Balance",OP_Rates_SME_2[[Rate name]:[Rate name]],0),MATCH(CostStackCalcs_SME_4[[#Headers],[Jemena]],OP_Rates_SME_2[[#Headers],[Ausnet]:[United Energy]],0))*$L$51),0)+
IFERROR((INDEX(OP_Rates_SME_2[[Ausnet]:[United Energy]],MATCH("Single rate",OP_Rates_SME_2[[Rate name]:[Rate name]],0),MATCH(CostStackCalcs_SME_4[[#Headers],[Jemena]],OP_Rates_SME_2[[#Headers],[Ausnet]:[United Energy]],0))*$L$48),0))
+
(IFERROR((INDEX(OP_RatesTU_SME_2[[Ausnet]:[United Energy]],MATCH("Block 1",OP_RatesTU_SME_2[[Rate name]:[Rate name]],0),MATCH(CostStackCalcs_SME_4[[#Headers],[Jemena]],OP_RatesTU_SME_2[[#Headers],[Ausnet]:[United Energy]],0))*($L$50/$Q$52)),0)+
IFERROR((INDEX(OP_RatesTU_SME_2[[Ausnet]:[United Energy]],MATCH("Balance",OP_RatesTU_SME_2[[Rate name]:[Rate name]],0),MATCH(CostStackCalcs_SME_4[[#Headers],[Jemena]],OP_RatesTU_SME_2[[#Headers],[Ausnet]:[United Energy]],0))*($L$51/$Q$52)),0)+
IFERROR((INDEX(OP_RatesTU_SME_2[[Ausnet]:[United Energy]],MATCH("Single rate",OP_RatesTU_SME_2[[Rate name]:[Rate name]],0),MATCH(CostStackCalcs_SME_4[[#Headers],[Jemena]],OP_RatesTU_SME_2[[#Headers],[Ausnet]:[United Energy]],0))*($L$48/$Q$52)),0)),0))</f>
        <v>2946</v>
      </c>
      <c r="O66" s="221">
        <f>IF($D$32="Residential",
ROUNDUP(
(INDEX(OP_Rates_RES_2[[Ausnet]:[United Energy]],MATCH("Anytime - supply",OP_Rates_RES_2[[Rate name]:[Rate name]],0),MATCH(CostStackCalcs_RES_2[[#Headers],[Powercor]],OP_Rates_RES_2[[#Headers],[Ausnet]:[United Energy]],0))*DiY)+
(IFERROR((INDEX(OP_Rates_RES_2[[Ausnet]:[United Energy]],MATCH("Block 1",OP_Rates_RES_2[[Rate name]:[Rate name]],0),MATCH(CostStackCalcs_RES_2[[#Headers],[Powercor]],OP_Rates_RES_2[[#Headers],[Ausnet]:[United Energy]],0))*$L$50),0)+
IFERROR((INDEX(OP_Rates_RES_2[[Ausnet]:[United Energy]],MATCH("Balance",OP_Rates_RES_2[[Rate name]:[Rate name]],0),MATCH(CostStackCalcs_RES_2[[#Headers],[Powercor]],OP_Rates_RES_2[[#Headers],[Ausnet]:[United Energy]],0))*$L$51),0)+
IFERROR((INDEX(OP_Rates_RES_2[[Ausnet]:[United Energy]],MATCH("Single rate",OP_Rates_RES_2[[Rate name]:[Rate name]],0),MATCH(CostStackCalcs_RES_2[[#Headers],[Powercor]],OP_Rates_RES_2[[#Headers],[Ausnet]:[United Energy]],0))*$L$48),0))
+
(IFERROR((INDEX(OP_RatesTU_RES_2[[Ausnet]:[United Energy]],MATCH("Block 1",OP_RatesTU_RES_2[[Rate name]:[Rate name]],0),MATCH(CostStackCalcs_RES_2[[#Headers],[Powercor]],OP_RatesTU_RES_2[[#Headers],[Ausnet]:[United Energy]],0))*($L$50/$Q$52)),0)+
IFERROR((INDEX(OP_RatesTU_RES_2[[Ausnet]:[United Energy]],MATCH("Balance",OP_RatesTU_RES_2[[Rate name]:[Rate name]],0),MATCH(CostStackCalcs_RES_2[[#Headers],[Powercor]],OP_RatesTU_RES_2[[#Headers],[Ausnet]:[United Energy]],0))*($L$51/$Q$52)),0)+
IFERROR((INDEX(OP_RatesTU_RES_2[[Ausnet]:[United Energy]],MATCH("Single rate",OP_RatesTU_RES_2[[Rate name]:[Rate name]],0),MATCH(CostStackCalcs_RES_2[[#Headers],[Powercor]],OP_RatesTU_RES_2[[#Headers],[Ausnet]:[United Energy]],0))*($L$48/$Q$52)),0)),0),ROUNDUP(
(INDEX(OP_Rates_SME_2[[Ausnet]:[United Energy]],MATCH("Anytime - supply",OP_Rates_SME_2[[Rate name]:[Rate name]],0),MATCH(CostStackCalcs_SME_4[[#Headers],[Powercor]],OP_Rates_SME_2[[#Headers],[Ausnet]:[United Energy]],0))*DiY)+
(IFERROR((INDEX(OP_Rates_SME_2[[Ausnet]:[United Energy]],MATCH("Block 1",OP_Rates_SME_2[[Rate name]:[Rate name]],0),MATCH(CostStackCalcs_SME_4[[#Headers],[Powercor]],OP_Rates_SME_2[[#Headers],[Ausnet]:[United Energy]],0))*$L$50),0)+
IFERROR((INDEX(OP_Rates_SME_2[[Ausnet]:[United Energy]],MATCH("Balance",OP_Rates_SME_2[[Rate name]:[Rate name]],0),MATCH(CostStackCalcs_SME_4[[#Headers],[Powercor]],OP_Rates_SME_2[[#Headers],[Ausnet]:[United Energy]],0))*$L$51),0)+
IFERROR((INDEX(OP_Rates_SME_2[[Ausnet]:[United Energy]],MATCH("Single rate",OP_Rates_SME_2[[Rate name]:[Rate name]],0),MATCH(CostStackCalcs_SME_4[[#Headers],[Powercor]],OP_Rates_SME_2[[#Headers],[Ausnet]:[United Energy]],0))*$L$48),0))
+
(IFERROR((INDEX(OP_RatesTU_SME_2[[Ausnet]:[United Energy]],MATCH("Block 1",OP_RatesTU_SME_2[[Rate name]:[Rate name]],0),MATCH(CostStackCalcs_SME_4[[#Headers],[Powercor]],OP_RatesTU_SME_2[[#Headers],[Ausnet]:[United Energy]],0))*($L$50/$Q$52)),0)+
IFERROR((INDEX(OP_RatesTU_SME_2[[Ausnet]:[United Energy]],MATCH("Balance",OP_RatesTU_SME_2[[Rate name]:[Rate name]],0),MATCH(CostStackCalcs_SME_4[[#Headers],[Powercor]],OP_RatesTU_SME_2[[#Headers],[Ausnet]:[United Energy]],0))*($L$51/$Q$52)),0)+
IFERROR((INDEX(OP_RatesTU_SME_2[[Ausnet]:[United Energy]],MATCH("Single rate",OP_RatesTU_SME_2[[Rate name]:[Rate name]],0),MATCH(CostStackCalcs_SME_4[[#Headers],[Powercor]],OP_RatesTU_SME_2[[#Headers],[Ausnet]:[United Energy]],0))*($L$48/$Q$52)),0)),0))</f>
        <v>2858</v>
      </c>
      <c r="P66" s="221">
        <f>IF($D$32="Residential",
ROUNDUP(
(INDEX(OP_Rates_RES_2[[Ausnet]:[United Energy]],MATCH("Anytime - supply",OP_Rates_RES_2[[Rate name]:[Rate name]],0),MATCH(CostStackCalcs_RES_2[[#Headers],[United Energy]],OP_Rates_RES_2[[#Headers],[Ausnet]:[United Energy]],0))*DiY)+
(IFERROR((INDEX(OP_Rates_RES_2[[Ausnet]:[United Energy]],MATCH("Block 1",OP_Rates_RES_2[[Rate name]:[Rate name]],0),MATCH(CostStackCalcs_RES_2[[#Headers],[United Energy]],OP_Rates_RES_2[[#Headers],[Ausnet]:[United Energy]],0))*$L$50),0)+
IFERROR((INDEX(OP_Rates_RES_2[[Ausnet]:[United Energy]],MATCH("Balance",OP_Rates_RES_2[[Rate name]:[Rate name]],0),MATCH(CostStackCalcs_RES_2[[#Headers],[United Energy]],OP_Rates_RES_2[[#Headers],[Ausnet]:[United Energy]],0))*$L$51),0)+
IFERROR((INDEX(OP_Rates_RES_2[[Ausnet]:[United Energy]],MATCH("Single rate",OP_Rates_RES_2[[Rate name]:[Rate name]],0),MATCH(CostStackCalcs_RES_2[[#Headers],[United Energy]],OP_Rates_RES_2[[#Headers],[Ausnet]:[United Energy]],0))*$L$48),0))
+
(IFERROR((INDEX(OP_RatesTU_RES_2[[Ausnet]:[United Energy]],MATCH("Block 1",OP_RatesTU_RES_2[[Rate name]:[Rate name]],0),MATCH(CostStackCalcs_RES_2[[#Headers],[United Energy]],OP_RatesTU_RES_2[[#Headers],[Ausnet]:[United Energy]],0))*($L$50/$Q$52)),0)+
IFERROR((INDEX(OP_RatesTU_RES_2[[Ausnet]:[United Energy]],MATCH("Balance",OP_RatesTU_RES_2[[Rate name]:[Rate name]],0),MATCH(CostStackCalcs_RES_2[[#Headers],[United Energy]],OP_RatesTU_RES_2[[#Headers],[Ausnet]:[United Energy]],0))*($L$51/$Q$52)),0)+
IFERROR((INDEX(OP_RatesTU_RES_2[[Ausnet]:[United Energy]],MATCH("Single rate",OP_RatesTU_RES_2[[Rate name]:[Rate name]],0),MATCH(CostStackCalcs_RES_2[[#Headers],[United Energy]],OP_RatesTU_RES_2[[#Headers],[Ausnet]:[United Energy]],0))*($L$48/$Q$52)),0)),0),ROUNDUP(
(INDEX(OP_Rates_SME_2[[Ausnet]:[United Energy]],MATCH("Anytime - supply",OP_Rates_SME_2[[Rate name]:[Rate name]],0),MATCH(CostStackCalcs_SME_4[[#Headers],[United Energy]],OP_Rates_SME_2[[#Headers],[Ausnet]:[United Energy]],0))*DiY)+
(IFERROR((INDEX(OP_Rates_SME_2[[Ausnet]:[United Energy]],MATCH("Block 1",OP_Rates_SME_2[[Rate name]:[Rate name]],0),MATCH(CostStackCalcs_SME_4[[#Headers],[United Energy]],OP_Rates_SME_2[[#Headers],[Ausnet]:[United Energy]],0))*$L$50),0)+
IFERROR((INDEX(OP_Rates_SME_2[[Ausnet]:[United Energy]],MATCH("Balance",OP_Rates_SME_2[[Rate name]:[Rate name]],0),MATCH(CostStackCalcs_SME_4[[#Headers],[United Energy]],OP_Rates_SME_2[[#Headers],[Ausnet]:[United Energy]],0))*$L$51),0)+
IFERROR((INDEX(OP_Rates_SME_2[[Ausnet]:[United Energy]],MATCH("Single rate",OP_Rates_SME_2[[Rate name]:[Rate name]],0),MATCH(CostStackCalcs_SME_4[[#Headers],[United Energy]],OP_Rates_SME_2[[#Headers],[Ausnet]:[United Energy]],0))*$L$48),0))
+
(IFERROR((INDEX(OP_RatesTU_SME_2[[Ausnet]:[United Energy]],MATCH("Block 1",OP_RatesTU_SME_2[[Rate name]:[Rate name]],0),MATCH(CostStackCalcs_SME_4[[#Headers],[United Energy]],OP_RatesTU_SME_2[[#Headers],[Ausnet]:[United Energy]],0))*($L$50/$Q$52)),0)+
IFERROR((INDEX(OP_RatesTU_SME_2[[Ausnet]:[United Energy]],MATCH("Balance",OP_RatesTU_SME_2[[Rate name]:[Rate name]],0),MATCH(CostStackCalcs_SME_4[[#Headers],[United Energy]],OP_RatesTU_SME_2[[#Headers],[Ausnet]:[United Energy]],0))*($L$51/$Q$52)),0)+
IFERROR((INDEX(OP_RatesTU_SME_2[[Ausnet]:[United Energy]],MATCH("Single rate",OP_RatesTU_SME_2[[Rate name]:[Rate name]],0),MATCH(CostStackCalcs_SME_4[[#Headers],[United Energy]],OP_RatesTU_SME_2[[#Headers],[Ausnet]:[United Energy]],0))*($L$48/$Q$52)),0)),0))</f>
        <v>2724</v>
      </c>
      <c r="Q66" s="221">
        <f>ROUND(AVERAGE(L66:P66),0)</f>
        <v>3039</v>
      </c>
    </row>
    <row r="67" spans="3:24" outlineLevel="1"/>
    <row r="68" spans="3:24" ht="15.5" outlineLevel="1">
      <c r="C68" s="226" t="s">
        <v>14</v>
      </c>
      <c r="D68" s="84">
        <f>IF(AND(D66-D64&lt;=1,D66-D64&gt;=-1),0,1)</f>
        <v>0</v>
      </c>
      <c r="E68" s="84">
        <f t="shared" ref="E68:I68" si="6">IF(AND(E66-E64&lt;=1,E66-E64&gt;=-1),0,1)</f>
        <v>0</v>
      </c>
      <c r="F68" s="84">
        <f t="shared" si="6"/>
        <v>0</v>
      </c>
      <c r="G68" s="84">
        <f t="shared" si="6"/>
        <v>0</v>
      </c>
      <c r="H68" s="84">
        <f t="shared" si="6"/>
        <v>0</v>
      </c>
      <c r="I68" s="84">
        <f t="shared" si="6"/>
        <v>0</v>
      </c>
      <c r="K68" s="226" t="s">
        <v>14</v>
      </c>
      <c r="L68" s="84">
        <f t="shared" ref="L68:Q68" si="7">IF(AND(L66-L64&lt;=1,L66-L64&gt;=-1),0,1)</f>
        <v>0</v>
      </c>
      <c r="M68" s="84">
        <f t="shared" si="7"/>
        <v>0</v>
      </c>
      <c r="N68" s="84">
        <f t="shared" si="7"/>
        <v>0</v>
      </c>
      <c r="O68" s="84">
        <f t="shared" si="7"/>
        <v>0</v>
      </c>
      <c r="P68" s="84">
        <f t="shared" si="7"/>
        <v>0</v>
      </c>
      <c r="Q68" s="84">
        <f t="shared" si="7"/>
        <v>0</v>
      </c>
    </row>
    <row r="69" spans="3:24" outlineLevel="1">
      <c r="T69" s="78"/>
    </row>
    <row r="70" spans="3:24" ht="15.5" outlineLevel="1">
      <c r="C70" s="38" t="s">
        <v>97</v>
      </c>
      <c r="D70" s="227">
        <f>INDEX(Input_ForRateCalc[#Data],MATCH($C70,Input_ForRateCalc[[Cost item]:[Cost item]],0),MATCH($D$45,[1]Inputs!$C$8:$Y$8,0))</f>
        <v>5.6000000000000001E-2</v>
      </c>
      <c r="E70" s="227">
        <f>INDEX(Input_ForRateCalc[#Data],MATCH($C70,Input_ForRateCalc[[Cost item]:[Cost item]],0),MATCH($D$45,[1]Inputs!$C$8:$Y$8,0))</f>
        <v>5.6000000000000001E-2</v>
      </c>
      <c r="F70" s="227">
        <f>INDEX(Input_ForRateCalc[#Data],MATCH($C70,Input_ForRateCalc[[Cost item]:[Cost item]],0),MATCH($D$45,[1]Inputs!$C$8:$Y$8,0))</f>
        <v>5.6000000000000001E-2</v>
      </c>
      <c r="G70" s="227">
        <f>INDEX(Input_ForRateCalc[#Data],MATCH($C70,Input_ForRateCalc[[Cost item]:[Cost item]],0),MATCH($D$45,[1]Inputs!$C$8:$Y$8,0))</f>
        <v>5.6000000000000001E-2</v>
      </c>
      <c r="H70" s="227">
        <f>INDEX(Input_ForRateCalc[#Data],MATCH($C70,Input_ForRateCalc[[Cost item]:[Cost item]],0),MATCH($D$45,[1]Inputs!$C$8:$Y$8,0))</f>
        <v>5.6000000000000001E-2</v>
      </c>
      <c r="K70" s="38" t="s">
        <v>97</v>
      </c>
      <c r="L70" s="227">
        <f>INDEX(Input_ForRateCalc[#Data],MATCH($K70,Input_ForRateCalc[[Cost item]:[Cost item]],0),MATCH($L$45,[1]Inputs!$C$8:$Y$8,0))</f>
        <v>6.0400000000000002E-2</v>
      </c>
      <c r="M70" s="227">
        <f>INDEX(Input_ForRateCalc[#Data],MATCH($K70,Input_ForRateCalc[[Cost item]:[Cost item]],0),MATCH($L$45,[1]Inputs!$C$8:$Y$8,0))</f>
        <v>6.0400000000000002E-2</v>
      </c>
      <c r="N70" s="227">
        <f>INDEX(Input_ForRateCalc[#Data],MATCH($K70,Input_ForRateCalc[[Cost item]:[Cost item]],0),MATCH($L$45,[1]Inputs!$C$8:$Y$8,0))</f>
        <v>6.0400000000000002E-2</v>
      </c>
      <c r="O70" s="227">
        <f>INDEX(Input_ForRateCalc[#Data],MATCH($K70,Input_ForRateCalc[[Cost item]:[Cost item]],0),MATCH($L$45,[1]Inputs!$C$8:$Y$8,0))</f>
        <v>6.0400000000000002E-2</v>
      </c>
      <c r="P70" s="227">
        <f>INDEX(Input_ForRateCalc[#Data],MATCH($K70,Input_ForRateCalc[[Cost item]:[Cost item]],0),MATCH($L$45,[1]Inputs!$C$8:$Y$8,0))</f>
        <v>6.0400000000000002E-2</v>
      </c>
      <c r="U70" s="100"/>
    </row>
    <row r="71" spans="3:24" outlineLevel="1">
      <c r="U71" s="97"/>
    </row>
    <row r="72" spans="3:24" ht="15.5" outlineLevel="1">
      <c r="C72" s="38" t="s">
        <v>105</v>
      </c>
      <c r="D72" s="227">
        <f>INDEX(Calc_Losses_1[[Ausnet]:[United Energy]],MATCH("Total loss factor",Calc_Losses_1[Cost item],0),MATCH(D$54,Calc_Losses_1[[#Headers],[Ausnet]:[United Energy]],0))</f>
        <v>8.5419688344982481E-2</v>
      </c>
      <c r="E72" s="227">
        <f>INDEX(Calc_Losses_1[[Ausnet]:[United Energy]],MATCH("Total loss factor",Calc_Losses_1[Cost item],0),MATCH(E$54,Calc_Losses_1[[#Headers],[Ausnet]:[United Energy]],0))</f>
        <v>4.4989549999999934E-2</v>
      </c>
      <c r="F72" s="227">
        <f>INDEX(Calc_Losses_1[[Ausnet]:[United Energy]],MATCH("Total loss factor",Calc_Losses_1[Cost item],0),MATCH(F$54,Calc_Losses_1[[#Headers],[Ausnet]:[United Energy]],0))</f>
        <v>4.5352937499999912E-2</v>
      </c>
      <c r="G72" s="227">
        <f>INDEX(Calc_Losses_1[[Ausnet]:[United Energy]],MATCH("Total loss factor",Calc_Losses_1[Cost item],0),MATCH(G$54,Calc_Losses_1[[#Headers],[Ausnet]:[United Energy]],0))</f>
        <v>7.1431145265919538E-2</v>
      </c>
      <c r="H72" s="227">
        <f>INDEX(Calc_Losses_1[[Ausnet]:[United Energy]],MATCH("Total loss factor",Calc_Losses_1[Cost item],0),MATCH(H$54,Calc_Losses_1[[#Headers],[Ausnet]:[United Energy]],0))</f>
        <v>4.6946740000000098E-2</v>
      </c>
      <c r="K72" s="38" t="s">
        <v>105</v>
      </c>
      <c r="L72" s="227">
        <f>INDEX(Calc_Losses_2[[Ausnet]:[United Energy]],MATCH("Total loss factor",Calc_Losses_2[Cost item],0),MATCH(L$54,Calc_Losses_2[[#Headers],[Ausnet]:[United Energy]],0))</f>
        <v>7.9069473357165077E-2</v>
      </c>
      <c r="M72" s="227">
        <f>INDEX(Calc_Losses_2[[Ausnet]:[United Energy]],MATCH("Total loss factor",Calc_Losses_2[Cost item],0),MATCH(M$54,Calc_Losses_2[[#Headers],[Ausnet]:[United Energy]],0))</f>
        <v>4.6587031999999917E-2</v>
      </c>
      <c r="N72" s="227">
        <f>INDEX(Calc_Losses_2[[Ausnet]:[United Energy]],MATCH("Total loss factor",Calc_Losses_2[Cost item],0),MATCH(N$54,Calc_Losses_2[[#Headers],[Ausnet]:[United Energy]],0))</f>
        <v>3.7679446250000082E-2</v>
      </c>
      <c r="O72" s="227">
        <f>INDEX(Calc_Losses_2[[Ausnet]:[United Energy]],MATCH("Total loss factor",Calc_Losses_2[Cost item],0),MATCH(O$54,Calc_Losses_2[[#Headers],[Ausnet]:[United Energy]],0))</f>
        <v>6.9520042550514027E-2</v>
      </c>
      <c r="P72" s="227">
        <f>INDEX(Calc_Losses_2[[Ausnet]:[United Energy]],MATCH("Total loss factor",Calc_Losses_2[Cost item],0),MATCH(P$54,Calc_Losses_2[[#Headers],[Ausnet]:[United Energy]],0))</f>
        <v>4.3739760908138914E-2</v>
      </c>
    </row>
    <row r="73" spans="3:24" outlineLevel="1">
      <c r="U73" s="179"/>
    </row>
    <row r="74" spans="3:24" ht="15.5" outlineLevel="1">
      <c r="C74" s="26" t="s">
        <v>552</v>
      </c>
      <c r="K74" s="26" t="s">
        <v>552</v>
      </c>
    </row>
    <row r="75" spans="3:24" ht="15.5" outlineLevel="1">
      <c r="C75" s="38" t="s">
        <v>553</v>
      </c>
      <c r="D75" s="228">
        <f>SUM(Calc_Retail_1[Ausnet])</f>
        <v>175.92415101117138</v>
      </c>
      <c r="E75" s="228">
        <f>SUM(Calc_Retail_1[Citipower])</f>
        <v>175.92415101117138</v>
      </c>
      <c r="F75" s="228">
        <f>SUM(Calc_Retail_1[Jemena])</f>
        <v>175.92415101117138</v>
      </c>
      <c r="G75" s="228">
        <f>SUM(Calc_Retail_1[Powercor])</f>
        <v>175.92415101117138</v>
      </c>
      <c r="H75" s="228">
        <f>SUM(Calc_Retail_1[United Energy])</f>
        <v>175.92415101117138</v>
      </c>
      <c r="K75" s="38" t="s">
        <v>553</v>
      </c>
      <c r="L75" s="228">
        <f>SUM(Calc_Retail_2[Ausnet])</f>
        <v>187.35930628726288</v>
      </c>
      <c r="M75" s="228">
        <f>SUM(Calc_Retail_2[Citipower])</f>
        <v>187.35930628726288</v>
      </c>
      <c r="N75" s="228">
        <f>SUM(Calc_Retail_2[Jemena])</f>
        <v>187.35930628726288</v>
      </c>
      <c r="O75" s="228">
        <f>SUM(Calc_Retail_2[Powercor])</f>
        <v>187.35930628726288</v>
      </c>
      <c r="P75" s="228">
        <f>SUM(Calc_Retail_2[United Energy])</f>
        <v>187.35930628726288</v>
      </c>
    </row>
    <row r="76" spans="3:24" outlineLevel="1">
      <c r="T76" s="78"/>
      <c r="V76" s="229"/>
    </row>
    <row r="77" spans="3:24" ht="15.5" outlineLevel="1">
      <c r="C77" s="38" t="s">
        <v>554</v>
      </c>
      <c r="D77" s="228">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213.97054227419011</v>
      </c>
      <c r="E77" s="228">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219.75989568695607</v>
      </c>
      <c r="F77" s="228">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207.87034275504374</v>
      </c>
      <c r="G77" s="228">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246.23715510552023</v>
      </c>
      <c r="H77" s="228">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187.32328763194758</v>
      </c>
      <c r="K77" s="38" t="s">
        <v>554</v>
      </c>
      <c r="L77" s="228">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198.75969167398341</v>
      </c>
      <c r="M77" s="228">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225.85906917734366</v>
      </c>
      <c r="N77" s="228">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201.66301243411328</v>
      </c>
      <c r="O77" s="228">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242.13213140596849</v>
      </c>
      <c r="P77" s="228">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173.61726084212449</v>
      </c>
      <c r="T77" s="78"/>
      <c r="V77" s="229"/>
    </row>
    <row r="78" spans="3:24" outlineLevel="1">
      <c r="V78" s="229"/>
    </row>
    <row r="79" spans="3:24" ht="15.5" outlineLevel="1">
      <c r="C79" s="38" t="s">
        <v>92</v>
      </c>
      <c r="D79" s="228">
        <f>SUMIFS(Calc_OtherCosts_1[Ausnet],Calc_OtherCosts_1[[Fixed/Variable]:[Fixed/Variable]],"Fixed")</f>
        <v>10.663924892904003</v>
      </c>
      <c r="E79" s="228">
        <f>SUMIFS(Calc_OtherCosts_1[Citipower],Calc_OtherCosts_1[[Fixed/Variable]:[Fixed/Variable]],"Fixed")</f>
        <v>10.663924892904003</v>
      </c>
      <c r="F79" s="228">
        <f>SUMIFS(Calc_OtherCosts_1[Jemena],Calc_OtherCosts_1[[Fixed/Variable]:[Fixed/Variable]],"Fixed")</f>
        <v>10.663924892904003</v>
      </c>
      <c r="G79" s="228">
        <f>SUMIFS(Calc_OtherCosts_1[Powercor],Calc_OtherCosts_1[[Fixed/Variable]:[Fixed/Variable]],"Fixed")</f>
        <v>10.663924892904003</v>
      </c>
      <c r="H79" s="228">
        <f>SUMIFS(Calc_OtherCosts_1[United Energy],Calc_OtherCosts_1[[Fixed/Variable]:[Fixed/Variable]],"Fixed")</f>
        <v>10.663924892904003</v>
      </c>
      <c r="K79" s="38" t="s">
        <v>92</v>
      </c>
      <c r="L79" s="228">
        <f>SUMIFS(Calc_OtherCosts_2[Ausnet],Calc_OtherCosts_2[[Fixed/Variable]:[Fixed/Variable]],"Fixed")</f>
        <v>4.1192540518137655</v>
      </c>
      <c r="M79" s="228">
        <f>SUMIFS(Calc_OtherCosts_2[Citipower],Calc_OtherCosts_2[[Fixed/Variable]:[Fixed/Variable]],"Fixed")</f>
        <v>4.1192540518137655</v>
      </c>
      <c r="N79" s="228">
        <f>SUMIFS(Calc_OtherCosts_2[Jemena],Calc_OtherCosts_2[[Fixed/Variable]:[Fixed/Variable]],"Fixed")</f>
        <v>4.1192540518137655</v>
      </c>
      <c r="O79" s="228">
        <f>SUMIFS(Calc_OtherCosts_2[Powercor],Calc_OtherCosts_2[[Fixed/Variable]:[Fixed/Variable]],"Fixed")</f>
        <v>4.1192540518137655</v>
      </c>
      <c r="P79" s="228">
        <f>SUMIFS(Calc_OtherCosts_2[United Energy],Calc_OtherCosts_2[[Fixed/Variable]:[Fixed/Variable]],"Fixed")</f>
        <v>4.1192540518137655</v>
      </c>
      <c r="T79" s="78"/>
      <c r="V79" s="229"/>
    </row>
    <row r="80" spans="3:24" outlineLevel="1">
      <c r="V80" s="229"/>
      <c r="X80" s="93"/>
    </row>
    <row r="81" spans="3:16" ht="15.5" outlineLevel="1">
      <c r="C81" s="38" t="s">
        <v>555</v>
      </c>
      <c r="D81" s="228">
        <f>INDEX(Calc_FiT_1[[Ausnet]:[United Energy]],1,MATCH(D$54,Calc_FiT_1[[#Headers],[Ausnet]:[United Energy]],0))</f>
        <v>16.945572514842485</v>
      </c>
      <c r="E81" s="228">
        <f>INDEX(Calc_FiT_1[[Ausnet]:[United Energy]],1,MATCH(E$54,Calc_FiT_1[[#Headers],[Ausnet]:[United Energy]],0))</f>
        <v>16.945572514842485</v>
      </c>
      <c r="F81" s="228">
        <f>INDEX(Calc_FiT_1[[Ausnet]:[United Energy]],1,MATCH(F$54,Calc_FiT_1[[#Headers],[Ausnet]:[United Energy]],0))</f>
        <v>16.945572514842485</v>
      </c>
      <c r="G81" s="228">
        <f>INDEX(Calc_FiT_1[[Ausnet]:[United Energy]],1,MATCH(G$54,Calc_FiT_1[[#Headers],[Ausnet]:[United Energy]],0))</f>
        <v>16.945572514842485</v>
      </c>
      <c r="H81" s="228">
        <f>INDEX(Calc_FiT_1[[Ausnet]:[United Energy]],1,MATCH(H$54,Calc_FiT_1[[#Headers],[Ausnet]:[United Energy]],0))</f>
        <v>16.945572514842485</v>
      </c>
      <c r="K81" s="38" t="s">
        <v>555</v>
      </c>
      <c r="L81" s="228">
        <f>INDEX(Calc_FiT_2[[Ausnet]:[United Energy]],1,MATCH(L$54,Calc_FiT_2[[#Headers],[Ausnet]:[United Energy]],0))</f>
        <v>16.375320494428642</v>
      </c>
      <c r="M81" s="228">
        <f>INDEX(Calc_FiT_2[[Ausnet]:[United Energy]],1,MATCH(M$54,Calc_FiT_2[[#Headers],[Ausnet]:[United Energy]],0))</f>
        <v>16.375320494428642</v>
      </c>
      <c r="N81" s="228">
        <f>INDEX(Calc_FiT_2[[Ausnet]:[United Energy]],1,MATCH(N$54,Calc_FiT_2[[#Headers],[Ausnet]:[United Energy]],0))</f>
        <v>16.375320494428642</v>
      </c>
      <c r="O81" s="228">
        <f>INDEX(Calc_FiT_2[[Ausnet]:[United Energy]],1,MATCH(O$54,Calc_FiT_2[[#Headers],[Ausnet]:[United Energy]],0))</f>
        <v>16.375320494428642</v>
      </c>
      <c r="P81" s="228">
        <f>INDEX(Calc_FiT_2[[Ausnet]:[United Energy]],1,MATCH(P$54,Calc_FiT_2[[#Headers],[Ausnet]:[United Energy]],0))</f>
        <v>16.375320494428642</v>
      </c>
    </row>
    <row r="82" spans="3:16" outlineLevel="1"/>
    <row r="83" spans="3:16" ht="15.5" outlineLevel="1">
      <c r="C83" s="26" t="s">
        <v>556</v>
      </c>
      <c r="K83" s="26" t="s">
        <v>556</v>
      </c>
    </row>
    <row r="84" spans="3:16" ht="15.5" outlineLevel="1">
      <c r="C84" s="38" t="s">
        <v>82</v>
      </c>
      <c r="D84" s="228">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2.843221042152444E-2</v>
      </c>
      <c r="E84" s="228">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2.843221042152444E-2</v>
      </c>
      <c r="F84" s="228">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2.843221042152444E-2</v>
      </c>
      <c r="G84" s="228">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2.843221042152444E-2</v>
      </c>
      <c r="H84" s="228">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2.843221042152444E-2</v>
      </c>
      <c r="K84" s="38" t="s">
        <v>82</v>
      </c>
      <c r="L84" s="228">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2.8392779758481347E-2</v>
      </c>
      <c r="M84" s="228">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2.8392779758481347E-2</v>
      </c>
      <c r="N84" s="228">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2.8392779758481347E-2</v>
      </c>
      <c r="O84" s="228">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2.8392779758481347E-2</v>
      </c>
      <c r="P84" s="228">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2.8392779758481347E-2</v>
      </c>
    </row>
    <row r="85" spans="3:16" outlineLevel="1"/>
    <row r="86" spans="3:16" ht="15.5" outlineLevel="1">
      <c r="C86" s="38" t="s">
        <v>140</v>
      </c>
      <c r="D86" s="228">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0.12856302089613503</v>
      </c>
      <c r="E86" s="228">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0.12648439961732669</v>
      </c>
      <c r="F86" s="228">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0.13021020918052265</v>
      </c>
      <c r="G86" s="228">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0.12548093617538489</v>
      </c>
      <c r="H86" s="228">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0.13037554287242703</v>
      </c>
      <c r="K86" s="38" t="s">
        <v>140</v>
      </c>
      <c r="L86" s="228">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7.0609999999999992E-2</v>
      </c>
      <c r="M86" s="228">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7.0660000000000001E-2</v>
      </c>
      <c r="N86" s="228">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6.9330000000000003E-2</v>
      </c>
      <c r="O86" s="228">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7.0069999999999993E-2</v>
      </c>
      <c r="P86" s="228">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6.9539999999999991E-2</v>
      </c>
    </row>
    <row r="87" spans="3:16" outlineLevel="1"/>
    <row r="88" spans="3:16" ht="15.5" outlineLevel="1">
      <c r="C88" s="38" t="s">
        <v>92</v>
      </c>
      <c r="D88" s="228">
        <f>SUMIFS(Calc_OtherCosts_1[Ausnet],Calc_OtherCosts_1[[Fixed/Variable]:[Fixed/Variable]],"Variable")</f>
        <v>1.6791732404258365E-3</v>
      </c>
      <c r="E88" s="228">
        <f>SUMIFS(Calc_OtherCosts_1[Citipower],Calc_OtherCosts_1[[Fixed/Variable]:[Fixed/Variable]],"Variable")</f>
        <v>1.6791732404258365E-3</v>
      </c>
      <c r="F88" s="228">
        <f>SUMIFS(Calc_OtherCosts_1[Jemena],Calc_OtherCosts_1[[Fixed/Variable]:[Fixed/Variable]],"Variable")</f>
        <v>1.6791732404258365E-3</v>
      </c>
      <c r="G88" s="228">
        <f>SUMIFS(Calc_OtherCosts_1[Powercor],Calc_OtherCosts_1[[Fixed/Variable]:[Fixed/Variable]],"Variable")</f>
        <v>1.6791732404258365E-3</v>
      </c>
      <c r="H88" s="228">
        <f>SUMIFS(Calc_OtherCosts_1[United Energy],Calc_OtherCosts_1[[Fixed/Variable]:[Fixed/Variable]],"Variable")</f>
        <v>1.6791732404258365E-3</v>
      </c>
      <c r="K88" s="38" t="s">
        <v>92</v>
      </c>
      <c r="L88" s="228">
        <f>SUMIFS(Calc_OtherCosts_2[Ausnet],Calc_OtherCosts_2[[Fixed/Variable]:[Fixed/Variable]],"Variable")</f>
        <v>1.3383290735317938E-3</v>
      </c>
      <c r="M88" s="228">
        <f>SUMIFS(Calc_OtherCosts_2[Citipower],Calc_OtherCosts_2[[Fixed/Variable]:[Fixed/Variable]],"Variable")</f>
        <v>1.3383290735317938E-3</v>
      </c>
      <c r="N88" s="228">
        <f>SUMIFS(Calc_OtherCosts_2[Jemena],Calc_OtherCosts_2[[Fixed/Variable]:[Fixed/Variable]],"Variable")</f>
        <v>1.3383290735317938E-3</v>
      </c>
      <c r="O88" s="228">
        <f>SUMIFS(Calc_OtherCosts_2[Powercor],Calc_OtherCosts_2[[Fixed/Variable]:[Fixed/Variable]],"Variable")</f>
        <v>1.3383290735317938E-3</v>
      </c>
      <c r="P88" s="228">
        <f>SUMIFS(Calc_OtherCosts_2[United Energy],Calc_OtherCosts_2[[Fixed/Variable]:[Fixed/Variable]],"Variable")</f>
        <v>1.3383290735317938E-3</v>
      </c>
    </row>
    <row r="89" spans="3:16" outlineLevel="1"/>
    <row r="90" spans="3:16" ht="15.5" outlineLevel="1">
      <c r="C90" s="38" t="s">
        <v>557</v>
      </c>
      <c r="K90" s="38" t="s">
        <v>557</v>
      </c>
    </row>
    <row r="91" spans="3:16" outlineLevel="1">
      <c r="C91" t="s">
        <v>67</v>
      </c>
      <c r="D91" s="228">
        <f>SUMIFS(Calc_NetworkV_1[Ausnet],Calc_NetworkV_1[[Cost item]:[Cost item]],$C91,Calc_NetworkV_1[[Customer type]:[Customer type]],IF(ISNUMBER(SEARCH("Residential",$C$48)),"Residential","Small business"))</f>
        <v>0.18668411930490375</v>
      </c>
      <c r="E91" s="228">
        <f>SUMIFS(Calc_NetworkV_1[Citipower],Calc_NetworkV_1[[Cost item]:[Cost item]],$C91,Calc_NetworkV_1[[Customer type]:[Customer type]],IF(ISNUMBER(SEARCH("Residential",$C$48)),"Residential","Small business"))</f>
        <v>0</v>
      </c>
      <c r="F91" s="228">
        <f>SUMIFS(Calc_NetworkV_1[Jemena],Calc_NetworkV_1[[Cost item]:[Cost item]],$C91,Calc_NetworkV_1[[Customer type]:[Customer type]],IF(ISNUMBER(SEARCH("Residential",$C$48)),"Residential","Small business"))</f>
        <v>0</v>
      </c>
      <c r="G91" s="228">
        <f>SUMIFS(Calc_NetworkV_1[Powercor],Calc_NetworkV_1[Cost item],$C91,Calc_NetworkV_1[Customer type],IF(ISNUMBER(SEARCH("Residential",$C$48)),"Residential","Small business"))</f>
        <v>0</v>
      </c>
      <c r="H91" s="228">
        <f>SUMIFS(Calc_NetworkV_1[United Energy],Calc_NetworkV_1[[Cost item]:[Cost item]],$C91,Calc_NetworkV_1[[Customer type]:[Customer type]],IF(ISNUMBER(SEARCH("Residential",$C$48)),"Residential","Small business"))</f>
        <v>0</v>
      </c>
      <c r="K91" t="s">
        <v>67</v>
      </c>
      <c r="L91" s="228">
        <f>SUMIFS(Calc_NetworkV_2[Ausnet],Calc_NetworkV_2[Cost item],$K91,Calc_NetworkV_2[Customer type],IF(ISNUMBER(SEARCH("Residential",$K$48)),"Residential","Small business"))</f>
        <v>0.17498000000000002</v>
      </c>
      <c r="M91" s="228">
        <f>SUMIFS(Calc_NetworkV_2[Citipower],Calc_NetworkV_2[[Cost item]:[Cost item]],$K91,Calc_NetworkV_2[[Customer type]:[Customer type]],IF(ISNUMBER(SEARCH("Residential",$K$48)),"Residential","Small business"))</f>
        <v>0</v>
      </c>
      <c r="N91" s="228">
        <f>SUMIFS(Calc_NetworkV_2[Jemena],Calc_NetworkV_2[[Cost item]:[Cost item]],$K91,Calc_NetworkV_2[[Customer type]:[Customer type]],IF(ISNUMBER(SEARCH("Residential",$K$48)),"Residential","Small business"))</f>
        <v>0</v>
      </c>
      <c r="O91" s="228">
        <f>SUMIFS(Calc_NetworkV_2[Powercor],Calc_NetworkV_2[[Cost item]:[Cost item]],$K91,Calc_NetworkV_2[[Customer type]:[Customer type]],IF(ISNUMBER(SEARCH("Residential",$K$48)),"Residential","Small business"))</f>
        <v>0</v>
      </c>
      <c r="P91" s="228">
        <f>SUMIFS(Calc_NetworkV_2[United Energy],Calc_NetworkV_2[[Cost item]:[Cost item]],$K91,Calc_NetworkV_2[[Customer type]:[Customer type]],IF(ISNUMBER(SEARCH("Residential",$K$48)),"Residential","Small business"))</f>
        <v>0</v>
      </c>
    </row>
    <row r="92" spans="3:16" outlineLevel="1">
      <c r="C92" t="s">
        <v>69</v>
      </c>
      <c r="D92" s="228">
        <f>SUMIFS(Calc_NetworkV_1[Ausnet],Calc_NetworkV_1[Cost item],$C92,Calc_NetworkV_1[Customer type],IF(ISNUMBER(SEARCH("Residential",$C$48)),"Residential","Small business"))</f>
        <v>0.20620858559880922</v>
      </c>
      <c r="E92" s="228">
        <f>SUMIFS(Calc_NetworkV_1[Citipower],Calc_NetworkV_1[[Cost item]:[Cost item]],$C92,Calc_NetworkV_1[[Customer type]:[Customer type]],IF(ISNUMBER(SEARCH("Residential",$C$48)),"Residential","Small business"))</f>
        <v>0</v>
      </c>
      <c r="F92" s="228">
        <f>SUMIFS(Calc_NetworkV_1[Jemena],Calc_NetworkV_1[[Cost item]:[Cost item]],$C92,Calc_NetworkV_1[[Customer type]:[Customer type]],IF(ISNUMBER(SEARCH("Residential",$C$48)),"Residential","Small business"))</f>
        <v>0</v>
      </c>
      <c r="G92" s="228">
        <f>SUMIFS(Calc_NetworkV_1[Powercor],Calc_NetworkV_1[[Cost item]:[Cost item]],$C92,Calc_NetworkV_1[[Customer type]:[Customer type]],IF(ISNUMBER(SEARCH("Residential",$C$48)),"Residential","Small business"))</f>
        <v>0</v>
      </c>
      <c r="H92" s="228">
        <f>SUMIFS(Calc_NetworkV_1[United Energy],Calc_NetworkV_1[[Cost item]:[Cost item]],$C92,Calc_NetworkV_1[[Customer type]:[Customer type]],IF(ISNUMBER(SEARCH("Residential",$C$48)),"Residential","Small business"))</f>
        <v>0</v>
      </c>
      <c r="K92" t="s">
        <v>69</v>
      </c>
      <c r="L92" s="228">
        <f>SUMIFS(Calc_NetworkV_2[Ausnet],Calc_NetworkV_2[[Cost item]:[Cost item]],$K92,Calc_NetworkV_2[[Customer type]:[Customer type]],IF(ISNUMBER(SEARCH("Residential",$K$48)),"Residential","Small business"))</f>
        <v>0.20536599999999999</v>
      </c>
      <c r="M92" s="228">
        <f>SUMIFS(Calc_NetworkV_2[Citipower],Calc_NetworkV_2[[Cost item]:[Cost item]],$K92,Calc_NetworkV_2[[Customer type]:[Customer type]],IF(ISNUMBER(SEARCH("Residential",$K$48)),"Residential","Small business"))</f>
        <v>0</v>
      </c>
      <c r="N92" s="228">
        <f>SUMIFS(Calc_NetworkV_2[Jemena],Calc_NetworkV_2[[Cost item]:[Cost item]],$K92,Calc_NetworkV_2[[Customer type]:[Customer type]],IF(ISNUMBER(SEARCH("Residential",$K$48)),"Residential","Small business"))</f>
        <v>0</v>
      </c>
      <c r="O92" s="228">
        <f>SUMIFS(Calc_NetworkV_2[Powercor],Calc_NetworkV_2[[Cost item]:[Cost item]],$K92,Calc_NetworkV_2[[Customer type]:[Customer type]],IF(ISNUMBER(SEARCH("Residential",$K$48)),"Residential","Small business"))</f>
        <v>0</v>
      </c>
      <c r="P92" s="228">
        <f>SUMIFS(Calc_NetworkV_2[United Energy],Calc_NetworkV_2[[Cost item]:[Cost item]],$K92,Calc_NetworkV_2[[Customer type]:[Customer type]],IF(ISNUMBER(SEARCH("Residential",$K$48)),"Residential","Small business"))</f>
        <v>0</v>
      </c>
    </row>
    <row r="93" spans="3:16" outlineLevel="1">
      <c r="C93" t="s">
        <v>70</v>
      </c>
      <c r="D93" s="228">
        <f>SUMIFS(Calc_NetworkV_1[Ausnet],Calc_NetworkV_1[[Cost item]:[Cost item]],$C93,Calc_NetworkV_1[[Customer type]:[Customer type]],IF(ISNUMBER(SEARCH("Residential",$C$48)),"Residential","Small business"))</f>
        <v>0</v>
      </c>
      <c r="E93" s="228">
        <f>SUMIFS(Calc_NetworkV_1[Citipower],Calc_NetworkV_1[[Cost item]:[Cost item]],$C93,Calc_NetworkV_1[[Customer type]:[Customer type]],IF(ISNUMBER(SEARCH("Residential",$C$48)),"Residential","Small business"))</f>
        <v>8.1500000000000003E-2</v>
      </c>
      <c r="F93" s="228">
        <f>SUMIFS(Calc_NetworkV_1[Jemena],Calc_NetworkV_1[[Cost item]:[Cost item]],$C93,Calc_NetworkV_1[[Customer type]:[Customer type]],IF(ISNUMBER(SEARCH("Residential",$C$48)),"Residential","Small business"))</f>
        <v>0.11834</v>
      </c>
      <c r="G93" s="228">
        <f>SUMIFS(Calc_NetworkV_1[Powercor],Calc_NetworkV_1[[Cost item]:[Cost item]],$C93,Calc_NetworkV_1[[Customer type]:[Customer type]],IF(ISNUMBER(SEARCH("Residential",$C$48)),"Residential","Small business"))</f>
        <v>9.8100000000000007E-2</v>
      </c>
      <c r="H93" s="228">
        <f>SUMIFS(Calc_NetworkV_1[United Energy],Calc_NetworkV_1[[Cost item]:[Cost item]],$C93,Calc_NetworkV_1[[Customer type]:[Customer type]],IF(ISNUMBER(SEARCH("Residential",$C$48)),"Residential","Small business"))</f>
        <v>9.3900000000000011E-2</v>
      </c>
      <c r="K93" t="s">
        <v>70</v>
      </c>
      <c r="L93" s="228">
        <f>SUMIFS(Calc_NetworkV_2[Ausnet],Calc_NetworkV_2[[Cost item]:[Cost item]],$K93,Calc_NetworkV_2[[Customer type]:[Customer type]],IF(ISNUMBER(SEARCH("Residential",$K$48)),"Residential","Small business"))</f>
        <v>0</v>
      </c>
      <c r="M93" s="228">
        <f>SUMIFS(Calc_NetworkV_2[Citipower],Calc_NetworkV_2[[Cost item]:[Cost item]],$K93,Calc_NetworkV_2[[Customer type]:[Customer type]],IF(ISNUMBER(SEARCH("Residential",$K$48)),"Residential","Small business"))</f>
        <v>8.0299999999999996E-2</v>
      </c>
      <c r="N93" s="228">
        <f>SUMIFS(Calc_NetworkV_2[Jemena],Calc_NetworkV_2[[Cost item]:[Cost item]],$K93,Calc_NetworkV_2[[Customer type]:[Customer type]],IF(ISNUMBER(SEARCH("Residential",$K$48)),"Residential","Small business"))</f>
        <v>0.1084</v>
      </c>
      <c r="O93" s="228">
        <f>SUMIFS(Calc_NetworkV_2[Powercor],Calc_NetworkV_2[[Cost item]:[Cost item]],$K93,Calc_NetworkV_2[[Customer type]:[Customer type]],IF(ISNUMBER(SEARCH("Residential",$K$48)),"Residential","Small business"))</f>
        <v>9.2899999999999996E-2</v>
      </c>
      <c r="P93" s="228">
        <f>SUMIFS(Calc_NetworkV_2[United Energy],Calc_NetworkV_2[[Cost item]:[Cost item]],$K93,Calc_NetworkV_2[[Customer type]:[Customer type]],IF(ISNUMBER(SEARCH("Residential",$K$48)),"Residential","Small business"))</f>
        <v>9.1400000000000009E-2</v>
      </c>
    </row>
    <row r="94" spans="3:16" outlineLevel="1"/>
    <row r="95" spans="3:16" ht="15.5" outlineLevel="1">
      <c r="C95" s="38" t="s">
        <v>558</v>
      </c>
      <c r="K95" s="38" t="s">
        <v>558</v>
      </c>
    </row>
    <row r="96" spans="3:16" outlineLevel="1">
      <c r="C96" t="s">
        <v>79</v>
      </c>
      <c r="D96" s="228" t="str" cm="1">
        <f t="array" ref="D96">IF(ISNUMBER(SEARCH("Residential",$C$48)),
INDEX(OP_RatesTU_RES_1[Ausnet],MATCH(1,(OP_RatesTU_RES_1[Cost element]="Network")*(OP_RatesTU_RES_1[Rate name]='CH_CostStack_SME 10k'!$C96),0),1),
INDEX(OP_RatesTU_SME_1[Ausnet],MATCH(1,(OP_RatesTU_SME_1[Cost element]="Network")*(OP_RatesTU_SME_1[Rate name]='CH_CostStack_SME 10k'!$C96),0),1))</f>
        <v>-</v>
      </c>
      <c r="E96" s="228" t="str" cm="1">
        <f t="array" ref="E96">IF(ISNUMBER(SEARCH("Residential",$C$48)),
INDEX(OP_RatesTU_RES_1[Citipower],MATCH(1,(OP_RatesTU_RES_1[Cost element]="Network")*(OP_RatesTU_RES_1[Rate name]='CH_CostStack_SME 10k'!$C96),0),1),
INDEX(OP_RatesTU_SME_1[Citipower],MATCH(1,(OP_RatesTU_SME_1[Cost element]="Network")*(OP_RatesTU_SME_1[Rate name]='CH_CostStack_SME 10k'!$C96),0),1))</f>
        <v>-</v>
      </c>
      <c r="F96" s="228" t="str" cm="1">
        <f t="array" ref="F96">IF(ISNUMBER(SEARCH("Residential",$C$48)),
INDEX(OP_RatesTU_RES_1[Jemena],MATCH(1,(OP_RatesTU_RES_1[Cost element]="Network")*(OP_RatesTU_RES_1[Rate name]='CH_CostStack_SME 10k'!$C96),0),1),
INDEX(OP_RatesTU_SME_1[Jemena],MATCH(1,(OP_RatesTU_SME_1[Cost element]="Network")*(OP_RatesTU_SME_1[Rate name]='CH_CostStack_SME 10k'!$C96),0),1))</f>
        <v>-</v>
      </c>
      <c r="G96" s="228" t="str" cm="1">
        <f t="array" ref="G96">IF(ISNUMBER(SEARCH("Residential",$C$48)),
INDEX(OP_RatesTU_RES_1[Powercor],MATCH(1,(OP_RatesTU_RES_1[Cost element]="Network")*(OP_RatesTU_RES_1[Rate name]='CH_CostStack_SME 10k'!$C96),0),1),
INDEX(OP_RatesTU_SME_1[Powercor],MATCH(1,(OP_RatesTU_SME_1[Cost element]="Network")*(OP_RatesTU_SME_1[Rate name]='CH_CostStack_SME 10k'!$C96),0),1))</f>
        <v>-</v>
      </c>
      <c r="H96" s="228" t="str" cm="1">
        <f t="array" ref="H96">IF(ISNUMBER(SEARCH("Residential",$C$48)),
INDEX(OP_RatesTU_RES_1[United Energy],MATCH(1,(OP_RatesTU_RES_1[Cost element]="Network")*(OP_RatesTU_RES_1[Rate name]='CH_CostStack_SME 10k'!$C96),0),1),
INDEX(OP_RatesTU_SME_1[United Energy],MATCH(1,(OP_RatesTU_SME_1[Cost element]="Network")*(OP_RatesTU_SME_1[Rate name]='CH_CostStack_SME 10k'!$C96),0),1))</f>
        <v>-</v>
      </c>
      <c r="K96" t="s">
        <v>79</v>
      </c>
      <c r="L96" s="228" t="str" cm="1">
        <f t="array" ref="L96">IF(ISNUMBER(SEARCH("Residential",$K$48)),
INDEX(OP_RatesTU_RES_2[Ausnet],MATCH(1,(OP_RatesTU_RES_2[Cost element]="Network")*(OP_RatesTU_RES_2[Rate name]='CH_CostStack_SME 10k'!$K96),0),1),
INDEX(OP_RatesTU_SME_2[Ausnet],MATCH(1,(OP_RatesTU_SME_2[Cost element]="Network")*(OP_RatesTU_SME_2[Rate name]='CH_CostStack_SME 10k'!$K96),0),1))</f>
        <v>-</v>
      </c>
      <c r="M96" s="228" t="str" cm="1">
        <f t="array" ref="M96">IF(ISNUMBER(SEARCH("Residential",$K$48)),
INDEX(OP_RatesTU_RES_2[Citipower],MATCH(1,(OP_RatesTU_RES_2[Cost element]="Network")*(OP_RatesTU_RES_2[Rate name]='CH_CostStack_SME 10k'!$K96),0),1),
INDEX(OP_RatesTU_SME_2[Citipower],MATCH(1,(OP_RatesTU_SME_2[Cost element]="Network")*(OP_RatesTU_SME_2[Rate name]='CH_CostStack_SME 10k'!$K96),0),1))</f>
        <v>-</v>
      </c>
      <c r="N96" s="228" t="str" cm="1">
        <f t="array" ref="N96">IF(ISNUMBER(SEARCH("Residential",$K$48)),
INDEX(OP_RatesTU_RES_2[Jemena],MATCH(1,(OP_RatesTU_RES_2[Cost element]="Network")*(OP_RatesTU_RES_2[Rate name]='CH_CostStack_SME 10k'!$K96),0),1),
INDEX(OP_RatesTU_SME_2[Jemena],MATCH(1,(OP_RatesTU_SME_2[Cost element]="Network")*(OP_RatesTU_SME_2[Rate name]='CH_CostStack_SME 10k'!$K96),0),1))</f>
        <v>-</v>
      </c>
      <c r="O96" s="228" t="str" cm="1">
        <f t="array" ref="O96">IF(ISNUMBER(SEARCH("Residential",$K$48)),
INDEX(OP_RatesTU_RES_2[Powercor],MATCH(1,(OP_RatesTU_RES_2[Cost element]="Network")*(OP_RatesTU_RES_2[Rate name]='CH_CostStack_SME 10k'!$K96),0),1),
INDEX(OP_RatesTU_SME_2[Powercor],MATCH(1,(OP_RatesTU_SME_2[Cost element]="Network")*(OP_RatesTU_SME_2[Rate name]='CH_CostStack_SME 10k'!$K96),0),1))</f>
        <v>-</v>
      </c>
      <c r="P96" s="228" t="str" cm="1">
        <f t="array" ref="P96">IF(ISNUMBER(SEARCH("Residential",$K$48)),
INDEX(OP_RatesTU_RES_2[United Energy],MATCH(1,(OP_RatesTU_RES_2[Cost element]="Network")*(OP_RatesTU_RES_2[Rate name]='CH_CostStack_SME 10k'!$K96),0),1),
INDEX(OP_RatesTU_SME_2[United Energy],MATCH(1,(OP_RatesTU_SME_2[Cost element]="Network")*(OP_RatesTU_SME_2[Rate name]='CH_CostStack_SME 10k'!$K96),0),1))</f>
        <v>-</v>
      </c>
    </row>
    <row r="97" spans="3:16" outlineLevel="1"/>
    <row r="98" spans="3:16" ht="15.5" outlineLevel="1">
      <c r="C98" s="38" t="s">
        <v>559</v>
      </c>
      <c r="K98" s="38" t="s">
        <v>559</v>
      </c>
    </row>
    <row r="99" spans="3:16" outlineLevel="1">
      <c r="C99" t="s">
        <v>67</v>
      </c>
      <c r="D99" s="228" cm="1">
        <f t="array" ref="D99">IF(ISNUMBER(SEARCH("Residential",$C$48)),
INDEX(OP_RatesTU_RES_1[Ausnet],MATCH(1,(OP_RatesTU_RES_1[Cost element]="Environmental")*(OP_RatesTU_RES_1[Rate name]='CH_CostStack_SME 10k'!$C99),0),1),
INDEX(OP_RatesTU_SME_1[Ausnet],MATCH(1,(OP_RatesTU_SME_1[Cost element]="Environmental")*(OP_RatesTU_SME_1[Rate name]='CH_CostStack_SME 10k'!$C99),0),1))</f>
        <v>-1.4451020409271499E-3</v>
      </c>
      <c r="E99" s="228" cm="1">
        <f t="array" ref="E99">IF(ISNUMBER(SEARCH("Residential",$C$48)),
INDEX(OP_RatesTU_RES_1[Citipower],MATCH(1,(OP_RatesTU_RES_1[Cost element]="Environmental")*(OP_RatesTU_RES_1[Rate name]='CH_CostStack_SME 10k'!$C99),0),1),
INDEX(OP_RatesTU_SME_1[Citipower],MATCH(1,(OP_RatesTU_SME_1[Cost element]="Environmental")*(OP_RatesTU_SME_1[Rate name]='CH_CostStack_SME 10k'!$C99),0),1))</f>
        <v>0</v>
      </c>
      <c r="F99" s="228" cm="1">
        <f t="array" ref="F99">IF(ISNUMBER(SEARCH("Residential",$C$48)),
INDEX(OP_RatesTU_RES_1[Jemena],MATCH(1,(OP_RatesTU_RES_1[Cost element]="Environmental")*(OP_RatesTU_RES_1[Rate name]='CH_CostStack_SME 10k'!$C99),0),1),
INDEX(OP_RatesTU_SME_1[Jemena],MATCH(1,(OP_RatesTU_SME_1[Cost element]="Environmental")*(OP_RatesTU_SME_1[Rate name]='CH_CostStack_SME 10k'!$C99),0),1))</f>
        <v>0</v>
      </c>
      <c r="G99" s="228" cm="1">
        <f t="array" ref="G99">IF(ISNUMBER(SEARCH("Residential",$C$48)),
INDEX(OP_RatesTU_RES_1[Powercor],MATCH(1,(OP_RatesTU_RES_1[Cost element]="Environmental")*(OP_RatesTU_RES_1[Rate name]='CH_CostStack_SME 10k'!$C99),0),1),
INDEX(OP_RatesTU_SME_1[Powercor],MATCH(1,(OP_RatesTU_SME_1[Cost element]="Environmental")*(OP_RatesTU_SME_1[Rate name]='CH_CostStack_SME 10k'!$C99),0),1))</f>
        <v>0</v>
      </c>
      <c r="H99" s="228" cm="1">
        <f t="array" ref="H99">IF(ISNUMBER(SEARCH("Residential",$C$48)),
INDEX(OP_RatesTU_RES_1[United Energy],MATCH(1,(OP_RatesTU_RES_1[Cost element]="Environmental")*(OP_RatesTU_RES_1[Rate name]='CH_CostStack_SME 10k'!$C99),0),1),
INDEX(OP_RatesTU_SME_1[United Energy],MATCH(1,(OP_RatesTU_SME_1[Cost element]="Environmental")*(OP_RatesTU_SME_1[Rate name]='CH_CostStack_SME 10k'!$C99),0),1))</f>
        <v>0</v>
      </c>
      <c r="K99" t="s">
        <v>67</v>
      </c>
      <c r="L99" s="228" cm="1">
        <f t="array" ref="L99">IF(ISNUMBER(SEARCH("Residential",$K$48)),
INDEX(OP_RatesTU_RES_2[Ausnet],MATCH(1,(OP_RatesTU_RES_2[Cost element]="Environmental")*(OP_RatesTU_RES_2[Rate name]='CH_CostStack_SME 10k'!$C99),0),1),
INDEX(OP_RatesTU_SME_2[Ausnet],MATCH(1,(OP_RatesTU_SME_2[Cost element]="Environmental")*(OP_RatesTU_SME_2[Rate name]='CH_CostStack_SME 10k'!$C99),0),1))</f>
        <v>4.3609479704997934E-4</v>
      </c>
      <c r="M99" s="228" cm="1">
        <f t="array" ref="M99">IF(ISNUMBER(SEARCH("Residential",$K$48)),
INDEX(OP_RatesTU_RES_2[Citipower],MATCH(1,(OP_RatesTU_RES_2[Cost element]="Environmental")*(OP_RatesTU_RES_2[Rate name]='CH_CostStack_SME 10k'!$C99),0),1),
INDEX(OP_RatesTU_SME_2[Citipower],MATCH(1,(OP_RatesTU_SME_2[Cost element]="Environmental")*(OP_RatesTU_SME_2[Rate name]='CH_CostStack_SME 10k'!$C99),0),1))</f>
        <v>0</v>
      </c>
      <c r="N99" s="228" cm="1">
        <f t="array" ref="N99">IF(ISNUMBER(SEARCH("Residential",$K$48)),
INDEX(OP_RatesTU_RES_2[Jemena],MATCH(1,(OP_RatesTU_RES_2[Cost element]="Environmental")*(OP_RatesTU_RES_2[Rate name]='CH_CostStack_SME 10k'!$C99),0),1),
INDEX(OP_RatesTU_SME_2[Jemena],MATCH(1,(OP_RatesTU_SME_2[Cost element]="Environmental")*(OP_RatesTU_SME_2[Rate name]='CH_CostStack_SME 10k'!$C99),0),1))</f>
        <v>0</v>
      </c>
      <c r="O99" s="228" cm="1">
        <f t="array" ref="O99">IF(ISNUMBER(SEARCH("Residential",$K$48)),
INDEX(OP_RatesTU_RES_2[Powercor],MATCH(1,(OP_RatesTU_RES_2[Cost element]="Environmental")*(OP_RatesTU_RES_2[Rate name]='CH_CostStack_SME 10k'!$C99),0),1),
INDEX(OP_RatesTU_SME_2[Powercor],MATCH(1,(OP_RatesTU_SME_2[Cost element]="Environmental")*(OP_RatesTU_SME_2[Rate name]='CH_CostStack_SME 10k'!$C99),0),1))</f>
        <v>0</v>
      </c>
      <c r="P99" s="228" cm="1">
        <f t="array" ref="P99">IF(ISNUMBER(SEARCH("Residential",$K$48)),
INDEX(OP_RatesTU_RES_2[United Energy],MATCH(1,(OP_RatesTU_RES_2[Cost element]="Environmental")*(OP_RatesTU_RES_2[Rate name]='CH_CostStack_SME 10k'!$C99),0),1),
INDEX(OP_RatesTU_SME_2[United Energy],MATCH(1,(OP_RatesTU_SME_2[Cost element]="Environmental")*(OP_RatesTU_SME_2[Rate name]='CH_CostStack_SME 10k'!$C99),0),1))</f>
        <v>0</v>
      </c>
    </row>
    <row r="100" spans="3:16" outlineLevel="1">
      <c r="C100" t="s">
        <v>69</v>
      </c>
      <c r="D100" s="228" cm="1">
        <f t="array" ref="D100">IF(ISNUMBER(SEARCH("Residential",$C$48)),
INDEX(OP_RatesTU_RES_1[Ausnet],MATCH(1,(OP_RatesTU_RES_1[Cost element]="Environmental")*(OP_RatesTU_RES_1[Rate name]='CH_CostStack_SME 10k'!$C100),0),1),
INDEX(OP_RatesTU_SME_1[Ausnet],MATCH(1,(OP_RatesTU_SME_1[Cost element]="Environmental")*(OP_RatesTU_SME_1[Rate name]='CH_CostStack_SME 10k'!$C100),0),1))</f>
        <v>-1.4451020409271499E-3</v>
      </c>
      <c r="E100" s="228" cm="1">
        <f t="array" ref="E100">IF(ISNUMBER(SEARCH("Residential",$C$48)),
INDEX(OP_RatesTU_RES_1[Citipower],MATCH(1,(OP_RatesTU_RES_1[Cost element]="Environmental")*(OP_RatesTU_RES_1[Rate name]='CH_CostStack_SME 10k'!$C100),0),1),
INDEX(OP_RatesTU_SME_1[Citipower],MATCH(1,(OP_RatesTU_SME_1[Cost element]="Environmental")*(OP_RatesTU_SME_1[Rate name]='CH_CostStack_SME 10k'!$C100),0),1))</f>
        <v>0</v>
      </c>
      <c r="F100" s="228" cm="1">
        <f t="array" ref="F100">IF(ISNUMBER(SEARCH("Residential",$C$48)),
INDEX(OP_RatesTU_RES_1[Jemena],MATCH(1,(OP_RatesTU_RES_1[Cost element]="Environmental")*(OP_RatesTU_RES_1[Rate name]='CH_CostStack_SME 10k'!$C100),0),1),
INDEX(OP_RatesTU_SME_1[Jemena],MATCH(1,(OP_RatesTU_SME_1[Cost element]="Environmental")*(OP_RatesTU_SME_1[Rate name]='CH_CostStack_SME 10k'!$C100),0),1))</f>
        <v>0</v>
      </c>
      <c r="G100" s="228" cm="1">
        <f t="array" ref="G100">IF(ISNUMBER(SEARCH("Residential",$C$48)),
INDEX(OP_RatesTU_RES_1[Powercor],MATCH(1,(OP_RatesTU_RES_1[Cost element]="Environmental")*(OP_RatesTU_RES_1[Rate name]='CH_CostStack_SME 10k'!$C100),0),1),
INDEX(OP_RatesTU_SME_1[Powercor],MATCH(1,(OP_RatesTU_SME_1[Cost element]="Environmental")*(OP_RatesTU_SME_1[Rate name]='CH_CostStack_SME 10k'!$C100),0),1))</f>
        <v>0</v>
      </c>
      <c r="H100" s="228" cm="1">
        <f t="array" ref="H100">IF(ISNUMBER(SEARCH("Residential",$C$48)),
INDEX(OP_RatesTU_RES_1[United Energy],MATCH(1,(OP_RatesTU_RES_1[Cost element]="Environmental")*(OP_RatesTU_RES_1[Rate name]='CH_CostStack_SME 10k'!$C100),0),1),
INDEX(OP_RatesTU_SME_1[United Energy],MATCH(1,(OP_RatesTU_SME_1[Cost element]="Environmental")*(OP_RatesTU_SME_1[Rate name]='CH_CostStack_SME 10k'!$C100),0),1))</f>
        <v>0</v>
      </c>
      <c r="K100" t="s">
        <v>69</v>
      </c>
      <c r="L100" s="228" cm="1">
        <f t="array" ref="L100">IF(ISNUMBER(SEARCH("Residential",$K$48)),
INDEX(OP_RatesTU_RES_2[Ausnet],MATCH(1,(OP_RatesTU_RES_2[Cost element]="Environmental")*(OP_RatesTU_RES_2[Rate name]='CH_CostStack_SME 10k'!$C100),0),1),
INDEX(OP_RatesTU_SME_2[Ausnet],MATCH(1,(OP_RatesTU_SME_2[Cost element]="Environmental")*(OP_RatesTU_SME_2[Rate name]='CH_CostStack_SME 10k'!$C100),0),1))</f>
        <v>4.3609479704997934E-4</v>
      </c>
      <c r="M100" s="228" cm="1">
        <f t="array" ref="M100">IF(ISNUMBER(SEARCH("Residential",$K$48)),
INDEX(OP_RatesTU_RES_2[Citipower],MATCH(1,(OP_RatesTU_RES_2[Cost element]="Environmental")*(OP_RatesTU_RES_2[Rate name]='CH_CostStack_SME 10k'!$C100),0),1),
INDEX(OP_RatesTU_SME_2[Citipower],MATCH(1,(OP_RatesTU_SME_2[Cost element]="Environmental")*(OP_RatesTU_SME_2[Rate name]='CH_CostStack_SME 10k'!$C100),0),1))</f>
        <v>0</v>
      </c>
      <c r="N100" s="228" cm="1">
        <f t="array" ref="N100">IF(ISNUMBER(SEARCH("Residential",$K$48)),
INDEX(OP_RatesTU_RES_2[Jemena],MATCH(1,(OP_RatesTU_RES_2[Cost element]="Environmental")*(OP_RatesTU_RES_2[Rate name]='CH_CostStack_SME 10k'!$C100),0),1),
INDEX(OP_RatesTU_SME_2[Jemena],MATCH(1,(OP_RatesTU_SME_2[Cost element]="Environmental")*(OP_RatesTU_SME_2[Rate name]='CH_CostStack_SME 10k'!$C100),0),1))</f>
        <v>0</v>
      </c>
      <c r="O100" s="228" cm="1">
        <f t="array" ref="O100">IF(ISNUMBER(SEARCH("Residential",$K$48)),
INDEX(OP_RatesTU_RES_2[Powercor],MATCH(1,(OP_RatesTU_RES_2[Cost element]="Environmental")*(OP_RatesTU_RES_2[Rate name]='CH_CostStack_SME 10k'!$C100),0),1),
INDEX(OP_RatesTU_SME_2[Powercor],MATCH(1,(OP_RatesTU_SME_2[Cost element]="Environmental")*(OP_RatesTU_SME_2[Rate name]='CH_CostStack_SME 10k'!$C100),0),1))</f>
        <v>0</v>
      </c>
      <c r="P100" s="228" cm="1">
        <f t="array" ref="P100">IF(ISNUMBER(SEARCH("Residential",$K$48)),
INDEX(OP_RatesTU_RES_2[United Energy],MATCH(1,(OP_RatesTU_RES_2[Cost element]="Environmental")*(OP_RatesTU_RES_2[Rate name]='CH_CostStack_SME 10k'!$C100),0),1),
INDEX(OP_RatesTU_SME_2[United Energy],MATCH(1,(OP_RatesTU_SME_2[Cost element]="Environmental")*(OP_RatesTU_SME_2[Rate name]='CH_CostStack_SME 10k'!$C100),0),1))</f>
        <v>0</v>
      </c>
    </row>
    <row r="101" spans="3:16">
      <c r="C101" t="s">
        <v>70</v>
      </c>
      <c r="D101" s="228" cm="1">
        <f t="array" ref="D101">IF(ISNUMBER(SEARCH("Residential",$C$48)),
INDEX(OP_RatesTU_RES_1[Ausnet],MATCH(1,(OP_RatesTU_RES_1[Cost element]="Environmental")*(OP_RatesTU_RES_1[Rate name]='CH_CostStack_SME 10k'!$C101),0),1),
INDEX(OP_RatesTU_SME_1[Ausnet],MATCH(1,(OP_RatesTU_SME_1[Cost element]="Environmental")*(OP_RatesTU_SME_1[Rate name]='CH_CostStack_SME 10k'!$C101),0),1))</f>
        <v>0</v>
      </c>
      <c r="E101" s="228" cm="1">
        <f t="array" ref="E101">IF(ISNUMBER(SEARCH("Residential",$C$48)),
INDEX(OP_RatesTU_RES_1[Citipower],MATCH(1,(OP_RatesTU_RES_1[Cost element]="Environmental")*(OP_RatesTU_RES_1[Rate name]='CH_CostStack_SME 10k'!$C101),0),1),
INDEX(OP_RatesTU_SME_1[Citipower],MATCH(1,(OP_RatesTU_SME_1[Cost element]="Environmental")*(OP_RatesTU_SME_1[Rate name]='CH_CostStack_SME 10k'!$C101),0),1))</f>
        <v>-1.4016011881474891E-3</v>
      </c>
      <c r="F101" s="228" cm="1">
        <f t="array" ref="F101">IF(ISNUMBER(SEARCH("Residential",$C$48)),
INDEX(OP_RatesTU_RES_1[Jemena],MATCH(1,(OP_RatesTU_RES_1[Cost element]="Environmental")*(OP_RatesTU_RES_1[Rate name]='CH_CostStack_SME 10k'!$C101),0),1),
INDEX(OP_RatesTU_SME_1[Jemena],MATCH(1,(OP_RatesTU_SME_1[Cost element]="Environmental")*(OP_RatesTU_SME_1[Rate name]='CH_CostStack_SME 10k'!$C101),0),1))</f>
        <v>-1.3896720485833702E-3</v>
      </c>
      <c r="G101" s="228" cm="1">
        <f t="array" ref="G101">IF(ISNUMBER(SEARCH("Residential",$C$48)),
INDEX(OP_RatesTU_RES_1[Powercor],MATCH(1,(OP_RatesTU_RES_1[Cost element]="Environmental")*(OP_RatesTU_RES_1[Rate name]='CH_CostStack_SME 10k'!$C101),0),1),
INDEX(OP_RatesTU_SME_1[Powercor],MATCH(1,(OP_RatesTU_SME_1[Cost element]="Environmental")*(OP_RatesTU_SME_1[Rate name]='CH_CostStack_SME 10k'!$C101),0),1))</f>
        <v>-1.432313335205126E-3</v>
      </c>
      <c r="H101" s="228" cm="1">
        <f t="array" ref="H101">IF(ISNUMBER(SEARCH("Residential",$C$48)),
INDEX(OP_RatesTU_RES_1[United Energy],MATCH(1,(OP_RatesTU_RES_1[Cost element]="Environmental")*(OP_RatesTU_RES_1[Rate name]='CH_CostStack_SME 10k'!$C101),0),1),
INDEX(OP_RatesTU_SME_1[United Energy],MATCH(1,(OP_RatesTU_SME_1[Cost element]="Environmental")*(OP_RatesTU_SME_1[Rate name]='CH_CostStack_SME 10k'!$C101),0),1))</f>
        <v>-1.3977880905040913E-3</v>
      </c>
      <c r="K101" t="s">
        <v>70</v>
      </c>
      <c r="L101" s="228" cm="1">
        <f t="array" ref="L101">IF(ISNUMBER(SEARCH("Residential",$K$48)),
INDEX(OP_RatesTU_RES_2[Ausnet],MATCH(1,(OP_RatesTU_RES_2[Cost element]="Environmental")*(OP_RatesTU_RES_2[Rate name]='CH_CostStack_SME 10k'!$C101),0),1),
INDEX(OP_RatesTU_SME_2[Ausnet],MATCH(1,(OP_RatesTU_SME_2[Cost element]="Environmental")*(OP_RatesTU_SME_2[Rate name]='CH_CostStack_SME 10k'!$C101),0),1))</f>
        <v>0</v>
      </c>
      <c r="M101" s="228" cm="1">
        <f t="array" ref="M101">IF(ISNUMBER(SEARCH("Residential",$K$48)),
INDEX(OP_RatesTU_RES_2[Citipower],MATCH(1,(OP_RatesTU_RES_2[Cost element]="Environmental")*(OP_RatesTU_RES_2[Rate name]='CH_CostStack_SME 10k'!$C101),0),1),
INDEX(OP_RatesTU_SME_2[Citipower],MATCH(1,(OP_RatesTU_SME_2[Cost element]="Environmental")*(OP_RatesTU_SME_2[Rate name]='CH_CostStack_SME 10k'!$C101),0),1))</f>
        <v>4.2329571152283947E-4</v>
      </c>
      <c r="N101" s="228" cm="1">
        <f t="array" ref="N101">IF(ISNUMBER(SEARCH("Residential",$K$48)),
INDEX(OP_RatesTU_RES_2[Jemena],MATCH(1,(OP_RatesTU_RES_2[Cost element]="Environmental")*(OP_RatesTU_RES_2[Rate name]='CH_CostStack_SME 10k'!$C101),0),1),
INDEX(OP_RatesTU_SME_2[Jemena],MATCH(1,(OP_RatesTU_SME_2[Cost element]="Environmental")*(OP_RatesTU_SME_2[Rate name]='CH_CostStack_SME 10k'!$C101),0),1))</f>
        <v>4.2108355321215024E-4</v>
      </c>
      <c r="O101" s="228" cm="1">
        <f t="array" ref="O101">IF(ISNUMBER(SEARCH("Residential",$K$48)),
INDEX(OP_RatesTU_RES_2[Powercor],MATCH(1,(OP_RatesTU_RES_2[Cost element]="Environmental")*(OP_RatesTU_RES_2[Rate name]='CH_CostStack_SME 10k'!$C101),0),1),
INDEX(OP_RatesTU_SME_2[Powercor],MATCH(1,(OP_RatesTU_SME_2[Cost element]="Environmental")*(OP_RatesTU_SME_2[Rate name]='CH_CostStack_SME 10k'!$C101),0),1))</f>
        <v>4.3289302051611621E-4</v>
      </c>
      <c r="P101" s="228" cm="1">
        <f t="array" ref="P101">IF(ISNUMBER(SEARCH("Residential",$K$48)),
INDEX(OP_RatesTU_RES_2[United Energy],MATCH(1,(OP_RatesTU_RES_2[Cost element]="Environmental")*(OP_RatesTU_RES_2[Rate name]='CH_CostStack_SME 10k'!$C101),0),1),
INDEX(OP_RatesTU_SME_2[United Energy],MATCH(1,(OP_RatesTU_SME_2[Cost element]="Environmental")*(OP_RatesTU_SME_2[Rate name]='CH_CostStack_SME 10k'!$C101),0),1))</f>
        <v>4.2336209237385492E-4</v>
      </c>
    </row>
    <row r="107" spans="3:16">
      <c r="D107" s="97"/>
    </row>
  </sheetData>
  <sheetProtection algorithmName="SHA-512" hashValue="o80w0q8JKgDAyTtcgmljER4YMDCa682gp/FAy1261zyfUJRE8OOJSdXpi1NIFmvD0VUD3XlX6tWfg/AwY6Gokg==" saltValue="TIYEDNMtoEA4em6UPH7wLw==" spinCount="100000" sheet="1" objects="1" scenarios="1"/>
  <mergeCells count="1">
    <mergeCell ref="A2:A3"/>
  </mergeCells>
  <dataValidations count="2">
    <dataValidation type="list" allowBlank="1" showInputMessage="1" showErrorMessage="1" sqref="D31" xr:uid="{B9890565-CAB5-4019-B7C8-D5616906CC91}">
      <formula1>$D$54:$I$54</formula1>
    </dataValidation>
    <dataValidation type="list" allowBlank="1" showInputMessage="1" showErrorMessage="1" sqref="D32" xr:uid="{6F8F57AC-A24B-4516-9257-4D4B6911A369}">
      <formula1>"Residential,Small business"</formula1>
    </dataValidation>
  </dataValidations>
  <hyperlinks>
    <hyperlink ref="B1" location="Contents!A1" display="&lt;&lt; Back to contents" xr:uid="{7532B420-BD6D-4F9B-8F0B-180543CE8038}"/>
  </hyperlinks>
  <pageMargins left="0.7" right="0.7" top="0.75" bottom="0.75" header="0.3" footer="0.3"/>
  <pageSetup paperSize="9" orientation="portrait" r:id="rId1"/>
  <headerFooter>
    <oddHeader>&amp;C&amp;B&amp;"Arial"&amp;12&amp;Kff0000​‌OFFICIAL‌​</oddHeader>
  </headerFooter>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AA2C-AE0E-470D-92B2-A7ADC3EE59F8}">
  <sheetPr codeName="Sheet11">
    <tabColor theme="4" tint="0.79998168889431442"/>
    <pageSetUpPr autoPageBreaks="0"/>
  </sheetPr>
  <dimension ref="A1:AC269"/>
  <sheetViews>
    <sheetView showGridLines="0" zoomScale="90" zoomScaleNormal="90" workbookViewId="0">
      <pane xSplit="7" ySplit="10" topLeftCell="H11" activePane="bottomRight" state="frozen"/>
      <selection activeCell="B33" sqref="B33"/>
      <selection pane="topRight" activeCell="B33" sqref="B33"/>
      <selection pane="bottomLeft" activeCell="B33" sqref="B33"/>
      <selection pane="bottomRight" activeCell="B1" sqref="B1"/>
    </sheetView>
  </sheetViews>
  <sheetFormatPr defaultColWidth="9.453125" defaultRowHeight="14.5" outlineLevelRow="1" outlineLevelCol="1"/>
  <cols>
    <col min="1" max="1" width="30" hidden="1" customWidth="1" outlineLevel="1"/>
    <col min="2" max="2" width="10.54296875" style="6" customWidth="1" collapsed="1"/>
    <col min="3" max="3" width="28.453125" customWidth="1"/>
    <col min="4" max="4" width="63.453125" customWidth="1"/>
    <col min="5" max="5" width="28.453125" customWidth="1"/>
    <col min="6" max="6" width="19.54296875" customWidth="1"/>
    <col min="7" max="7" width="20.453125" customWidth="1"/>
    <col min="8" max="10" width="24" customWidth="1"/>
    <col min="11" max="25" width="25.54296875" customWidth="1"/>
    <col min="26" max="26" width="11.453125" customWidth="1"/>
    <col min="27" max="27" width="40.7265625" customWidth="1"/>
    <col min="29" max="29" width="15.26953125" customWidth="1"/>
  </cols>
  <sheetData>
    <row r="1" spans="1:29" ht="15" customHeight="1">
      <c r="A1" s="1" t="s">
        <v>15</v>
      </c>
      <c r="B1" s="231" t="s">
        <v>569</v>
      </c>
      <c r="C1" s="19"/>
      <c r="D1" s="19"/>
      <c r="E1" s="19"/>
      <c r="F1" s="19"/>
      <c r="G1" s="19"/>
      <c r="H1" s="19"/>
      <c r="I1" s="19"/>
      <c r="J1" s="19"/>
      <c r="K1" s="19"/>
      <c r="L1" s="19"/>
      <c r="M1" s="19"/>
      <c r="N1" s="19"/>
      <c r="O1" s="19"/>
      <c r="P1" s="19"/>
      <c r="Q1" s="19"/>
      <c r="R1" s="19"/>
      <c r="S1" s="19"/>
      <c r="T1" s="19"/>
      <c r="U1" s="19"/>
      <c r="V1" s="19"/>
      <c r="W1" s="19"/>
      <c r="X1" s="19"/>
      <c r="Y1" s="19"/>
      <c r="Z1" s="19"/>
    </row>
    <row r="2" spans="1:29" s="4" customFormat="1" ht="50.15" customHeight="1">
      <c r="A2" s="236" t="s">
        <v>281</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9" s="4" customFormat="1" ht="30" customHeight="1">
      <c r="A3" s="237"/>
      <c r="B3" s="24">
        <f ca="1">_xlfn.SHEET()</f>
        <v>10</v>
      </c>
      <c r="C3" s="23" t="s">
        <v>46</v>
      </c>
      <c r="D3" s="23"/>
      <c r="E3" s="23"/>
      <c r="F3" s="23"/>
      <c r="G3" s="23"/>
      <c r="H3" s="23"/>
      <c r="I3" s="23"/>
      <c r="J3" s="23"/>
      <c r="K3" s="23"/>
      <c r="L3" s="23"/>
      <c r="M3" s="23"/>
      <c r="N3" s="23"/>
      <c r="O3" s="23"/>
      <c r="P3" s="23"/>
      <c r="Q3" s="23"/>
      <c r="R3" s="23"/>
      <c r="S3" s="23"/>
      <c r="T3" s="23"/>
      <c r="U3" s="23"/>
      <c r="V3" s="23"/>
      <c r="W3" s="23"/>
      <c r="X3" s="23"/>
      <c r="Y3" s="23"/>
      <c r="Z3" s="23"/>
    </row>
    <row r="4" spans="1:29">
      <c r="B4"/>
    </row>
    <row r="5" spans="1:29" ht="16" thickBot="1">
      <c r="A5" s="1" t="s">
        <v>18</v>
      </c>
      <c r="B5" s="216">
        <f ca="1">MAX(B$3:B4)+0.01</f>
        <v>10.01</v>
      </c>
      <c r="C5" s="25" t="s">
        <v>282</v>
      </c>
      <c r="D5" s="25"/>
      <c r="E5" s="25"/>
      <c r="F5" s="25"/>
      <c r="G5" s="25"/>
      <c r="H5" s="25"/>
      <c r="I5" s="25"/>
      <c r="J5" s="25"/>
      <c r="K5" s="25"/>
      <c r="L5" s="25"/>
      <c r="M5" s="25"/>
      <c r="N5" s="25"/>
      <c r="O5" s="25"/>
      <c r="P5" s="25"/>
      <c r="Q5" s="25"/>
      <c r="R5" s="25"/>
      <c r="S5" s="25"/>
      <c r="T5" s="25"/>
      <c r="U5" s="25"/>
      <c r="V5" s="25"/>
      <c r="W5" s="25"/>
      <c r="X5" s="25"/>
      <c r="Y5" s="25"/>
      <c r="Z5" s="25"/>
    </row>
    <row r="6" spans="1:29" outlineLevel="1"/>
    <row r="7" spans="1:29" ht="15.5" outlineLevel="1">
      <c r="G7" s="36" t="s">
        <v>30</v>
      </c>
      <c r="H7" s="2">
        <v>2021</v>
      </c>
      <c r="I7" s="2">
        <v>2021</v>
      </c>
      <c r="J7" s="2">
        <v>2021</v>
      </c>
      <c r="K7" s="2">
        <v>2021</v>
      </c>
      <c r="L7" s="2">
        <v>2021</v>
      </c>
      <c r="M7" s="2">
        <v>2021</v>
      </c>
      <c r="N7" s="2">
        <v>2022</v>
      </c>
      <c r="O7" s="2">
        <v>2022</v>
      </c>
      <c r="P7" s="2">
        <v>2022</v>
      </c>
      <c r="Q7" s="2">
        <v>2022</v>
      </c>
      <c r="R7" s="2" t="s">
        <v>283</v>
      </c>
      <c r="S7" s="2" t="s">
        <v>283</v>
      </c>
      <c r="T7" s="2" t="s">
        <v>283</v>
      </c>
      <c r="U7" s="2" t="s">
        <v>283</v>
      </c>
      <c r="V7" s="2" t="s">
        <v>506</v>
      </c>
      <c r="W7" s="2" t="s">
        <v>506</v>
      </c>
      <c r="X7" s="2" t="s">
        <v>506</v>
      </c>
      <c r="Y7" s="2" t="s">
        <v>506</v>
      </c>
    </row>
    <row r="8" spans="1:29" ht="15.5" outlineLevel="1">
      <c r="G8" s="36" t="s">
        <v>31</v>
      </c>
      <c r="H8" s="75" t="str">
        <f>"VDO "&amp;H7&amp;" - "&amp;IF(LEFT(H10,1)="F","Final",IF(LEFT(H10,1)="D","Draft",IF(LEFT(H10,2)="VD","Variation draft",IF(LEFT(H10,2)="VF","Variation final"))))&amp;" - Input Date"</f>
        <v>VDO 2021 - Final - Input Date</v>
      </c>
      <c r="I8" s="37" t="str">
        <f>"VDO "&amp;I7&amp;" - "&amp;IF(LEFT(I10,1)="F","Final",IF(LEFT(I10,1)="D","Draft",IF(LEFT(I10,2)="VD","Variation draft",IF(LEFT(I10,2)="VF","Variation final"))))</f>
        <v>VDO 2021 - Final</v>
      </c>
      <c r="J8" s="75" t="str">
        <f>"VDO "&amp;J7&amp;" - "&amp;IF(LEFT(J10,1)="F","Final",IF(LEFT(J10,1)="D","Draft",IF(LEFT(J10,2)="VD","Variation draft",IF(LEFT(J10,2)="VF","Variation final"))))&amp;" - Input Date"</f>
        <v>VDO 2021 - Variation draft - Input Date</v>
      </c>
      <c r="K8" s="37" t="str">
        <f>"VDO "&amp;K7&amp;" - "&amp;IF(LEFT(K10,1)="F","Final",IF(LEFT(K10,1)="D","Draft",IF(LEFT(K10,2)="VD","Variation draft",IF(LEFT(K10,2)="VF","Variation final"))))</f>
        <v>VDO 2021 - Variation draft</v>
      </c>
      <c r="L8" s="75" t="str">
        <f>"VDO "&amp;L7&amp;" - "&amp;IF(LEFT(L10,1)="F","Final",IF(LEFT(L10,1)="D","Draft",IF(LEFT(L10,2)="VD","Variation draft",IF(LEFT(L10,2)="VF","Variation final"))))&amp;" - Input Date"</f>
        <v>VDO 2021 - Variation final - Input Date</v>
      </c>
      <c r="M8" s="37" t="str">
        <f>"VDO "&amp;M7&amp;" - "&amp;IF(LEFT(M10,1)="F","Final",IF(LEFT(M10,1)="D","Draft",IF(LEFT(M10,2)="VD","Variation draft",IF(LEFT(M10,2)="VF","Variation final"))))</f>
        <v>VDO 2021 - Variation final</v>
      </c>
      <c r="N8" s="75" t="str">
        <f>"VDO "&amp;N7&amp;" - "&amp;IF(LEFT(N10,1)="F","Final",IF(LEFT(N10,1)="D","Draft",IF(LEFT(N10,2)="VD","Variation draft",IF(LEFT(N10,2)="VF","Variation final"))))&amp;" - Input Date"</f>
        <v>VDO 2022 - Draft - Input Date</v>
      </c>
      <c r="O8" s="37" t="str">
        <f>"VDO "&amp;O7&amp;" - "&amp;IF(LEFT(O10,1)="F","Final",IF(LEFT(O10,1)="D","Draft",IF(LEFT(O10,2)="VD","Variation draft",IF(LEFT(O10,2)="VF","Variation final"))))</f>
        <v>VDO 2022 - Draft</v>
      </c>
      <c r="P8" s="75" t="str">
        <f>"VDO "&amp;P7&amp;" - "&amp;IF(LEFT(P10,1)="F","Final",IF(LEFT(P10,1)="D","Draft",IF(LEFT(P10,2)="VD","Variation draft",IF(LEFT(P10,2)="VF","Variation final"))))&amp;" - Input Date"</f>
        <v>VDO 2022 - Final - Input Date</v>
      </c>
      <c r="Q8" s="37" t="str">
        <f>"VDO "&amp;Q7&amp;" - "&amp;IF(LEFT(Q10,1)="F","Final",IF(LEFT(Q10,1)="D","Draft",IF(LEFT(Q10,2)="VD","Variation draft",IF(LEFT(Q10,2)="VF","Variation final"))))</f>
        <v>VDO 2022 - Final</v>
      </c>
      <c r="R8" s="75" t="str">
        <f>"VDO "&amp;R7&amp;" - "&amp;IF(LEFT(R10,1)="F","Final",IF(LEFT(R10,1)="D","Draft",IF(LEFT(R10,2)="VD","Variation draft",IF(LEFT(R10,2)="VF","Variation final"))))&amp;" - Input Date"</f>
        <v>VDO 2022-23 - Draft - Input Date</v>
      </c>
      <c r="S8" s="37" t="str">
        <f>"VDO "&amp;S7&amp;" - "&amp;IF(LEFT(S10,1)="F","Final",IF(LEFT(S10,1)="D","Draft",IF(LEFT(S10,2)="VD","Variation draft",IF(LEFT(S10,2)="VF","Variation final"))))</f>
        <v>VDO 2022-23 - Draft</v>
      </c>
      <c r="T8" s="75" t="str">
        <f>"VDO "&amp;T7&amp;" - "&amp;IF(LEFT(T10,1)="F","Final",IF(LEFT(T10,1)="D","Draft",IF(LEFT(T10,2)="VD","Variation draft",IF(LEFT(T10,2)="VF","Variation final"))))&amp;" - Input Date"</f>
        <v>VDO 2022-23 - Final - Input Date</v>
      </c>
      <c r="U8" s="37" t="str">
        <f>"VDO "&amp;U7&amp;" - "&amp;IF(LEFT(U10,1)="F","Final",IF(LEFT(U10,1)="D","Draft",IF(LEFT(U10,2)="VD","Variation draft",IF(LEFT(U10,2)="VF","Variation final"))))</f>
        <v>VDO 2022-23 - Final</v>
      </c>
      <c r="V8" s="37" t="str">
        <f>"VDO "&amp;V7&amp;" - "&amp;IF(LEFT(V10,1)="F","Final",IF(LEFT(V10,1)="D","Draft",IF(LEFT(V10,2)="VD","Variation draft",IF(LEFT(V10,2)="VF","Variation final"))))&amp;" - Input Date"</f>
        <v>VDO 2023-24 - Draft - Input Date</v>
      </c>
      <c r="W8" s="37" t="str">
        <f t="shared" ref="W8:Y8" si="0">"VDO "&amp;W7&amp;" - "&amp;IF(LEFT(W10,1)="F","Final",IF(LEFT(W10,1)="D","Draft",IF(LEFT(W10,2)="VD","Variation draft",IF(LEFT(W10,2)="VF","Variation final"))))</f>
        <v>VDO 2023-24 - Draft</v>
      </c>
      <c r="X8" s="37" t="str">
        <f>"VDO "&amp;X7&amp;" - "&amp;IF(LEFT(X10,1)="F","Final",IF(LEFT(X10,1)="D","Draft",IF(LEFT(X10,2)="VD","Variation draft",IF(LEFT(X10,2)="VF","Variation final"))))&amp;" - Input Date"</f>
        <v>VDO 2023-24 - Final - Input Date</v>
      </c>
      <c r="Y8" s="37" t="str">
        <f t="shared" si="0"/>
        <v>VDO 2023-24 - Final</v>
      </c>
    </row>
    <row r="9" spans="1:29" ht="15.5" outlineLevel="1">
      <c r="C9" s="26" t="s">
        <v>284</v>
      </c>
    </row>
    <row r="10" spans="1:29" ht="15.5" outlineLevel="1">
      <c r="B10"/>
      <c r="C10" s="38" t="s">
        <v>32</v>
      </c>
      <c r="D10" s="38" t="s">
        <v>33</v>
      </c>
      <c r="E10" s="38" t="s">
        <v>88</v>
      </c>
      <c r="F10" s="38" t="s">
        <v>56</v>
      </c>
      <c r="G10" s="38" t="s">
        <v>57</v>
      </c>
      <c r="H10" s="38" t="s">
        <v>285</v>
      </c>
      <c r="I10" s="38" t="s">
        <v>286</v>
      </c>
      <c r="J10" s="39" t="s">
        <v>287</v>
      </c>
      <c r="K10" s="39" t="s">
        <v>288</v>
      </c>
      <c r="L10" s="39" t="s">
        <v>289</v>
      </c>
      <c r="M10" s="39" t="s">
        <v>290</v>
      </c>
      <c r="N10" s="38" t="s">
        <v>509</v>
      </c>
      <c r="O10" s="38" t="s">
        <v>510</v>
      </c>
      <c r="P10" s="38" t="s">
        <v>511</v>
      </c>
      <c r="Q10" s="38" t="s">
        <v>512</v>
      </c>
      <c r="R10" s="38" t="s">
        <v>520</v>
      </c>
      <c r="S10" s="38" t="s">
        <v>291</v>
      </c>
      <c r="T10" s="38" t="s">
        <v>513</v>
      </c>
      <c r="U10" s="38" t="s">
        <v>34</v>
      </c>
      <c r="V10" s="38" t="s">
        <v>292</v>
      </c>
      <c r="W10" s="38" t="s">
        <v>37</v>
      </c>
      <c r="X10" s="38" t="s">
        <v>293</v>
      </c>
      <c r="Y10" s="38" t="s">
        <v>38</v>
      </c>
      <c r="Z10" s="38" t="s">
        <v>462</v>
      </c>
    </row>
    <row r="11" spans="1:29" outlineLevel="1">
      <c r="B11"/>
      <c r="C11" s="20" t="s">
        <v>89</v>
      </c>
      <c r="D11" s="20" t="s">
        <v>115</v>
      </c>
      <c r="E11" s="20" t="s">
        <v>90</v>
      </c>
      <c r="F11" s="20" t="s">
        <v>64</v>
      </c>
      <c r="G11" s="20" t="s">
        <v>91</v>
      </c>
      <c r="H11" s="89">
        <v>42916</v>
      </c>
      <c r="I11" s="35">
        <v>121.07</v>
      </c>
      <c r="J11" s="89">
        <v>42916</v>
      </c>
      <c r="K11" s="98">
        <v>121.07</v>
      </c>
      <c r="L11" s="89">
        <v>42916</v>
      </c>
      <c r="M11" s="35">
        <v>121.07</v>
      </c>
      <c r="N11" s="90">
        <v>42916</v>
      </c>
      <c r="O11" s="50">
        <v>121.07</v>
      </c>
      <c r="P11" s="90">
        <v>42916</v>
      </c>
      <c r="Q11" s="50">
        <v>121.07</v>
      </c>
      <c r="R11" s="90">
        <v>42916</v>
      </c>
      <c r="S11" s="50">
        <v>121.07</v>
      </c>
      <c r="T11" s="90">
        <v>42916</v>
      </c>
      <c r="U11" s="50">
        <v>121.07</v>
      </c>
      <c r="V11" s="90">
        <v>44377</v>
      </c>
      <c r="W11" s="50">
        <v>122.19732672802067</v>
      </c>
      <c r="X11" s="90">
        <v>44742</v>
      </c>
      <c r="Y11" s="50">
        <v>125.56</v>
      </c>
      <c r="Z11" s="20"/>
      <c r="AC11" s="173"/>
    </row>
    <row r="12" spans="1:29" outlineLevel="1">
      <c r="B12"/>
      <c r="C12" s="20" t="s">
        <v>89</v>
      </c>
      <c r="D12" s="20" t="s">
        <v>294</v>
      </c>
      <c r="E12" s="20" t="s">
        <v>90</v>
      </c>
      <c r="F12" s="20" t="s">
        <v>64</v>
      </c>
      <c r="G12" s="20" t="s">
        <v>91</v>
      </c>
      <c r="H12" s="89">
        <v>43646</v>
      </c>
      <c r="I12" s="35">
        <v>10</v>
      </c>
      <c r="J12" s="89">
        <v>43646</v>
      </c>
      <c r="K12" s="98">
        <v>10</v>
      </c>
      <c r="L12" s="89">
        <v>43646</v>
      </c>
      <c r="M12" s="35">
        <v>10</v>
      </c>
      <c r="N12" s="90">
        <v>44561</v>
      </c>
      <c r="O12" s="50">
        <v>10</v>
      </c>
      <c r="P12" s="90">
        <v>44561</v>
      </c>
      <c r="Q12" s="50">
        <v>10</v>
      </c>
      <c r="R12" s="90">
        <v>44742</v>
      </c>
      <c r="S12" s="50">
        <v>10</v>
      </c>
      <c r="T12" s="90">
        <v>44742</v>
      </c>
      <c r="U12" s="50">
        <v>10</v>
      </c>
      <c r="V12" s="90" t="s">
        <v>39</v>
      </c>
      <c r="W12" s="50">
        <v>0</v>
      </c>
      <c r="X12" s="90" t="s">
        <v>39</v>
      </c>
      <c r="Y12" s="50">
        <v>0</v>
      </c>
      <c r="Z12" s="20"/>
      <c r="AC12" s="173"/>
    </row>
    <row r="13" spans="1:29" outlineLevel="1">
      <c r="B13"/>
      <c r="C13" s="20" t="s">
        <v>89</v>
      </c>
      <c r="D13" s="20" t="s">
        <v>295</v>
      </c>
      <c r="E13" s="20" t="s">
        <v>90</v>
      </c>
      <c r="F13" s="20" t="s">
        <v>64</v>
      </c>
      <c r="G13" s="20" t="s">
        <v>91</v>
      </c>
      <c r="H13" s="89">
        <v>44196</v>
      </c>
      <c r="I13" s="35">
        <v>0.210145</v>
      </c>
      <c r="J13" s="89">
        <v>44196</v>
      </c>
      <c r="K13" s="98">
        <v>0.210145</v>
      </c>
      <c r="L13" s="89">
        <v>44196</v>
      </c>
      <c r="M13" s="35">
        <v>0.210145</v>
      </c>
      <c r="N13" s="90">
        <v>44561</v>
      </c>
      <c r="O13" s="50">
        <v>0.84057999999999999</v>
      </c>
      <c r="P13" s="90">
        <v>44561</v>
      </c>
      <c r="Q13" s="50">
        <v>0.84057999999999999</v>
      </c>
      <c r="R13" s="90">
        <v>44742</v>
      </c>
      <c r="S13" s="50">
        <v>0.84057999999999999</v>
      </c>
      <c r="T13" s="90">
        <v>44742</v>
      </c>
      <c r="U13" s="50">
        <v>0.84057999999999999</v>
      </c>
      <c r="V13" s="90" t="s">
        <v>39</v>
      </c>
      <c r="W13" s="50">
        <v>0</v>
      </c>
      <c r="X13" s="90" t="s">
        <v>39</v>
      </c>
      <c r="Y13" s="50">
        <v>0</v>
      </c>
      <c r="Z13" s="20"/>
      <c r="AC13" s="173"/>
    </row>
    <row r="14" spans="1:29" outlineLevel="1">
      <c r="B14"/>
      <c r="C14" s="20" t="s">
        <v>89</v>
      </c>
      <c r="D14" s="20" t="s">
        <v>296</v>
      </c>
      <c r="E14" s="20" t="s">
        <v>90</v>
      </c>
      <c r="F14" s="20" t="s">
        <v>64</v>
      </c>
      <c r="G14" s="20" t="s">
        <v>91</v>
      </c>
      <c r="H14" s="89">
        <v>44196</v>
      </c>
      <c r="I14" s="35">
        <v>6</v>
      </c>
      <c r="J14" s="89">
        <v>44196</v>
      </c>
      <c r="K14" s="98">
        <v>6</v>
      </c>
      <c r="L14" s="89">
        <v>44196</v>
      </c>
      <c r="M14" s="35">
        <v>6</v>
      </c>
      <c r="N14" s="90">
        <v>44561</v>
      </c>
      <c r="O14" s="50">
        <v>6</v>
      </c>
      <c r="P14" s="90">
        <v>44561</v>
      </c>
      <c r="Q14" s="50">
        <v>0</v>
      </c>
      <c r="R14" s="90">
        <v>44742</v>
      </c>
      <c r="S14" s="50">
        <v>0</v>
      </c>
      <c r="T14" s="90">
        <v>44742</v>
      </c>
      <c r="U14" s="50">
        <v>0</v>
      </c>
      <c r="V14" s="90" t="s">
        <v>39</v>
      </c>
      <c r="W14" s="50">
        <v>0</v>
      </c>
      <c r="X14" s="90" t="s">
        <v>39</v>
      </c>
      <c r="Y14" s="50">
        <v>0</v>
      </c>
      <c r="Z14" s="20"/>
      <c r="AC14" s="173"/>
    </row>
    <row r="15" spans="1:29" outlineLevel="1">
      <c r="B15"/>
      <c r="C15" s="20" t="s">
        <v>89</v>
      </c>
      <c r="D15" s="20" t="s">
        <v>116</v>
      </c>
      <c r="E15" s="20" t="s">
        <v>90</v>
      </c>
      <c r="F15" s="192" t="s">
        <v>64</v>
      </c>
      <c r="G15" s="192" t="s">
        <v>91</v>
      </c>
      <c r="H15" s="89"/>
      <c r="I15" s="35"/>
      <c r="J15" s="35"/>
      <c r="K15" s="98"/>
      <c r="L15" s="35"/>
      <c r="M15" s="98"/>
      <c r="N15" s="90"/>
      <c r="O15" s="50"/>
      <c r="P15" s="90"/>
      <c r="Q15" s="159"/>
      <c r="R15" s="90">
        <v>44742</v>
      </c>
      <c r="S15" s="50">
        <v>0</v>
      </c>
      <c r="T15" s="90">
        <v>44742</v>
      </c>
      <c r="U15" s="50">
        <v>0</v>
      </c>
      <c r="V15" s="90" t="s">
        <v>39</v>
      </c>
      <c r="W15" s="50">
        <v>0</v>
      </c>
      <c r="X15" s="90" t="s">
        <v>39</v>
      </c>
      <c r="Y15" s="50">
        <v>0</v>
      </c>
      <c r="Z15" s="20"/>
      <c r="AC15" s="173"/>
    </row>
    <row r="16" spans="1:29" outlineLevel="1">
      <c r="B16"/>
      <c r="C16" s="20" t="s">
        <v>89</v>
      </c>
      <c r="D16" s="20" t="s">
        <v>118</v>
      </c>
      <c r="E16" s="20" t="s">
        <v>90</v>
      </c>
      <c r="F16" s="20" t="s">
        <v>64</v>
      </c>
      <c r="G16" s="20" t="s">
        <v>91</v>
      </c>
      <c r="H16" s="89">
        <v>43646</v>
      </c>
      <c r="I16" s="35">
        <v>38</v>
      </c>
      <c r="J16" s="89">
        <v>43646</v>
      </c>
      <c r="K16" s="98">
        <v>38</v>
      </c>
      <c r="L16" s="89">
        <v>43646</v>
      </c>
      <c r="M16" s="35">
        <v>38</v>
      </c>
      <c r="N16" s="90">
        <v>43646</v>
      </c>
      <c r="O16" s="50">
        <v>38</v>
      </c>
      <c r="P16" s="90">
        <v>43646</v>
      </c>
      <c r="Q16" s="50">
        <v>38</v>
      </c>
      <c r="R16" s="90">
        <v>43646</v>
      </c>
      <c r="S16" s="50">
        <v>38</v>
      </c>
      <c r="T16" s="90">
        <v>43646</v>
      </c>
      <c r="U16" s="50">
        <v>38</v>
      </c>
      <c r="V16" s="90">
        <v>43646</v>
      </c>
      <c r="W16" s="50">
        <v>38</v>
      </c>
      <c r="X16" s="90">
        <v>43646</v>
      </c>
      <c r="Y16" s="50">
        <v>38</v>
      </c>
      <c r="Z16" s="20"/>
      <c r="AC16" s="173"/>
    </row>
    <row r="17" spans="2:29" outlineLevel="1">
      <c r="B17"/>
      <c r="C17" s="20" t="s">
        <v>297</v>
      </c>
      <c r="D17" s="53" t="s">
        <v>119</v>
      </c>
      <c r="E17" s="20" t="s">
        <v>90</v>
      </c>
      <c r="F17" s="20" t="s">
        <v>64</v>
      </c>
      <c r="G17" s="20" t="s">
        <v>91</v>
      </c>
      <c r="H17" s="89">
        <v>44012</v>
      </c>
      <c r="I17" s="35">
        <v>10.681187545882992</v>
      </c>
      <c r="J17" s="89">
        <v>44012</v>
      </c>
      <c r="K17" s="98">
        <v>10.681187545882992</v>
      </c>
      <c r="L17" s="89">
        <v>44012</v>
      </c>
      <c r="M17" s="35">
        <v>10.681187545882992</v>
      </c>
      <c r="N17" s="90">
        <v>44377</v>
      </c>
      <c r="O17" s="50">
        <v>13.337762647243332</v>
      </c>
      <c r="P17" s="90">
        <v>44377</v>
      </c>
      <c r="Q17" s="57">
        <v>13.337821545021233</v>
      </c>
      <c r="R17" s="90">
        <v>44742</v>
      </c>
      <c r="S17" s="57">
        <v>13.337821545021233</v>
      </c>
      <c r="T17" s="90">
        <v>44742</v>
      </c>
      <c r="U17" s="50">
        <v>16.375320494428642</v>
      </c>
      <c r="V17" s="90">
        <v>44742</v>
      </c>
      <c r="W17" s="50">
        <v>16.798654107055601</v>
      </c>
      <c r="X17" s="90">
        <v>44742</v>
      </c>
      <c r="Y17" s="50">
        <v>16.945572514842485</v>
      </c>
      <c r="Z17" s="20"/>
      <c r="AC17" s="173"/>
    </row>
    <row r="18" spans="2:29" outlineLevel="1">
      <c r="B18"/>
      <c r="C18" s="20" t="s">
        <v>92</v>
      </c>
      <c r="D18" s="20" t="s">
        <v>120</v>
      </c>
      <c r="E18" s="20" t="s">
        <v>90</v>
      </c>
      <c r="F18" s="20" t="s">
        <v>64</v>
      </c>
      <c r="G18" s="20" t="s">
        <v>91</v>
      </c>
      <c r="H18" s="89">
        <v>43646</v>
      </c>
      <c r="I18" s="35">
        <v>1.6735247135296942</v>
      </c>
      <c r="J18" s="89">
        <v>43646</v>
      </c>
      <c r="K18" s="98">
        <v>1.6735247135296942</v>
      </c>
      <c r="L18" s="89">
        <v>43646</v>
      </c>
      <c r="M18" s="35">
        <v>1.6735247135296942</v>
      </c>
      <c r="N18" s="90">
        <v>43646</v>
      </c>
      <c r="O18" s="50">
        <v>1.6735247135296942</v>
      </c>
      <c r="P18" s="90">
        <v>44012</v>
      </c>
      <c r="Q18" s="50">
        <v>2.0603588195421731</v>
      </c>
      <c r="R18" s="90">
        <v>44012</v>
      </c>
      <c r="S18" s="50">
        <v>2.0603588195421731</v>
      </c>
      <c r="T18" s="90">
        <v>44012</v>
      </c>
      <c r="U18" s="50">
        <v>2.0603588195421731</v>
      </c>
      <c r="V18" s="90">
        <v>44742</v>
      </c>
      <c r="W18" s="50">
        <v>2.1517417959129101</v>
      </c>
      <c r="X18" s="90">
        <v>44742</v>
      </c>
      <c r="Y18" s="50">
        <v>2.1517417959129101</v>
      </c>
      <c r="Z18" s="20"/>
      <c r="AC18" s="173"/>
    </row>
    <row r="19" spans="2:29" outlineLevel="1">
      <c r="B19"/>
      <c r="C19" s="20" t="s">
        <v>92</v>
      </c>
      <c r="D19" s="53" t="s">
        <v>133</v>
      </c>
      <c r="E19" s="20" t="s">
        <v>90</v>
      </c>
      <c r="F19" s="20" t="s">
        <v>64</v>
      </c>
      <c r="G19" s="20" t="s">
        <v>91</v>
      </c>
      <c r="H19" s="89">
        <v>44196</v>
      </c>
      <c r="I19" s="35">
        <v>2.46</v>
      </c>
      <c r="J19" s="89">
        <v>44196</v>
      </c>
      <c r="K19" s="98">
        <v>2.46</v>
      </c>
      <c r="L19" s="89">
        <v>44196</v>
      </c>
      <c r="M19" s="35">
        <v>2.46</v>
      </c>
      <c r="N19" s="90">
        <v>44196</v>
      </c>
      <c r="O19" s="50">
        <v>0</v>
      </c>
      <c r="P19" s="90">
        <v>44196</v>
      </c>
      <c r="Q19" s="50">
        <v>0</v>
      </c>
      <c r="R19" s="90">
        <v>44742</v>
      </c>
      <c r="S19" s="50">
        <v>0</v>
      </c>
      <c r="T19" s="90">
        <v>44742</v>
      </c>
      <c r="U19" s="50">
        <v>0</v>
      </c>
      <c r="V19" s="90">
        <v>44926</v>
      </c>
      <c r="W19" s="50">
        <v>0</v>
      </c>
      <c r="X19" s="90">
        <v>44926</v>
      </c>
      <c r="Y19" s="50">
        <v>0</v>
      </c>
      <c r="Z19" s="20"/>
      <c r="AC19" s="173"/>
    </row>
    <row r="20" spans="2:29" outlineLevel="1">
      <c r="B20"/>
      <c r="C20" s="20" t="s">
        <v>92</v>
      </c>
      <c r="D20" s="53" t="s">
        <v>122</v>
      </c>
      <c r="E20" s="20" t="s">
        <v>90</v>
      </c>
      <c r="F20" s="20" t="s">
        <v>134</v>
      </c>
      <c r="G20" s="20" t="s">
        <v>91</v>
      </c>
      <c r="H20" s="89">
        <v>44012</v>
      </c>
      <c r="I20" s="35">
        <v>1.1849999999999999E-2</v>
      </c>
      <c r="J20" s="89">
        <v>44012</v>
      </c>
      <c r="K20" s="98">
        <v>1.1849999999999999E-2</v>
      </c>
      <c r="L20" s="89">
        <v>44012</v>
      </c>
      <c r="M20" s="35">
        <v>1.1849999999999999E-2</v>
      </c>
      <c r="N20" s="90">
        <v>44377</v>
      </c>
      <c r="O20" s="50">
        <v>1.1849999999999999E-2</v>
      </c>
      <c r="P20" s="90">
        <v>44377</v>
      </c>
      <c r="Q20" s="159">
        <v>1.1849999999999999E-2</v>
      </c>
      <c r="R20" s="90">
        <v>44377</v>
      </c>
      <c r="S20" s="159">
        <v>1.1849999999999999E-2</v>
      </c>
      <c r="T20" s="90">
        <v>44742</v>
      </c>
      <c r="U20" s="50">
        <v>1.1039999999999999E-2</v>
      </c>
      <c r="V20" s="90">
        <v>45107</v>
      </c>
      <c r="W20" s="50">
        <v>1.154E-2</v>
      </c>
      <c r="X20" s="90">
        <v>45107</v>
      </c>
      <c r="Y20" s="50">
        <v>1.26E-2</v>
      </c>
      <c r="Z20" s="20"/>
      <c r="AC20" s="173"/>
    </row>
    <row r="21" spans="2:29" outlineLevel="1">
      <c r="B21"/>
      <c r="C21" s="20" t="s">
        <v>92</v>
      </c>
      <c r="D21" s="53" t="s">
        <v>123</v>
      </c>
      <c r="E21" s="20" t="s">
        <v>90</v>
      </c>
      <c r="F21" s="20" t="s">
        <v>134</v>
      </c>
      <c r="G21" s="20" t="s">
        <v>91</v>
      </c>
      <c r="H21" s="89">
        <v>44012</v>
      </c>
      <c r="I21" s="35">
        <v>2.5499999999999998E-2</v>
      </c>
      <c r="J21" s="89">
        <v>44012</v>
      </c>
      <c r="K21" s="98">
        <v>2.5499999999999998E-2</v>
      </c>
      <c r="L21" s="89">
        <v>44012</v>
      </c>
      <c r="M21" s="35">
        <v>2.5499999999999998E-2</v>
      </c>
      <c r="N21" s="90">
        <v>44377</v>
      </c>
      <c r="O21" s="50">
        <v>2.5919999999999999E-2</v>
      </c>
      <c r="P21" s="90">
        <v>44377</v>
      </c>
      <c r="Q21" s="183">
        <v>2.5919999999999999E-2</v>
      </c>
      <c r="R21" s="90">
        <v>44377</v>
      </c>
      <c r="S21" s="183">
        <v>2.5919999999999999E-2</v>
      </c>
      <c r="T21" s="90">
        <v>44742</v>
      </c>
      <c r="U21" s="50">
        <v>2.526382695438063E-2</v>
      </c>
      <c r="V21" s="90">
        <v>45107</v>
      </c>
      <c r="W21" s="50">
        <v>2.6323550000000001E-2</v>
      </c>
      <c r="X21" s="90">
        <v>45107</v>
      </c>
      <c r="Y21" s="50">
        <v>2.5020000000000001E-2</v>
      </c>
      <c r="Z21" s="20"/>
      <c r="AC21" s="173"/>
    </row>
    <row r="22" spans="2:29" outlineLevel="1">
      <c r="B22"/>
      <c r="C22" s="53" t="s">
        <v>92</v>
      </c>
      <c r="D22" s="53" t="s">
        <v>521</v>
      </c>
      <c r="E22" s="20" t="s">
        <v>90</v>
      </c>
      <c r="F22" s="53" t="s">
        <v>134</v>
      </c>
      <c r="G22" s="53" t="s">
        <v>91</v>
      </c>
      <c r="H22" s="89"/>
      <c r="I22" s="35"/>
      <c r="J22" s="89"/>
      <c r="K22" s="98"/>
      <c r="L22" s="89"/>
      <c r="M22" s="35"/>
      <c r="N22" s="90"/>
      <c r="O22" s="50"/>
      <c r="P22" s="90"/>
      <c r="Q22" s="183"/>
      <c r="R22" s="90"/>
      <c r="S22" s="183"/>
      <c r="T22" s="90">
        <v>44742</v>
      </c>
      <c r="U22" s="50">
        <v>0</v>
      </c>
      <c r="V22" s="90">
        <v>45107</v>
      </c>
      <c r="W22" s="50">
        <v>0</v>
      </c>
      <c r="X22" s="90">
        <v>45107</v>
      </c>
      <c r="Y22" s="50">
        <v>8.8169999999999998E-2</v>
      </c>
      <c r="Z22" s="20"/>
      <c r="AC22" s="173"/>
    </row>
    <row r="23" spans="2:29" outlineLevel="1">
      <c r="B23"/>
      <c r="C23" s="53" t="s">
        <v>92</v>
      </c>
      <c r="D23" s="53" t="s">
        <v>522</v>
      </c>
      <c r="E23" s="20" t="s">
        <v>90</v>
      </c>
      <c r="F23" s="53" t="s">
        <v>134</v>
      </c>
      <c r="G23" s="53" t="s">
        <v>91</v>
      </c>
      <c r="H23" s="89"/>
      <c r="I23" s="35"/>
      <c r="J23" s="89"/>
      <c r="K23" s="98"/>
      <c r="L23" s="89"/>
      <c r="M23" s="35"/>
      <c r="N23" s="90"/>
      <c r="O23" s="50"/>
      <c r="P23" s="90"/>
      <c r="Q23" s="183"/>
      <c r="R23" s="90"/>
      <c r="S23" s="183"/>
      <c r="T23" s="90">
        <v>44742</v>
      </c>
      <c r="U23" s="50">
        <v>0</v>
      </c>
      <c r="V23" s="90">
        <v>45107</v>
      </c>
      <c r="W23" s="50">
        <v>0</v>
      </c>
      <c r="X23" s="90">
        <v>45107</v>
      </c>
      <c r="Y23" s="50">
        <v>3.7000000000000002E-3</v>
      </c>
      <c r="Z23" s="20"/>
      <c r="AC23" s="173"/>
    </row>
    <row r="24" spans="2:29" outlineLevel="1">
      <c r="B24"/>
      <c r="C24" s="53" t="s">
        <v>92</v>
      </c>
      <c r="D24" s="20" t="s">
        <v>527</v>
      </c>
      <c r="E24" s="20" t="s">
        <v>90</v>
      </c>
      <c r="F24" s="53" t="s">
        <v>134</v>
      </c>
      <c r="G24" s="53" t="s">
        <v>91</v>
      </c>
      <c r="H24" s="89"/>
      <c r="I24" s="35"/>
      <c r="J24" s="89"/>
      <c r="K24" s="98"/>
      <c r="L24" s="89"/>
      <c r="M24" s="35"/>
      <c r="N24" s="90"/>
      <c r="O24" s="50"/>
      <c r="P24" s="90"/>
      <c r="Q24" s="183"/>
      <c r="R24" s="90"/>
      <c r="S24" s="183"/>
      <c r="T24" s="90">
        <v>44742</v>
      </c>
      <c r="U24" s="50">
        <v>0</v>
      </c>
      <c r="V24" s="90">
        <v>45107</v>
      </c>
      <c r="W24" s="50">
        <v>0</v>
      </c>
      <c r="X24" s="90">
        <v>45107</v>
      </c>
      <c r="Y24" s="50">
        <v>3.1189999999999999E-2</v>
      </c>
      <c r="Z24" s="20"/>
      <c r="AC24" s="173"/>
    </row>
    <row r="25" spans="2:29" outlineLevel="1">
      <c r="B25"/>
      <c r="C25" s="20" t="s">
        <v>80</v>
      </c>
      <c r="D25" s="20" t="s">
        <v>298</v>
      </c>
      <c r="E25" s="20" t="s">
        <v>90</v>
      </c>
      <c r="F25" s="20" t="s">
        <v>138</v>
      </c>
      <c r="G25" s="20" t="s">
        <v>91</v>
      </c>
      <c r="H25" s="89">
        <v>44196</v>
      </c>
      <c r="I25" s="35">
        <v>59.6</v>
      </c>
      <c r="J25" s="90">
        <v>44377</v>
      </c>
      <c r="K25" s="50">
        <v>63.7</v>
      </c>
      <c r="L25" s="90">
        <v>44377</v>
      </c>
      <c r="M25" s="50">
        <v>63.7</v>
      </c>
      <c r="N25" s="90">
        <v>44377</v>
      </c>
      <c r="O25" s="50">
        <v>63.7</v>
      </c>
      <c r="P25" s="90">
        <v>44377</v>
      </c>
      <c r="Q25" s="50">
        <v>63.7</v>
      </c>
      <c r="R25" s="90">
        <v>44377</v>
      </c>
      <c r="S25" s="57">
        <v>72.901836379042152</v>
      </c>
      <c r="T25" s="90">
        <v>44377</v>
      </c>
      <c r="U25" s="50">
        <v>73.687691673983423</v>
      </c>
      <c r="V25" s="90">
        <v>44742</v>
      </c>
      <c r="W25" s="50">
        <v>79.458799999999997</v>
      </c>
      <c r="X25" s="90">
        <v>45107</v>
      </c>
      <c r="Y25" s="50">
        <v>81.098642274190084</v>
      </c>
      <c r="Z25" s="20"/>
      <c r="AA25" s="209"/>
      <c r="AC25" s="173"/>
    </row>
    <row r="26" spans="2:29" outlineLevel="1">
      <c r="B26"/>
      <c r="C26" s="20" t="s">
        <v>80</v>
      </c>
      <c r="D26" s="20" t="s">
        <v>299</v>
      </c>
      <c r="E26" s="20" t="s">
        <v>90</v>
      </c>
      <c r="F26" s="20" t="s">
        <v>138</v>
      </c>
      <c r="G26" s="20" t="s">
        <v>91</v>
      </c>
      <c r="H26" s="89">
        <v>44196</v>
      </c>
      <c r="I26" s="35">
        <v>65.8</v>
      </c>
      <c r="J26" s="90">
        <v>44377</v>
      </c>
      <c r="K26" s="50">
        <v>59.4</v>
      </c>
      <c r="L26" s="90">
        <v>44377</v>
      </c>
      <c r="M26" s="50">
        <v>59.4</v>
      </c>
      <c r="N26" s="90">
        <v>44377</v>
      </c>
      <c r="O26" s="50">
        <v>59.4</v>
      </c>
      <c r="P26" s="90">
        <v>44377</v>
      </c>
      <c r="Q26" s="50">
        <v>59.4</v>
      </c>
      <c r="R26" s="90">
        <v>44377</v>
      </c>
      <c r="S26" s="57">
        <v>62.513688088390346</v>
      </c>
      <c r="T26" s="90">
        <v>44377</v>
      </c>
      <c r="U26" s="50">
        <v>65.843069177343665</v>
      </c>
      <c r="V26" s="90">
        <v>44742</v>
      </c>
      <c r="W26" s="50">
        <v>70.999799999999993</v>
      </c>
      <c r="X26" s="90">
        <v>45107</v>
      </c>
      <c r="Y26" s="50">
        <v>69.333895686956055</v>
      </c>
      <c r="Z26" s="20"/>
      <c r="AA26" s="209"/>
      <c r="AC26" s="173"/>
    </row>
    <row r="27" spans="2:29" outlineLevel="1">
      <c r="B27"/>
      <c r="C27" s="20" t="s">
        <v>80</v>
      </c>
      <c r="D27" s="20" t="s">
        <v>300</v>
      </c>
      <c r="E27" s="20" t="s">
        <v>90</v>
      </c>
      <c r="F27" s="20" t="s">
        <v>138</v>
      </c>
      <c r="G27" s="20" t="s">
        <v>91</v>
      </c>
      <c r="H27" s="89">
        <v>44196</v>
      </c>
      <c r="I27" s="35">
        <v>66.28</v>
      </c>
      <c r="J27" s="90">
        <v>44377</v>
      </c>
      <c r="K27" s="50">
        <v>54.19</v>
      </c>
      <c r="L27" s="90">
        <v>44377</v>
      </c>
      <c r="M27" s="50">
        <v>54.19</v>
      </c>
      <c r="N27" s="90">
        <v>44377</v>
      </c>
      <c r="O27" s="50">
        <v>54.19</v>
      </c>
      <c r="P27" s="90">
        <v>44377</v>
      </c>
      <c r="Q27" s="50">
        <v>54.19</v>
      </c>
      <c r="R27" s="90">
        <v>44377</v>
      </c>
      <c r="S27" s="57">
        <v>55.822653689249755</v>
      </c>
      <c r="T27" s="90">
        <v>44377</v>
      </c>
      <c r="U27" s="50">
        <v>64.709012434113291</v>
      </c>
      <c r="V27" s="90">
        <v>44742</v>
      </c>
      <c r="W27" s="50">
        <v>69.776899999999998</v>
      </c>
      <c r="X27" s="90">
        <v>45107</v>
      </c>
      <c r="Y27" s="50">
        <v>60.012342755043747</v>
      </c>
      <c r="Z27" s="20"/>
      <c r="AA27" s="209"/>
      <c r="AC27" s="173"/>
    </row>
    <row r="28" spans="2:29" outlineLevel="1">
      <c r="B28"/>
      <c r="C28" s="20" t="s">
        <v>80</v>
      </c>
      <c r="D28" s="20" t="s">
        <v>301</v>
      </c>
      <c r="E28" s="20" t="s">
        <v>90</v>
      </c>
      <c r="F28" s="20" t="s">
        <v>138</v>
      </c>
      <c r="G28" s="20" t="s">
        <v>91</v>
      </c>
      <c r="H28" s="89">
        <v>44196</v>
      </c>
      <c r="I28" s="35">
        <v>65.5</v>
      </c>
      <c r="J28" s="90">
        <v>44377</v>
      </c>
      <c r="K28" s="50">
        <v>58</v>
      </c>
      <c r="L28" s="90">
        <v>44377</v>
      </c>
      <c r="M28" s="50">
        <v>58</v>
      </c>
      <c r="N28" s="90">
        <v>44377</v>
      </c>
      <c r="O28" s="50">
        <v>58</v>
      </c>
      <c r="P28" s="90">
        <v>44377</v>
      </c>
      <c r="Q28" s="50">
        <v>58</v>
      </c>
      <c r="R28" s="90">
        <v>44377</v>
      </c>
      <c r="S28" s="57">
        <v>59.390794631454334</v>
      </c>
      <c r="T28" s="90">
        <v>44377</v>
      </c>
      <c r="U28" s="50">
        <v>62.150631405968483</v>
      </c>
      <c r="V28" s="90">
        <v>44742</v>
      </c>
      <c r="W28" s="50">
        <v>67.018199999999993</v>
      </c>
      <c r="X28" s="90">
        <v>45107</v>
      </c>
      <c r="Y28" s="50">
        <v>65.762555105520235</v>
      </c>
      <c r="Z28" s="20"/>
      <c r="AA28" s="209"/>
      <c r="AC28" s="173"/>
    </row>
    <row r="29" spans="2:29" outlineLevel="1">
      <c r="B29"/>
      <c r="C29" s="20" t="s">
        <v>80</v>
      </c>
      <c r="D29" s="20" t="s">
        <v>302</v>
      </c>
      <c r="E29" s="20" t="s">
        <v>90</v>
      </c>
      <c r="F29" s="20" t="s">
        <v>138</v>
      </c>
      <c r="G29" s="20" t="s">
        <v>91</v>
      </c>
      <c r="H29" s="89">
        <v>44196</v>
      </c>
      <c r="I29" s="35">
        <v>48.82</v>
      </c>
      <c r="J29" s="90">
        <v>44377</v>
      </c>
      <c r="K29" s="50">
        <v>42.92</v>
      </c>
      <c r="L29" s="90">
        <v>44377</v>
      </c>
      <c r="M29" s="50">
        <v>42.92</v>
      </c>
      <c r="N29" s="90">
        <v>44377</v>
      </c>
      <c r="O29" s="50">
        <v>42.92</v>
      </c>
      <c r="P29" s="90">
        <v>44377</v>
      </c>
      <c r="Q29" s="50">
        <v>42.92</v>
      </c>
      <c r="R29" s="90">
        <v>44377</v>
      </c>
      <c r="S29" s="57">
        <v>43.808058038216856</v>
      </c>
      <c r="T29" s="90">
        <v>44377</v>
      </c>
      <c r="U29" s="50">
        <v>43.604260842124496</v>
      </c>
      <c r="V29" s="90">
        <v>44742</v>
      </c>
      <c r="W29" s="50">
        <v>47.019300000000001</v>
      </c>
      <c r="X29" s="90">
        <v>45107</v>
      </c>
      <c r="Y29" s="50">
        <v>46.962287631947568</v>
      </c>
      <c r="Z29" s="20"/>
      <c r="AA29" s="209"/>
      <c r="AC29" s="173"/>
    </row>
    <row r="30" spans="2:29" outlineLevel="1">
      <c r="B30"/>
      <c r="C30" s="20" t="s">
        <v>80</v>
      </c>
      <c r="D30" s="20" t="s">
        <v>303</v>
      </c>
      <c r="E30" s="20" t="s">
        <v>90</v>
      </c>
      <c r="F30" s="20" t="s">
        <v>138</v>
      </c>
      <c r="G30" s="20" t="s">
        <v>65</v>
      </c>
      <c r="H30" s="89">
        <v>44196</v>
      </c>
      <c r="I30" s="35">
        <v>106</v>
      </c>
      <c r="J30" s="90">
        <v>44377</v>
      </c>
      <c r="K30" s="50">
        <v>111.11</v>
      </c>
      <c r="L30" s="90">
        <v>44377</v>
      </c>
      <c r="M30" s="50">
        <v>111.11</v>
      </c>
      <c r="N30" s="90">
        <v>44377</v>
      </c>
      <c r="O30" s="50">
        <v>111.11</v>
      </c>
      <c r="P30" s="90">
        <v>44377</v>
      </c>
      <c r="Q30" s="50">
        <v>111.11</v>
      </c>
      <c r="R30" s="90">
        <v>44377</v>
      </c>
      <c r="S30" s="50">
        <v>111.11</v>
      </c>
      <c r="T30" s="90">
        <v>44742</v>
      </c>
      <c r="U30" s="50">
        <v>125.072</v>
      </c>
      <c r="V30" s="90">
        <v>44742</v>
      </c>
      <c r="W30" s="50">
        <v>143.56729999999999</v>
      </c>
      <c r="X30" s="90">
        <v>45107</v>
      </c>
      <c r="Y30" s="50">
        <v>132.87190000000001</v>
      </c>
      <c r="Z30" s="20"/>
      <c r="AA30" s="209"/>
      <c r="AC30" s="173"/>
    </row>
    <row r="31" spans="2:29" outlineLevel="1">
      <c r="B31"/>
      <c r="C31" s="20" t="s">
        <v>80</v>
      </c>
      <c r="D31" s="20" t="s">
        <v>304</v>
      </c>
      <c r="E31" s="20" t="s">
        <v>90</v>
      </c>
      <c r="F31" s="20" t="s">
        <v>138</v>
      </c>
      <c r="G31" s="20" t="s">
        <v>65</v>
      </c>
      <c r="H31" s="89">
        <v>44196</v>
      </c>
      <c r="I31" s="35">
        <v>90</v>
      </c>
      <c r="J31" s="90">
        <v>44377</v>
      </c>
      <c r="K31" s="50">
        <v>90.009</v>
      </c>
      <c r="L31" s="90">
        <v>44377</v>
      </c>
      <c r="M31" s="50">
        <v>90.009</v>
      </c>
      <c r="N31" s="90">
        <v>44377</v>
      </c>
      <c r="O31" s="50">
        <v>90.009</v>
      </c>
      <c r="P31" s="90">
        <v>44377</v>
      </c>
      <c r="Q31" s="50">
        <v>90.009</v>
      </c>
      <c r="R31" s="90">
        <v>44377</v>
      </c>
      <c r="S31" s="50">
        <v>90.009</v>
      </c>
      <c r="T31" s="90">
        <v>44742</v>
      </c>
      <c r="U31" s="50">
        <v>90.009</v>
      </c>
      <c r="V31" s="90">
        <v>44742</v>
      </c>
      <c r="W31" s="50">
        <v>97.058300000000003</v>
      </c>
      <c r="X31" s="90">
        <v>45107</v>
      </c>
      <c r="Y31" s="50">
        <v>90.255600000000001</v>
      </c>
      <c r="Z31" s="20"/>
      <c r="AA31" s="209"/>
      <c r="AC31" s="173"/>
    </row>
    <row r="32" spans="2:29" outlineLevel="1">
      <c r="B32"/>
      <c r="C32" s="20" t="s">
        <v>80</v>
      </c>
      <c r="D32" s="20" t="s">
        <v>305</v>
      </c>
      <c r="E32" s="20" t="s">
        <v>90</v>
      </c>
      <c r="F32" s="20" t="s">
        <v>138</v>
      </c>
      <c r="G32" s="20" t="s">
        <v>65</v>
      </c>
      <c r="H32" s="89">
        <v>44196</v>
      </c>
      <c r="I32" s="35">
        <v>69.03</v>
      </c>
      <c r="J32" s="90">
        <v>44377</v>
      </c>
      <c r="K32" s="50">
        <v>82.195999999999998</v>
      </c>
      <c r="L32" s="90">
        <v>44377</v>
      </c>
      <c r="M32" s="50">
        <v>82.195999999999998</v>
      </c>
      <c r="N32" s="90">
        <v>44377</v>
      </c>
      <c r="O32" s="50">
        <v>82.195999999999998</v>
      </c>
      <c r="P32" s="90">
        <v>44377</v>
      </c>
      <c r="Q32" s="50">
        <v>82.195999999999998</v>
      </c>
      <c r="R32" s="90">
        <v>44377</v>
      </c>
      <c r="S32" s="50">
        <v>82.195999999999998</v>
      </c>
      <c r="T32" s="90">
        <v>44742</v>
      </c>
      <c r="U32" s="50">
        <v>89.69</v>
      </c>
      <c r="V32" s="90">
        <v>44742</v>
      </c>
      <c r="W32" s="50">
        <v>105.053</v>
      </c>
      <c r="X32" s="90">
        <v>45107</v>
      </c>
      <c r="Y32" s="50">
        <v>96.846999999999994</v>
      </c>
      <c r="Z32" s="20"/>
      <c r="AA32" s="209"/>
      <c r="AC32" s="173"/>
    </row>
    <row r="33" spans="2:29" outlineLevel="1">
      <c r="B33"/>
      <c r="C33" s="20" t="s">
        <v>80</v>
      </c>
      <c r="D33" s="20" t="s">
        <v>306</v>
      </c>
      <c r="E33" s="20" t="s">
        <v>90</v>
      </c>
      <c r="F33" s="20" t="s">
        <v>138</v>
      </c>
      <c r="G33" s="20" t="s">
        <v>65</v>
      </c>
      <c r="H33" s="89">
        <v>44196</v>
      </c>
      <c r="I33" s="35">
        <v>140</v>
      </c>
      <c r="J33" s="90">
        <v>44377</v>
      </c>
      <c r="K33" s="50">
        <v>139.97749999999999</v>
      </c>
      <c r="L33" s="90">
        <v>44377</v>
      </c>
      <c r="M33" s="50">
        <v>139.97749999999999</v>
      </c>
      <c r="N33" s="90">
        <v>44377</v>
      </c>
      <c r="O33" s="50">
        <v>139.97749999999999</v>
      </c>
      <c r="P33" s="90">
        <v>44377</v>
      </c>
      <c r="Q33" s="50">
        <v>139.97749999999999</v>
      </c>
      <c r="R33" s="90">
        <v>44377</v>
      </c>
      <c r="S33" s="50">
        <v>139.97749999999999</v>
      </c>
      <c r="T33" s="90">
        <v>44742</v>
      </c>
      <c r="U33" s="50">
        <v>139.97749999999999</v>
      </c>
      <c r="V33" s="90">
        <v>44742</v>
      </c>
      <c r="W33" s="50">
        <v>150.94030000000001</v>
      </c>
      <c r="X33" s="90">
        <v>45107</v>
      </c>
      <c r="Y33" s="50">
        <v>140.36100000000002</v>
      </c>
      <c r="Z33" s="20"/>
      <c r="AA33" s="209"/>
      <c r="AC33" s="173"/>
    </row>
    <row r="34" spans="2:29" outlineLevel="1">
      <c r="B34"/>
      <c r="C34" s="20" t="s">
        <v>80</v>
      </c>
      <c r="D34" s="20" t="s">
        <v>307</v>
      </c>
      <c r="E34" s="20" t="s">
        <v>90</v>
      </c>
      <c r="F34" s="20" t="s">
        <v>138</v>
      </c>
      <c r="G34" s="20" t="s">
        <v>65</v>
      </c>
      <c r="H34" s="89">
        <v>44196</v>
      </c>
      <c r="I34" s="35">
        <v>59.859999999999992</v>
      </c>
      <c r="J34" s="90">
        <v>44377</v>
      </c>
      <c r="K34" s="50">
        <v>80.007999999999996</v>
      </c>
      <c r="L34" s="90">
        <v>44377</v>
      </c>
      <c r="M34" s="50">
        <v>80.007999999999996</v>
      </c>
      <c r="N34" s="90">
        <v>44377</v>
      </c>
      <c r="O34" s="50">
        <v>80.007999999999996</v>
      </c>
      <c r="P34" s="90">
        <v>44377</v>
      </c>
      <c r="Q34" s="50">
        <v>80.007999999999996</v>
      </c>
      <c r="R34" s="90">
        <v>44377</v>
      </c>
      <c r="S34" s="50">
        <v>80.007999999999996</v>
      </c>
      <c r="T34" s="90">
        <v>44742</v>
      </c>
      <c r="U34" s="50">
        <v>85.008499999999998</v>
      </c>
      <c r="V34" s="90">
        <v>44742</v>
      </c>
      <c r="W34" s="50">
        <v>96.782799999999995</v>
      </c>
      <c r="X34" s="90">
        <v>45107</v>
      </c>
      <c r="Y34" s="50">
        <v>90.218999999999994</v>
      </c>
      <c r="Z34" s="20"/>
      <c r="AA34" s="209"/>
      <c r="AC34" s="173"/>
    </row>
    <row r="35" spans="2:29" outlineLevel="1">
      <c r="B35"/>
      <c r="C35" s="20" t="s">
        <v>80</v>
      </c>
      <c r="D35" s="53" t="s">
        <v>308</v>
      </c>
      <c r="E35" s="20" t="s">
        <v>90</v>
      </c>
      <c r="F35" s="20" t="s">
        <v>138</v>
      </c>
      <c r="G35" s="20" t="s">
        <v>66</v>
      </c>
      <c r="H35" s="89">
        <v>44196</v>
      </c>
      <c r="I35" s="35">
        <v>106</v>
      </c>
      <c r="J35" s="90">
        <v>44377</v>
      </c>
      <c r="K35" s="50">
        <v>111.11</v>
      </c>
      <c r="L35" s="90">
        <v>44377</v>
      </c>
      <c r="M35" s="50">
        <v>111.11</v>
      </c>
      <c r="N35" s="90">
        <v>44377</v>
      </c>
      <c r="O35" s="50">
        <v>111.11</v>
      </c>
      <c r="P35" s="90">
        <v>44377</v>
      </c>
      <c r="Q35" s="50">
        <v>111.11</v>
      </c>
      <c r="R35" s="90">
        <v>44377</v>
      </c>
      <c r="S35" s="50">
        <v>111.11</v>
      </c>
      <c r="T35" s="90">
        <v>44742</v>
      </c>
      <c r="U35" s="50">
        <v>125.072</v>
      </c>
      <c r="V35" s="90">
        <v>44742</v>
      </c>
      <c r="W35" s="50">
        <v>143.56729999999999</v>
      </c>
      <c r="X35" s="90">
        <v>45107</v>
      </c>
      <c r="Y35" s="50">
        <v>132.87190000000001</v>
      </c>
      <c r="Z35" s="20"/>
      <c r="AA35" s="209"/>
      <c r="AC35" s="173"/>
    </row>
    <row r="36" spans="2:29" outlineLevel="1">
      <c r="B36"/>
      <c r="C36" s="20" t="s">
        <v>80</v>
      </c>
      <c r="D36" s="20" t="s">
        <v>309</v>
      </c>
      <c r="E36" s="20" t="s">
        <v>90</v>
      </c>
      <c r="F36" s="20" t="s">
        <v>138</v>
      </c>
      <c r="G36" s="20" t="s">
        <v>66</v>
      </c>
      <c r="H36" s="89">
        <v>44196</v>
      </c>
      <c r="I36" s="35">
        <v>160</v>
      </c>
      <c r="J36" s="90">
        <v>44377</v>
      </c>
      <c r="K36" s="50">
        <v>160.01599999999999</v>
      </c>
      <c r="L36" s="90">
        <v>44377</v>
      </c>
      <c r="M36" s="50">
        <v>160.01599999999999</v>
      </c>
      <c r="N36" s="90">
        <v>44377</v>
      </c>
      <c r="O36" s="50">
        <v>160.01599999999999</v>
      </c>
      <c r="P36" s="90">
        <v>44377</v>
      </c>
      <c r="Q36" s="50">
        <v>160.01599999999999</v>
      </c>
      <c r="R36" s="90">
        <v>44377</v>
      </c>
      <c r="S36" s="50">
        <v>160.01599999999999</v>
      </c>
      <c r="T36" s="90">
        <v>44742</v>
      </c>
      <c r="U36" s="50">
        <v>160.01599999999999</v>
      </c>
      <c r="V36" s="90">
        <v>44742</v>
      </c>
      <c r="W36" s="50">
        <v>172.54820000000001</v>
      </c>
      <c r="X36" s="90">
        <v>45107</v>
      </c>
      <c r="Y36" s="50">
        <v>150.42600000000002</v>
      </c>
      <c r="Z36" s="20"/>
      <c r="AA36" s="209"/>
      <c r="AC36" s="173"/>
    </row>
    <row r="37" spans="2:29" outlineLevel="1">
      <c r="B37"/>
      <c r="C37" s="20" t="s">
        <v>80</v>
      </c>
      <c r="D37" s="20" t="s">
        <v>310</v>
      </c>
      <c r="E37" s="20" t="s">
        <v>90</v>
      </c>
      <c r="F37" s="20" t="s">
        <v>138</v>
      </c>
      <c r="G37" s="20" t="s">
        <v>66</v>
      </c>
      <c r="H37" s="89">
        <v>44196</v>
      </c>
      <c r="I37" s="35">
        <v>118.741</v>
      </c>
      <c r="J37" s="90">
        <v>44377</v>
      </c>
      <c r="K37" s="50">
        <v>134.46600000000001</v>
      </c>
      <c r="L37" s="90">
        <v>44377</v>
      </c>
      <c r="M37" s="50">
        <v>134.46600000000001</v>
      </c>
      <c r="N37" s="90">
        <v>44377</v>
      </c>
      <c r="O37" s="50">
        <v>134.46600000000001</v>
      </c>
      <c r="P37" s="90">
        <v>44377</v>
      </c>
      <c r="Q37" s="50">
        <v>134.46600000000001</v>
      </c>
      <c r="R37" s="90">
        <v>44377</v>
      </c>
      <c r="S37" s="50">
        <v>134.46600000000001</v>
      </c>
      <c r="T37" s="90">
        <v>44742</v>
      </c>
      <c r="U37" s="50">
        <v>136.95400000000001</v>
      </c>
      <c r="V37" s="90">
        <v>44742</v>
      </c>
      <c r="W37" s="50">
        <v>150.54509999999999</v>
      </c>
      <c r="X37" s="90">
        <v>45107</v>
      </c>
      <c r="Y37" s="50">
        <v>147.858</v>
      </c>
      <c r="Z37" s="20"/>
      <c r="AA37" s="209"/>
      <c r="AC37" s="173"/>
    </row>
    <row r="38" spans="2:29" outlineLevel="1">
      <c r="B38"/>
      <c r="C38" s="20" t="s">
        <v>80</v>
      </c>
      <c r="D38" s="20" t="s">
        <v>311</v>
      </c>
      <c r="E38" s="20" t="s">
        <v>90</v>
      </c>
      <c r="F38" s="20" t="s">
        <v>138</v>
      </c>
      <c r="G38" s="20" t="s">
        <v>66</v>
      </c>
      <c r="H38" s="89">
        <v>44196</v>
      </c>
      <c r="I38" s="35">
        <v>180</v>
      </c>
      <c r="J38" s="90">
        <v>44377</v>
      </c>
      <c r="K38" s="50">
        <v>179.98150000000001</v>
      </c>
      <c r="L38" s="90">
        <v>44377</v>
      </c>
      <c r="M38" s="50">
        <v>179.98150000000001</v>
      </c>
      <c r="N38" s="90">
        <v>44377</v>
      </c>
      <c r="O38" s="50">
        <v>179.98150000000001</v>
      </c>
      <c r="P38" s="90">
        <v>44377</v>
      </c>
      <c r="Q38" s="50">
        <v>179.98150000000001</v>
      </c>
      <c r="R38" s="90">
        <v>44377</v>
      </c>
      <c r="S38" s="50">
        <v>179.98150000000001</v>
      </c>
      <c r="T38" s="90">
        <v>44742</v>
      </c>
      <c r="U38" s="50">
        <v>179.98150000000001</v>
      </c>
      <c r="V38" s="90">
        <v>44742</v>
      </c>
      <c r="W38" s="50">
        <v>194.07730000000001</v>
      </c>
      <c r="X38" s="90">
        <v>45107</v>
      </c>
      <c r="Y38" s="50">
        <v>180.47460000000001</v>
      </c>
      <c r="Z38" s="20"/>
      <c r="AA38" s="209"/>
      <c r="AC38" s="173"/>
    </row>
    <row r="39" spans="2:29" outlineLevel="1">
      <c r="B39"/>
      <c r="C39" s="20" t="s">
        <v>80</v>
      </c>
      <c r="D39" s="20" t="s">
        <v>312</v>
      </c>
      <c r="E39" s="20" t="s">
        <v>90</v>
      </c>
      <c r="F39" s="20" t="s">
        <v>138</v>
      </c>
      <c r="G39" s="20" t="s">
        <v>66</v>
      </c>
      <c r="H39" s="89">
        <v>44196</v>
      </c>
      <c r="I39" s="35">
        <v>79.861999999999995</v>
      </c>
      <c r="J39" s="90">
        <v>44377</v>
      </c>
      <c r="K39" s="50">
        <v>120.01199999999999</v>
      </c>
      <c r="L39" s="90">
        <v>44377</v>
      </c>
      <c r="M39" s="50">
        <v>120.01199999999999</v>
      </c>
      <c r="N39" s="90">
        <v>44377</v>
      </c>
      <c r="O39" s="50">
        <v>120.01199999999999</v>
      </c>
      <c r="P39" s="90">
        <v>44377</v>
      </c>
      <c r="Q39" s="50">
        <v>120.01199999999999</v>
      </c>
      <c r="R39" s="90">
        <v>44377</v>
      </c>
      <c r="S39" s="50">
        <v>120.01199999999999</v>
      </c>
      <c r="T39" s="90">
        <v>44742</v>
      </c>
      <c r="U39" s="50">
        <v>130.01300000000001</v>
      </c>
      <c r="V39" s="90">
        <v>44742</v>
      </c>
      <c r="W39" s="50">
        <v>145.19390000000001</v>
      </c>
      <c r="X39" s="90">
        <v>45107</v>
      </c>
      <c r="Y39" s="50">
        <v>140.36100000000002</v>
      </c>
      <c r="Z39" s="20"/>
      <c r="AA39" s="209"/>
      <c r="AC39" s="173"/>
    </row>
    <row r="40" spans="2:29" outlineLevel="1">
      <c r="B40"/>
      <c r="C40" s="20" t="s">
        <v>80</v>
      </c>
      <c r="D40" s="20" t="s">
        <v>313</v>
      </c>
      <c r="E40" s="20" t="s">
        <v>90</v>
      </c>
      <c r="F40" s="20" t="s">
        <v>138</v>
      </c>
      <c r="G40" s="20" t="s">
        <v>65</v>
      </c>
      <c r="H40" s="89" t="s">
        <v>39</v>
      </c>
      <c r="I40" s="89" t="s">
        <v>39</v>
      </c>
      <c r="J40" s="90">
        <v>44377</v>
      </c>
      <c r="K40" s="50">
        <v>111.11</v>
      </c>
      <c r="L40" s="90">
        <v>44377</v>
      </c>
      <c r="M40" s="50">
        <v>111.11</v>
      </c>
      <c r="N40" s="90">
        <v>44377</v>
      </c>
      <c r="O40" s="50">
        <v>111.11</v>
      </c>
      <c r="P40" s="90">
        <v>44377</v>
      </c>
      <c r="Q40" s="50">
        <v>111.11</v>
      </c>
      <c r="R40" s="90">
        <v>44377</v>
      </c>
      <c r="S40" s="50">
        <v>111.11</v>
      </c>
      <c r="T40" s="90">
        <v>44742</v>
      </c>
      <c r="U40" s="50">
        <v>125.072</v>
      </c>
      <c r="V40" s="90">
        <v>44742</v>
      </c>
      <c r="W40" s="50">
        <v>143.56729999999999</v>
      </c>
      <c r="X40" s="90">
        <v>45107</v>
      </c>
      <c r="Y40" s="50">
        <v>132.87190000000001</v>
      </c>
      <c r="Z40" s="20"/>
      <c r="AA40" s="209"/>
      <c r="AC40" s="173"/>
    </row>
    <row r="41" spans="2:29" outlineLevel="1">
      <c r="B41"/>
      <c r="C41" s="20" t="s">
        <v>80</v>
      </c>
      <c r="D41" s="20" t="s">
        <v>314</v>
      </c>
      <c r="E41" s="20" t="s">
        <v>90</v>
      </c>
      <c r="F41" s="20" t="s">
        <v>138</v>
      </c>
      <c r="G41" s="20" t="s">
        <v>65</v>
      </c>
      <c r="H41" s="89" t="s">
        <v>39</v>
      </c>
      <c r="I41" s="89" t="s">
        <v>39</v>
      </c>
      <c r="J41" s="90">
        <v>44377</v>
      </c>
      <c r="K41" s="50">
        <v>90.009</v>
      </c>
      <c r="L41" s="90">
        <v>44377</v>
      </c>
      <c r="M41" s="50">
        <v>90.009</v>
      </c>
      <c r="N41" s="90">
        <v>44377</v>
      </c>
      <c r="O41" s="50">
        <v>90.009</v>
      </c>
      <c r="P41" s="90">
        <v>44377</v>
      </c>
      <c r="Q41" s="50">
        <v>90.009</v>
      </c>
      <c r="R41" s="90">
        <v>44377</v>
      </c>
      <c r="S41" s="50">
        <v>90.009</v>
      </c>
      <c r="T41" s="90">
        <v>44377</v>
      </c>
      <c r="U41" s="50">
        <v>90.009</v>
      </c>
      <c r="V41" s="90">
        <v>44742</v>
      </c>
      <c r="W41" s="50">
        <v>97.058300000000003</v>
      </c>
      <c r="X41" s="90">
        <v>45107</v>
      </c>
      <c r="Y41" s="50">
        <v>90.255600000000001</v>
      </c>
      <c r="Z41" s="20"/>
      <c r="AA41" s="209"/>
      <c r="AC41" s="173"/>
    </row>
    <row r="42" spans="2:29" outlineLevel="1">
      <c r="B42"/>
      <c r="C42" s="20" t="s">
        <v>80</v>
      </c>
      <c r="D42" s="20" t="s">
        <v>315</v>
      </c>
      <c r="E42" s="20" t="s">
        <v>90</v>
      </c>
      <c r="F42" s="20" t="s">
        <v>138</v>
      </c>
      <c r="G42" s="20" t="s">
        <v>65</v>
      </c>
      <c r="H42" s="89" t="s">
        <v>39</v>
      </c>
      <c r="I42" s="89" t="s">
        <v>39</v>
      </c>
      <c r="J42" s="90">
        <v>44377</v>
      </c>
      <c r="K42" s="50">
        <v>82.195999999999998</v>
      </c>
      <c r="L42" s="90">
        <v>44377</v>
      </c>
      <c r="M42" s="50">
        <v>82.195999999999998</v>
      </c>
      <c r="N42" s="90">
        <v>44377</v>
      </c>
      <c r="O42" s="50">
        <v>82.195999999999998</v>
      </c>
      <c r="P42" s="90">
        <v>44377</v>
      </c>
      <c r="Q42" s="50">
        <v>82.195999999999998</v>
      </c>
      <c r="R42" s="90">
        <v>44377</v>
      </c>
      <c r="S42" s="50">
        <v>82.195999999999998</v>
      </c>
      <c r="T42" s="90">
        <v>44377</v>
      </c>
      <c r="U42" s="50">
        <v>89.69</v>
      </c>
      <c r="V42" s="90">
        <v>44742</v>
      </c>
      <c r="W42" s="50">
        <v>105.053</v>
      </c>
      <c r="X42" s="90">
        <v>45107</v>
      </c>
      <c r="Y42" s="50">
        <v>96.846999999999994</v>
      </c>
      <c r="Z42" s="20"/>
      <c r="AA42" s="209"/>
      <c r="AC42" s="173"/>
    </row>
    <row r="43" spans="2:29" outlineLevel="1">
      <c r="B43"/>
      <c r="C43" s="20" t="s">
        <v>80</v>
      </c>
      <c r="D43" s="20" t="s">
        <v>316</v>
      </c>
      <c r="E43" s="20" t="s">
        <v>90</v>
      </c>
      <c r="F43" s="20" t="s">
        <v>138</v>
      </c>
      <c r="G43" s="20" t="s">
        <v>65</v>
      </c>
      <c r="H43" s="89" t="s">
        <v>39</v>
      </c>
      <c r="I43" s="89" t="s">
        <v>39</v>
      </c>
      <c r="J43" s="90">
        <v>44377</v>
      </c>
      <c r="K43" s="50">
        <v>139.97749999999999</v>
      </c>
      <c r="L43" s="90">
        <v>44377</v>
      </c>
      <c r="M43" s="50">
        <v>139.97749999999999</v>
      </c>
      <c r="N43" s="90">
        <v>44377</v>
      </c>
      <c r="O43" s="50">
        <v>139.97749999999999</v>
      </c>
      <c r="P43" s="90">
        <v>44377</v>
      </c>
      <c r="Q43" s="50">
        <v>139.97749999999999</v>
      </c>
      <c r="R43" s="90">
        <v>44377</v>
      </c>
      <c r="S43" s="50">
        <v>139.97749999999999</v>
      </c>
      <c r="T43" s="90">
        <v>44377</v>
      </c>
      <c r="U43" s="50">
        <v>139.97749999999999</v>
      </c>
      <c r="V43" s="90">
        <v>44742</v>
      </c>
      <c r="W43" s="50">
        <v>150.94030000000001</v>
      </c>
      <c r="X43" s="90">
        <v>45107</v>
      </c>
      <c r="Y43" s="50">
        <v>140.36100000000002</v>
      </c>
      <c r="Z43" s="20"/>
      <c r="AA43" s="209"/>
      <c r="AC43" s="173"/>
    </row>
    <row r="44" spans="2:29" outlineLevel="1">
      <c r="B44"/>
      <c r="C44" s="20" t="s">
        <v>80</v>
      </c>
      <c r="D44" s="20" t="s">
        <v>317</v>
      </c>
      <c r="E44" s="20" t="s">
        <v>90</v>
      </c>
      <c r="F44" s="20" t="s">
        <v>138</v>
      </c>
      <c r="G44" s="20" t="s">
        <v>65</v>
      </c>
      <c r="H44" s="89" t="s">
        <v>39</v>
      </c>
      <c r="I44" s="89" t="s">
        <v>39</v>
      </c>
      <c r="J44" s="90">
        <v>44377</v>
      </c>
      <c r="K44" s="50">
        <v>80.007999999999996</v>
      </c>
      <c r="L44" s="90">
        <v>44377</v>
      </c>
      <c r="M44" s="50">
        <v>80.007999999999996</v>
      </c>
      <c r="N44" s="90">
        <v>44377</v>
      </c>
      <c r="O44" s="50">
        <v>80.007999999999996</v>
      </c>
      <c r="P44" s="90">
        <v>44377</v>
      </c>
      <c r="Q44" s="50">
        <v>80.007999999999996</v>
      </c>
      <c r="R44" s="90">
        <v>44377</v>
      </c>
      <c r="S44" s="50">
        <v>80.007999999999996</v>
      </c>
      <c r="T44" s="90">
        <v>44377</v>
      </c>
      <c r="U44" s="50">
        <v>85.008499999999998</v>
      </c>
      <c r="V44" s="90">
        <v>44742</v>
      </c>
      <c r="W44" s="50">
        <v>96.782799999999995</v>
      </c>
      <c r="X44" s="90">
        <v>45107</v>
      </c>
      <c r="Y44" s="50">
        <v>90.218999999999994</v>
      </c>
      <c r="Z44" s="20"/>
      <c r="AA44" s="209"/>
      <c r="AC44" s="173"/>
    </row>
    <row r="45" spans="2:29" outlineLevel="1">
      <c r="B45"/>
      <c r="C45" s="20" t="s">
        <v>80</v>
      </c>
      <c r="D45" s="53" t="s">
        <v>318</v>
      </c>
      <c r="E45" s="20" t="s">
        <v>90</v>
      </c>
      <c r="F45" s="20" t="s">
        <v>138</v>
      </c>
      <c r="G45" s="20" t="s">
        <v>66</v>
      </c>
      <c r="H45" s="89" t="s">
        <v>39</v>
      </c>
      <c r="I45" s="89" t="s">
        <v>39</v>
      </c>
      <c r="J45" s="90">
        <v>44377</v>
      </c>
      <c r="K45" s="50">
        <v>111.11</v>
      </c>
      <c r="L45" s="90">
        <v>44377</v>
      </c>
      <c r="M45" s="50">
        <v>111.11</v>
      </c>
      <c r="N45" s="90">
        <v>44377</v>
      </c>
      <c r="O45" s="50">
        <v>111.11</v>
      </c>
      <c r="P45" s="90">
        <v>44377</v>
      </c>
      <c r="Q45" s="50">
        <v>111.11</v>
      </c>
      <c r="R45" s="90">
        <v>44377</v>
      </c>
      <c r="S45" s="50">
        <v>111.11</v>
      </c>
      <c r="T45" s="90">
        <v>44377</v>
      </c>
      <c r="U45" s="50">
        <v>125.072</v>
      </c>
      <c r="V45" s="90">
        <v>44742</v>
      </c>
      <c r="W45" s="50">
        <v>143.56729999999999</v>
      </c>
      <c r="X45" s="90">
        <v>45107</v>
      </c>
      <c r="Y45" s="50">
        <v>132.87190000000001</v>
      </c>
      <c r="Z45" s="20"/>
      <c r="AA45" s="209"/>
      <c r="AC45" s="173"/>
    </row>
    <row r="46" spans="2:29" outlineLevel="1">
      <c r="B46"/>
      <c r="C46" s="20" t="s">
        <v>80</v>
      </c>
      <c r="D46" s="20" t="s">
        <v>319</v>
      </c>
      <c r="E46" s="20" t="s">
        <v>90</v>
      </c>
      <c r="F46" s="20" t="s">
        <v>138</v>
      </c>
      <c r="G46" s="20" t="s">
        <v>66</v>
      </c>
      <c r="H46" s="89" t="s">
        <v>39</v>
      </c>
      <c r="I46" s="89" t="s">
        <v>39</v>
      </c>
      <c r="J46" s="90">
        <v>44377</v>
      </c>
      <c r="K46" s="50">
        <v>160.01599999999999</v>
      </c>
      <c r="L46" s="90">
        <v>44377</v>
      </c>
      <c r="M46" s="50">
        <v>160.01599999999999</v>
      </c>
      <c r="N46" s="90">
        <v>44377</v>
      </c>
      <c r="O46" s="50">
        <v>160.01599999999999</v>
      </c>
      <c r="P46" s="90">
        <v>44377</v>
      </c>
      <c r="Q46" s="50">
        <v>160.01599999999999</v>
      </c>
      <c r="R46" s="90">
        <v>44377</v>
      </c>
      <c r="S46" s="50">
        <v>160.01599999999999</v>
      </c>
      <c r="T46" s="90">
        <v>44377</v>
      </c>
      <c r="U46" s="50">
        <v>160.01599999999999</v>
      </c>
      <c r="V46" s="90">
        <v>44742</v>
      </c>
      <c r="W46" s="50">
        <v>172.54820000000001</v>
      </c>
      <c r="X46" s="90">
        <v>45107</v>
      </c>
      <c r="Y46" s="50">
        <v>150.42600000000002</v>
      </c>
      <c r="Z46" s="20"/>
      <c r="AA46" s="209"/>
      <c r="AC46" s="173"/>
    </row>
    <row r="47" spans="2:29" outlineLevel="1">
      <c r="B47"/>
      <c r="C47" s="20" t="s">
        <v>80</v>
      </c>
      <c r="D47" s="20" t="s">
        <v>320</v>
      </c>
      <c r="E47" s="20" t="s">
        <v>90</v>
      </c>
      <c r="F47" s="20" t="s">
        <v>138</v>
      </c>
      <c r="G47" s="20" t="s">
        <v>66</v>
      </c>
      <c r="H47" s="89" t="s">
        <v>39</v>
      </c>
      <c r="I47" s="89" t="s">
        <v>39</v>
      </c>
      <c r="J47" s="90">
        <v>44377</v>
      </c>
      <c r="K47" s="50">
        <v>242.124</v>
      </c>
      <c r="L47" s="90">
        <v>44377</v>
      </c>
      <c r="M47" s="50">
        <v>242.124</v>
      </c>
      <c r="N47" s="90">
        <v>44377</v>
      </c>
      <c r="O47" s="50">
        <v>242.124</v>
      </c>
      <c r="P47" s="90">
        <v>44377</v>
      </c>
      <c r="Q47" s="50">
        <v>242.124</v>
      </c>
      <c r="R47" s="90">
        <v>44377</v>
      </c>
      <c r="S47" s="50">
        <v>242.124</v>
      </c>
      <c r="T47" s="90">
        <v>44377</v>
      </c>
      <c r="U47" s="50">
        <v>244.18</v>
      </c>
      <c r="V47" s="90">
        <v>44742</v>
      </c>
      <c r="W47" s="50">
        <v>267.34640000000002</v>
      </c>
      <c r="X47" s="90">
        <v>45107</v>
      </c>
      <c r="Y47" s="50">
        <v>265.79300000000001</v>
      </c>
      <c r="Z47" s="20"/>
      <c r="AA47" s="209"/>
      <c r="AC47" s="173"/>
    </row>
    <row r="48" spans="2:29" outlineLevel="1">
      <c r="B48"/>
      <c r="C48" s="20" t="s">
        <v>80</v>
      </c>
      <c r="D48" s="20" t="s">
        <v>321</v>
      </c>
      <c r="E48" s="20" t="s">
        <v>90</v>
      </c>
      <c r="F48" s="20" t="s">
        <v>138</v>
      </c>
      <c r="G48" s="20" t="s">
        <v>66</v>
      </c>
      <c r="H48" s="89" t="s">
        <v>39</v>
      </c>
      <c r="I48" s="89" t="s">
        <v>39</v>
      </c>
      <c r="J48" s="90">
        <v>44377</v>
      </c>
      <c r="K48" s="50">
        <v>179.98150000000001</v>
      </c>
      <c r="L48" s="90">
        <v>44377</v>
      </c>
      <c r="M48" s="50">
        <v>179.98150000000001</v>
      </c>
      <c r="N48" s="90">
        <v>44377</v>
      </c>
      <c r="O48" s="50">
        <v>179.98150000000001</v>
      </c>
      <c r="P48" s="90">
        <v>44377</v>
      </c>
      <c r="Q48" s="50">
        <v>179.98150000000001</v>
      </c>
      <c r="R48" s="90">
        <v>44377</v>
      </c>
      <c r="S48" s="50">
        <v>179.98150000000001</v>
      </c>
      <c r="T48" s="90">
        <v>44377</v>
      </c>
      <c r="U48" s="50">
        <v>179.98150000000001</v>
      </c>
      <c r="V48" s="90">
        <v>44742</v>
      </c>
      <c r="W48" s="50">
        <v>194.07730000000001</v>
      </c>
      <c r="X48" s="90">
        <v>45107</v>
      </c>
      <c r="Y48" s="50">
        <v>180.47460000000001</v>
      </c>
      <c r="Z48" s="20"/>
      <c r="AA48" s="209"/>
      <c r="AC48" s="173"/>
    </row>
    <row r="49" spans="2:29" outlineLevel="1">
      <c r="B49"/>
      <c r="C49" s="20" t="s">
        <v>80</v>
      </c>
      <c r="D49" s="20" t="s">
        <v>322</v>
      </c>
      <c r="E49" s="20" t="s">
        <v>90</v>
      </c>
      <c r="F49" s="20" t="s">
        <v>138</v>
      </c>
      <c r="G49" s="20" t="s">
        <v>66</v>
      </c>
      <c r="H49" s="89" t="s">
        <v>39</v>
      </c>
      <c r="I49" s="89" t="s">
        <v>39</v>
      </c>
      <c r="J49" s="90">
        <v>44377</v>
      </c>
      <c r="K49" s="50">
        <v>120.01199999999999</v>
      </c>
      <c r="L49" s="90">
        <v>44377</v>
      </c>
      <c r="M49" s="50">
        <v>120.01199999999999</v>
      </c>
      <c r="N49" s="90">
        <v>44377</v>
      </c>
      <c r="O49" s="50">
        <v>120.01199999999999</v>
      </c>
      <c r="P49" s="90">
        <v>44377</v>
      </c>
      <c r="Q49" s="50">
        <v>120.01199999999999</v>
      </c>
      <c r="R49" s="90">
        <v>44377</v>
      </c>
      <c r="S49" s="50">
        <v>120.01199999999999</v>
      </c>
      <c r="T49" s="90">
        <v>44377</v>
      </c>
      <c r="U49" s="50">
        <v>130.01300000000001</v>
      </c>
      <c r="V49" s="90">
        <v>44742</v>
      </c>
      <c r="W49" s="50">
        <v>145.19390000000001</v>
      </c>
      <c r="X49" s="90">
        <v>45107</v>
      </c>
      <c r="Y49" s="50">
        <v>140.36100000000002</v>
      </c>
      <c r="Z49" s="20"/>
      <c r="AA49" s="209"/>
      <c r="AC49" s="173"/>
    </row>
    <row r="50" spans="2:29" ht="15.75" customHeight="1" outlineLevel="1">
      <c r="B50"/>
      <c r="C50" s="20" t="s">
        <v>140</v>
      </c>
      <c r="D50" s="20" t="s">
        <v>323</v>
      </c>
      <c r="E50" s="20" t="s">
        <v>103</v>
      </c>
      <c r="F50" s="20" t="s">
        <v>179</v>
      </c>
      <c r="G50" s="20" t="s">
        <v>65</v>
      </c>
      <c r="H50" s="89">
        <v>44196</v>
      </c>
      <c r="I50" s="35">
        <v>94.02</v>
      </c>
      <c r="J50" s="89">
        <v>44196</v>
      </c>
      <c r="K50" s="98">
        <v>94.02</v>
      </c>
      <c r="L50" s="89">
        <v>44196</v>
      </c>
      <c r="M50" s="35">
        <v>94.02</v>
      </c>
      <c r="N50" s="90">
        <v>44561</v>
      </c>
      <c r="O50" s="50">
        <v>70.94</v>
      </c>
      <c r="P50" s="90">
        <v>44926</v>
      </c>
      <c r="Q50" s="50">
        <v>71.42</v>
      </c>
      <c r="R50" s="90">
        <v>44742</v>
      </c>
      <c r="S50" s="50">
        <v>76.81</v>
      </c>
      <c r="T50" s="90">
        <v>44742</v>
      </c>
      <c r="U50" s="50">
        <v>81.459999999999994</v>
      </c>
      <c r="V50" s="90">
        <v>45107</v>
      </c>
      <c r="W50" s="50">
        <v>160.58000000000001</v>
      </c>
      <c r="X50" s="90">
        <v>45107</v>
      </c>
      <c r="Y50" s="50">
        <v>155.06744437670935</v>
      </c>
      <c r="Z50" s="20"/>
      <c r="AA50" s="209"/>
      <c r="AC50" s="173"/>
    </row>
    <row r="51" spans="2:29" ht="15.75" customHeight="1" outlineLevel="1">
      <c r="B51"/>
      <c r="C51" s="20" t="s">
        <v>140</v>
      </c>
      <c r="D51" s="20" t="s">
        <v>324</v>
      </c>
      <c r="E51" s="20" t="s">
        <v>103</v>
      </c>
      <c r="F51" s="20" t="s">
        <v>179</v>
      </c>
      <c r="G51" s="20" t="s">
        <v>65</v>
      </c>
      <c r="H51" s="89">
        <v>44196</v>
      </c>
      <c r="I51" s="35">
        <v>88.84</v>
      </c>
      <c r="J51" s="89">
        <v>44196</v>
      </c>
      <c r="K51" s="98">
        <v>88.84</v>
      </c>
      <c r="L51" s="89">
        <v>44196</v>
      </c>
      <c r="M51" s="35">
        <v>88.84</v>
      </c>
      <c r="N51" s="90">
        <v>44561</v>
      </c>
      <c r="O51" s="50">
        <v>67.239999999999995</v>
      </c>
      <c r="P51" s="90">
        <v>44926</v>
      </c>
      <c r="Q51" s="50">
        <v>67.8</v>
      </c>
      <c r="R51" s="90">
        <v>44742</v>
      </c>
      <c r="S51" s="50">
        <v>70.64</v>
      </c>
      <c r="T51" s="90">
        <v>44742</v>
      </c>
      <c r="U51" s="50">
        <v>76.56</v>
      </c>
      <c r="V51" s="90">
        <v>45107</v>
      </c>
      <c r="W51" s="50">
        <v>146.4</v>
      </c>
      <c r="X51" s="90">
        <v>45107</v>
      </c>
      <c r="Y51" s="50">
        <v>136.36461307557079</v>
      </c>
      <c r="Z51" s="20"/>
      <c r="AA51" s="209"/>
      <c r="AC51" s="173"/>
    </row>
    <row r="52" spans="2:29" ht="15.75" customHeight="1" outlineLevel="1">
      <c r="B52"/>
      <c r="C52" s="20" t="s">
        <v>140</v>
      </c>
      <c r="D52" s="20" t="s">
        <v>325</v>
      </c>
      <c r="E52" s="20" t="s">
        <v>103</v>
      </c>
      <c r="F52" s="20" t="s">
        <v>179</v>
      </c>
      <c r="G52" s="20" t="s">
        <v>65</v>
      </c>
      <c r="H52" s="89">
        <v>44196</v>
      </c>
      <c r="I52" s="35">
        <v>97.8</v>
      </c>
      <c r="J52" s="89">
        <v>44196</v>
      </c>
      <c r="K52" s="98">
        <v>97.8</v>
      </c>
      <c r="L52" s="89">
        <v>44196</v>
      </c>
      <c r="M52" s="35">
        <v>97.8</v>
      </c>
      <c r="N52" s="90">
        <v>44561</v>
      </c>
      <c r="O52" s="50">
        <v>73.25</v>
      </c>
      <c r="P52" s="90">
        <v>44926</v>
      </c>
      <c r="Q52" s="50">
        <v>73.680000000000007</v>
      </c>
      <c r="R52" s="90">
        <v>44742</v>
      </c>
      <c r="S52" s="50">
        <v>77.59</v>
      </c>
      <c r="T52" s="90">
        <v>44742</v>
      </c>
      <c r="U52" s="50">
        <v>81.819999999999993</v>
      </c>
      <c r="V52" s="90">
        <v>45107</v>
      </c>
      <c r="W52" s="50">
        <v>160.86000000000001</v>
      </c>
      <c r="X52" s="90">
        <v>45107</v>
      </c>
      <c r="Y52" s="50">
        <v>152.23433176569594</v>
      </c>
      <c r="Z52" s="20"/>
      <c r="AA52" s="209"/>
      <c r="AC52" s="173"/>
    </row>
    <row r="53" spans="2:29" ht="15.75" customHeight="1" outlineLevel="1">
      <c r="B53"/>
      <c r="C53" s="20" t="s">
        <v>140</v>
      </c>
      <c r="D53" s="20" t="s">
        <v>326</v>
      </c>
      <c r="E53" s="20" t="s">
        <v>103</v>
      </c>
      <c r="F53" s="20" t="s">
        <v>179</v>
      </c>
      <c r="G53" s="20" t="s">
        <v>65</v>
      </c>
      <c r="H53" s="89">
        <v>44196</v>
      </c>
      <c r="I53" s="35">
        <v>92.03</v>
      </c>
      <c r="J53" s="89">
        <v>44196</v>
      </c>
      <c r="K53" s="98">
        <v>92.03</v>
      </c>
      <c r="L53" s="89">
        <v>44196</v>
      </c>
      <c r="M53" s="35">
        <v>92.03</v>
      </c>
      <c r="N53" s="90">
        <v>44561</v>
      </c>
      <c r="O53" s="50">
        <v>69.23</v>
      </c>
      <c r="P53" s="90">
        <v>44926</v>
      </c>
      <c r="Q53" s="50">
        <v>69.78</v>
      </c>
      <c r="R53" s="90">
        <v>44742</v>
      </c>
      <c r="S53" s="50">
        <v>75.069999999999993</v>
      </c>
      <c r="T53" s="90">
        <v>44742</v>
      </c>
      <c r="U53" s="50">
        <v>80.25</v>
      </c>
      <c r="V53" s="90">
        <v>45107</v>
      </c>
      <c r="W53" s="50">
        <v>158.29</v>
      </c>
      <c r="X53" s="90">
        <v>45107</v>
      </c>
      <c r="Y53" s="50">
        <v>152.94289200433886</v>
      </c>
      <c r="Z53" s="20"/>
      <c r="AA53" s="209"/>
      <c r="AC53" s="173"/>
    </row>
    <row r="54" spans="2:29" ht="15.75" customHeight="1" outlineLevel="1">
      <c r="B54"/>
      <c r="C54" s="20" t="s">
        <v>140</v>
      </c>
      <c r="D54" s="20" t="s">
        <v>327</v>
      </c>
      <c r="E54" s="20" t="s">
        <v>103</v>
      </c>
      <c r="F54" s="20" t="s">
        <v>179</v>
      </c>
      <c r="G54" s="20" t="s">
        <v>65</v>
      </c>
      <c r="H54" s="89">
        <v>44196</v>
      </c>
      <c r="I54" s="35">
        <v>98.18</v>
      </c>
      <c r="J54" s="89">
        <v>44196</v>
      </c>
      <c r="K54" s="98">
        <v>98.18</v>
      </c>
      <c r="L54" s="89">
        <v>44196</v>
      </c>
      <c r="M54" s="35">
        <v>98.18</v>
      </c>
      <c r="N54" s="90">
        <v>44561</v>
      </c>
      <c r="O54" s="50">
        <v>73.75</v>
      </c>
      <c r="P54" s="90">
        <v>44926</v>
      </c>
      <c r="Q54" s="50">
        <v>74.19</v>
      </c>
      <c r="R54" s="90">
        <v>44742</v>
      </c>
      <c r="S54" s="50">
        <v>76.900000000000006</v>
      </c>
      <c r="T54" s="90">
        <v>44742</v>
      </c>
      <c r="U54" s="50">
        <v>81.03</v>
      </c>
      <c r="V54" s="90">
        <v>45107</v>
      </c>
      <c r="W54" s="50">
        <v>158.96</v>
      </c>
      <c r="X54" s="90">
        <v>45107</v>
      </c>
      <c r="Y54" s="50">
        <v>149.74862262361765</v>
      </c>
      <c r="Z54" s="20"/>
      <c r="AA54" s="209"/>
      <c r="AC54" s="173"/>
    </row>
    <row r="55" spans="2:29" ht="15.75" customHeight="1" outlineLevel="1">
      <c r="B55"/>
      <c r="C55" s="20" t="s">
        <v>140</v>
      </c>
      <c r="D55" s="20" t="s">
        <v>328</v>
      </c>
      <c r="E55" s="20" t="s">
        <v>103</v>
      </c>
      <c r="F55" s="20" t="s">
        <v>179</v>
      </c>
      <c r="G55" s="20" t="s">
        <v>65</v>
      </c>
      <c r="H55" s="89">
        <v>44196</v>
      </c>
      <c r="I55" s="35">
        <v>0.48</v>
      </c>
      <c r="J55" s="89">
        <v>44196</v>
      </c>
      <c r="K55" s="98">
        <v>0.48</v>
      </c>
      <c r="L55" s="89">
        <v>44196</v>
      </c>
      <c r="M55" s="35">
        <v>0.48</v>
      </c>
      <c r="N55" s="90">
        <v>44561</v>
      </c>
      <c r="O55" s="50">
        <v>0.3</v>
      </c>
      <c r="P55" s="90">
        <v>44926</v>
      </c>
      <c r="Q55" s="50">
        <v>0.27</v>
      </c>
      <c r="R55" s="90">
        <v>44742</v>
      </c>
      <c r="S55" s="50">
        <v>0.27</v>
      </c>
      <c r="T55" s="90">
        <v>44742</v>
      </c>
      <c r="U55" s="50">
        <v>0.38</v>
      </c>
      <c r="V55" s="90">
        <v>45107</v>
      </c>
      <c r="W55" s="50">
        <v>0.43</v>
      </c>
      <c r="X55" s="90">
        <v>45107</v>
      </c>
      <c r="Y55" s="50">
        <v>0.75597283903685197</v>
      </c>
      <c r="Z55" s="20"/>
      <c r="AA55" s="209"/>
      <c r="AC55" s="173"/>
    </row>
    <row r="56" spans="2:29" ht="15.75" customHeight="1" outlineLevel="1">
      <c r="B56"/>
      <c r="C56" s="20" t="s">
        <v>140</v>
      </c>
      <c r="D56" s="20" t="s">
        <v>329</v>
      </c>
      <c r="E56" s="20" t="s">
        <v>103</v>
      </c>
      <c r="F56" s="20" t="s">
        <v>179</v>
      </c>
      <c r="G56" s="20" t="s">
        <v>65</v>
      </c>
      <c r="H56" s="89">
        <v>44196</v>
      </c>
      <c r="I56" s="35">
        <v>0.47</v>
      </c>
      <c r="J56" s="89">
        <v>44196</v>
      </c>
      <c r="K56" s="98">
        <v>0.47</v>
      </c>
      <c r="L56" s="89">
        <v>44196</v>
      </c>
      <c r="M56" s="35">
        <v>0.47</v>
      </c>
      <c r="N56" s="90">
        <v>44561</v>
      </c>
      <c r="O56" s="50">
        <v>0.3</v>
      </c>
      <c r="P56" s="90">
        <v>44926</v>
      </c>
      <c r="Q56" s="50">
        <v>0.28000000000000003</v>
      </c>
      <c r="R56" s="90">
        <v>44742</v>
      </c>
      <c r="S56" s="50">
        <v>0.31</v>
      </c>
      <c r="T56" s="90">
        <v>44742</v>
      </c>
      <c r="U56" s="50">
        <v>0.4</v>
      </c>
      <c r="V56" s="90">
        <v>45107</v>
      </c>
      <c r="W56" s="50">
        <v>0.36</v>
      </c>
      <c r="X56" s="90">
        <v>45107</v>
      </c>
      <c r="Y56" s="50">
        <v>0.63406351167904607</v>
      </c>
      <c r="Z56" s="20"/>
      <c r="AA56" s="209"/>
      <c r="AC56" s="173"/>
    </row>
    <row r="57" spans="2:29" ht="15.75" customHeight="1" outlineLevel="1">
      <c r="B57"/>
      <c r="C57" s="20" t="s">
        <v>140</v>
      </c>
      <c r="D57" s="20" t="s">
        <v>330</v>
      </c>
      <c r="E57" s="20" t="s">
        <v>103</v>
      </c>
      <c r="F57" s="20" t="s">
        <v>179</v>
      </c>
      <c r="G57" s="20" t="s">
        <v>65</v>
      </c>
      <c r="H57" s="89">
        <v>44196</v>
      </c>
      <c r="I57" s="35">
        <v>0.45</v>
      </c>
      <c r="J57" s="89">
        <v>44196</v>
      </c>
      <c r="K57" s="98">
        <v>0.45</v>
      </c>
      <c r="L57" s="89">
        <v>44196</v>
      </c>
      <c r="M57" s="35">
        <v>0.45</v>
      </c>
      <c r="N57" s="90">
        <v>44561</v>
      </c>
      <c r="O57" s="50">
        <v>0.3</v>
      </c>
      <c r="P57" s="90">
        <v>44926</v>
      </c>
      <c r="Q57" s="50">
        <v>0.27</v>
      </c>
      <c r="R57" s="90">
        <v>44742</v>
      </c>
      <c r="S57" s="50">
        <v>0.25</v>
      </c>
      <c r="T57" s="90">
        <v>44742</v>
      </c>
      <c r="U57" s="50">
        <v>0.39</v>
      </c>
      <c r="V57" s="90">
        <v>45107</v>
      </c>
      <c r="W57" s="50">
        <v>0.42</v>
      </c>
      <c r="X57" s="90">
        <v>45107</v>
      </c>
      <c r="Y57" s="50">
        <v>0.75975138343267379</v>
      </c>
      <c r="Z57" s="20"/>
      <c r="AA57" s="209"/>
      <c r="AC57" s="173"/>
    </row>
    <row r="58" spans="2:29" ht="15.75" customHeight="1" outlineLevel="1">
      <c r="B58"/>
      <c r="C58" s="20" t="s">
        <v>140</v>
      </c>
      <c r="D58" s="20" t="s">
        <v>331</v>
      </c>
      <c r="E58" s="20" t="s">
        <v>103</v>
      </c>
      <c r="F58" s="20" t="s">
        <v>179</v>
      </c>
      <c r="G58" s="20" t="s">
        <v>65</v>
      </c>
      <c r="H58" s="89">
        <v>44196</v>
      </c>
      <c r="I58" s="35">
        <v>0.42</v>
      </c>
      <c r="J58" s="89">
        <v>44196</v>
      </c>
      <c r="K58" s="98">
        <v>0.42</v>
      </c>
      <c r="L58" s="89">
        <v>44196</v>
      </c>
      <c r="M58" s="35">
        <v>0.42</v>
      </c>
      <c r="N58" s="90">
        <v>44561</v>
      </c>
      <c r="O58" s="50">
        <v>0.3</v>
      </c>
      <c r="P58" s="90">
        <v>44926</v>
      </c>
      <c r="Q58" s="50">
        <v>0.28000000000000003</v>
      </c>
      <c r="R58" s="90">
        <v>44742</v>
      </c>
      <c r="S58" s="50">
        <v>0.32</v>
      </c>
      <c r="T58" s="90">
        <v>44742</v>
      </c>
      <c r="U58" s="50">
        <v>0.46</v>
      </c>
      <c r="V58" s="90">
        <v>45107</v>
      </c>
      <c r="W58" s="50">
        <v>0.39</v>
      </c>
      <c r="X58" s="90">
        <v>45107</v>
      </c>
      <c r="Y58" s="50">
        <v>0.77200647873025952</v>
      </c>
      <c r="Z58" s="20"/>
      <c r="AA58" s="209"/>
      <c r="AC58" s="173"/>
    </row>
    <row r="59" spans="2:29" ht="15.75" customHeight="1" outlineLevel="1">
      <c r="B59"/>
      <c r="C59" s="20" t="s">
        <v>140</v>
      </c>
      <c r="D59" s="20" t="s">
        <v>332</v>
      </c>
      <c r="E59" s="20" t="s">
        <v>103</v>
      </c>
      <c r="F59" s="20" t="s">
        <v>179</v>
      </c>
      <c r="G59" s="20" t="s">
        <v>65</v>
      </c>
      <c r="H59" s="89">
        <v>44196</v>
      </c>
      <c r="I59" s="35">
        <v>0.49</v>
      </c>
      <c r="J59" s="89">
        <v>44196</v>
      </c>
      <c r="K59" s="98">
        <v>0.49</v>
      </c>
      <c r="L59" s="89">
        <v>44196</v>
      </c>
      <c r="M59" s="35">
        <v>0.49</v>
      </c>
      <c r="N59" s="90">
        <v>44561</v>
      </c>
      <c r="O59" s="50">
        <v>0.33</v>
      </c>
      <c r="P59" s="90">
        <v>44926</v>
      </c>
      <c r="Q59" s="50">
        <v>0.3</v>
      </c>
      <c r="R59" s="90">
        <v>44742</v>
      </c>
      <c r="S59" s="50">
        <v>0.31</v>
      </c>
      <c r="T59" s="90">
        <v>44742</v>
      </c>
      <c r="U59" s="50">
        <v>0.48</v>
      </c>
      <c r="V59" s="90">
        <v>45107</v>
      </c>
      <c r="W59" s="50">
        <v>0.38</v>
      </c>
      <c r="X59" s="90">
        <v>45107</v>
      </c>
      <c r="Y59" s="50">
        <v>0.72106076586370949</v>
      </c>
      <c r="Z59" s="20"/>
      <c r="AA59" s="209"/>
      <c r="AC59" s="173"/>
    </row>
    <row r="60" spans="2:29" ht="15.75" customHeight="1" outlineLevel="1">
      <c r="B60"/>
      <c r="C60" s="20" t="s">
        <v>140</v>
      </c>
      <c r="D60" s="20" t="s">
        <v>333</v>
      </c>
      <c r="E60" s="20" t="s">
        <v>103</v>
      </c>
      <c r="F60" s="20" t="s">
        <v>179</v>
      </c>
      <c r="G60" s="20" t="s">
        <v>66</v>
      </c>
      <c r="H60" s="89">
        <v>44196</v>
      </c>
      <c r="I60" s="35">
        <v>82.28</v>
      </c>
      <c r="J60" s="89">
        <v>44196</v>
      </c>
      <c r="K60" s="98">
        <v>82.28</v>
      </c>
      <c r="L60" s="89">
        <v>44196</v>
      </c>
      <c r="M60" s="35">
        <v>82.28</v>
      </c>
      <c r="N60" s="90">
        <v>44561</v>
      </c>
      <c r="O60" s="50">
        <v>62.64</v>
      </c>
      <c r="P60" s="90">
        <v>44926</v>
      </c>
      <c r="Q60" s="50">
        <v>62.76</v>
      </c>
      <c r="R60" s="90">
        <v>44742</v>
      </c>
      <c r="S60" s="50">
        <v>64.87</v>
      </c>
      <c r="T60" s="90">
        <v>44742</v>
      </c>
      <c r="U60" s="50">
        <v>70.17</v>
      </c>
      <c r="V60" s="90">
        <v>45107</v>
      </c>
      <c r="W60" s="50">
        <v>130.16</v>
      </c>
      <c r="X60" s="90">
        <v>45107</v>
      </c>
      <c r="Y60" s="50">
        <v>127.99318301307451</v>
      </c>
      <c r="Z60" s="20"/>
      <c r="AA60" s="209"/>
      <c r="AC60" s="173"/>
    </row>
    <row r="61" spans="2:29" ht="15.75" customHeight="1" outlineLevel="1">
      <c r="B61"/>
      <c r="C61" s="20" t="s">
        <v>140</v>
      </c>
      <c r="D61" s="20" t="s">
        <v>334</v>
      </c>
      <c r="E61" s="20" t="s">
        <v>103</v>
      </c>
      <c r="F61" s="20" t="s">
        <v>179</v>
      </c>
      <c r="G61" s="20" t="s">
        <v>66</v>
      </c>
      <c r="H61" s="89">
        <v>44196</v>
      </c>
      <c r="I61" s="35">
        <v>85.08</v>
      </c>
      <c r="J61" s="89">
        <v>44196</v>
      </c>
      <c r="K61" s="98">
        <v>85.08</v>
      </c>
      <c r="L61" s="89">
        <v>44196</v>
      </c>
      <c r="M61" s="35">
        <v>85.08</v>
      </c>
      <c r="N61" s="90">
        <v>44561</v>
      </c>
      <c r="O61" s="50">
        <v>63.9</v>
      </c>
      <c r="P61" s="90">
        <v>44926</v>
      </c>
      <c r="Q61" s="50">
        <v>63.89</v>
      </c>
      <c r="R61" s="90">
        <v>44742</v>
      </c>
      <c r="S61" s="50">
        <v>66.540000000000006</v>
      </c>
      <c r="T61" s="90">
        <v>44742</v>
      </c>
      <c r="U61" s="50">
        <v>70.16</v>
      </c>
      <c r="V61" s="90">
        <v>45107</v>
      </c>
      <c r="W61" s="50">
        <v>128.35</v>
      </c>
      <c r="X61" s="90">
        <v>45107</v>
      </c>
      <c r="Y61" s="50">
        <v>125.81685844288594</v>
      </c>
      <c r="Z61" s="20"/>
      <c r="AA61" s="209"/>
      <c r="AC61" s="173"/>
    </row>
    <row r="62" spans="2:29" outlineLevel="1">
      <c r="B62"/>
      <c r="C62" s="20" t="s">
        <v>140</v>
      </c>
      <c r="D62" s="20" t="s">
        <v>335</v>
      </c>
      <c r="E62" s="20" t="s">
        <v>103</v>
      </c>
      <c r="F62" s="20" t="s">
        <v>179</v>
      </c>
      <c r="G62" s="20" t="s">
        <v>66</v>
      </c>
      <c r="H62" s="89">
        <v>44196</v>
      </c>
      <c r="I62" s="35">
        <v>84.51</v>
      </c>
      <c r="J62" s="89">
        <v>44196</v>
      </c>
      <c r="K62" s="98">
        <v>84.51</v>
      </c>
      <c r="L62" s="89">
        <v>44196</v>
      </c>
      <c r="M62" s="35">
        <v>84.51</v>
      </c>
      <c r="N62" s="90">
        <v>44561</v>
      </c>
      <c r="O62" s="50">
        <v>63.96</v>
      </c>
      <c r="P62" s="90">
        <v>44926</v>
      </c>
      <c r="Q62" s="50">
        <v>63.96</v>
      </c>
      <c r="R62" s="90">
        <v>44742</v>
      </c>
      <c r="S62" s="50">
        <v>65.7</v>
      </c>
      <c r="T62" s="90">
        <v>44742</v>
      </c>
      <c r="U62" s="50">
        <v>68.78</v>
      </c>
      <c r="V62" s="90">
        <v>45107</v>
      </c>
      <c r="W62" s="50">
        <v>131.53</v>
      </c>
      <c r="X62" s="90">
        <v>45107</v>
      </c>
      <c r="Y62" s="50">
        <v>129.5909934656539</v>
      </c>
      <c r="Z62" s="20"/>
      <c r="AC62" s="173"/>
    </row>
    <row r="63" spans="2:29" outlineLevel="1">
      <c r="B63"/>
      <c r="C63" s="20" t="s">
        <v>140</v>
      </c>
      <c r="D63" s="20" t="s">
        <v>336</v>
      </c>
      <c r="E63" s="20" t="s">
        <v>103</v>
      </c>
      <c r="F63" s="20" t="s">
        <v>179</v>
      </c>
      <c r="G63" s="20" t="s">
        <v>66</v>
      </c>
      <c r="H63" s="89">
        <v>44196</v>
      </c>
      <c r="I63" s="35">
        <v>80.11</v>
      </c>
      <c r="J63" s="89">
        <v>44196</v>
      </c>
      <c r="K63" s="98">
        <v>80.11</v>
      </c>
      <c r="L63" s="89">
        <v>44196</v>
      </c>
      <c r="M63" s="35">
        <v>80.11</v>
      </c>
      <c r="N63" s="90">
        <v>44561</v>
      </c>
      <c r="O63" s="50">
        <v>60.92</v>
      </c>
      <c r="P63" s="90">
        <v>44926</v>
      </c>
      <c r="Q63" s="50">
        <v>61.05</v>
      </c>
      <c r="R63" s="90">
        <v>44742</v>
      </c>
      <c r="S63" s="50">
        <v>63.68</v>
      </c>
      <c r="T63" s="90">
        <v>44742</v>
      </c>
      <c r="U63" s="50">
        <v>69.63</v>
      </c>
      <c r="V63" s="90">
        <v>45107</v>
      </c>
      <c r="W63" s="50">
        <v>126.71</v>
      </c>
      <c r="X63" s="90">
        <v>45107</v>
      </c>
      <c r="Y63" s="50">
        <v>124.83628413435757</v>
      </c>
      <c r="Z63" s="20"/>
      <c r="AC63" s="173"/>
    </row>
    <row r="64" spans="2:29" outlineLevel="1">
      <c r="B64"/>
      <c r="C64" s="20" t="s">
        <v>140</v>
      </c>
      <c r="D64" s="20" t="s">
        <v>337</v>
      </c>
      <c r="E64" s="20" t="s">
        <v>103</v>
      </c>
      <c r="F64" s="20" t="s">
        <v>179</v>
      </c>
      <c r="G64" s="20" t="s">
        <v>66</v>
      </c>
      <c r="H64" s="89">
        <v>44196</v>
      </c>
      <c r="I64" s="35">
        <v>86.63</v>
      </c>
      <c r="J64" s="89">
        <v>44196</v>
      </c>
      <c r="K64" s="98">
        <v>86.63</v>
      </c>
      <c r="L64" s="89">
        <v>44196</v>
      </c>
      <c r="M64" s="35">
        <v>86.63</v>
      </c>
      <c r="N64" s="90">
        <v>44561</v>
      </c>
      <c r="O64" s="50">
        <v>65.260000000000005</v>
      </c>
      <c r="P64" s="90">
        <v>44926</v>
      </c>
      <c r="Q64" s="50">
        <v>65.22</v>
      </c>
      <c r="R64" s="90">
        <v>44742</v>
      </c>
      <c r="S64" s="50">
        <v>66.55</v>
      </c>
      <c r="T64" s="90">
        <v>44742</v>
      </c>
      <c r="U64" s="50">
        <v>68.95</v>
      </c>
      <c r="V64" s="90">
        <v>45107</v>
      </c>
      <c r="W64" s="50">
        <v>131.87</v>
      </c>
      <c r="X64" s="90">
        <v>45107</v>
      </c>
      <c r="Y64" s="50">
        <v>129.74650834657041</v>
      </c>
      <c r="Z64" s="20"/>
      <c r="AC64" s="173"/>
    </row>
    <row r="65" spans="2:29" outlineLevel="1">
      <c r="B65"/>
      <c r="C65" s="20" t="s">
        <v>140</v>
      </c>
      <c r="D65" s="20" t="s">
        <v>338</v>
      </c>
      <c r="E65" s="20" t="s">
        <v>103</v>
      </c>
      <c r="F65" s="20" t="s">
        <v>179</v>
      </c>
      <c r="G65" s="20" t="s">
        <v>66</v>
      </c>
      <c r="H65" s="89">
        <v>44196</v>
      </c>
      <c r="I65" s="35">
        <v>0.34</v>
      </c>
      <c r="J65" s="89">
        <v>44196</v>
      </c>
      <c r="K65" s="98">
        <v>0.34</v>
      </c>
      <c r="L65" s="89">
        <v>44196</v>
      </c>
      <c r="M65" s="35">
        <v>0.34</v>
      </c>
      <c r="N65" s="90">
        <v>44561</v>
      </c>
      <c r="O65" s="50">
        <v>0.24</v>
      </c>
      <c r="P65" s="90">
        <v>44926</v>
      </c>
      <c r="Q65" s="50">
        <v>0.23</v>
      </c>
      <c r="R65" s="90">
        <v>44742</v>
      </c>
      <c r="S65" s="50">
        <v>0.32</v>
      </c>
      <c r="T65" s="90">
        <v>44742</v>
      </c>
      <c r="U65" s="50">
        <v>0.44</v>
      </c>
      <c r="V65" s="90">
        <v>45107</v>
      </c>
      <c r="W65" s="50">
        <v>0.46</v>
      </c>
      <c r="X65" s="90">
        <v>45107</v>
      </c>
      <c r="Y65" s="50">
        <v>0.56983788306049488</v>
      </c>
      <c r="Z65" s="20"/>
      <c r="AC65" s="173"/>
    </row>
    <row r="66" spans="2:29" outlineLevel="1">
      <c r="B66"/>
      <c r="C66" s="20" t="s">
        <v>140</v>
      </c>
      <c r="D66" s="20" t="s">
        <v>339</v>
      </c>
      <c r="E66" s="20" t="s">
        <v>103</v>
      </c>
      <c r="F66" s="20" t="s">
        <v>179</v>
      </c>
      <c r="G66" s="20" t="s">
        <v>66</v>
      </c>
      <c r="H66" s="89">
        <v>44196</v>
      </c>
      <c r="I66" s="35">
        <v>0.4</v>
      </c>
      <c r="J66" s="89">
        <v>44196</v>
      </c>
      <c r="K66" s="98">
        <v>0.4</v>
      </c>
      <c r="L66" s="89">
        <v>44196</v>
      </c>
      <c r="M66" s="35">
        <v>0.4</v>
      </c>
      <c r="N66" s="90">
        <v>44561</v>
      </c>
      <c r="O66" s="50">
        <v>0.23</v>
      </c>
      <c r="P66" s="90">
        <v>44926</v>
      </c>
      <c r="Q66" s="50">
        <v>0.22</v>
      </c>
      <c r="R66" s="90">
        <v>44742</v>
      </c>
      <c r="S66" s="50">
        <v>0.44</v>
      </c>
      <c r="T66" s="90">
        <v>44742</v>
      </c>
      <c r="U66" s="50">
        <v>0.5</v>
      </c>
      <c r="V66" s="90">
        <v>45107</v>
      </c>
      <c r="W66" s="50">
        <v>0.49</v>
      </c>
      <c r="X66" s="90">
        <v>45107</v>
      </c>
      <c r="Y66" s="50">
        <v>0.66754117444073446</v>
      </c>
      <c r="Z66" s="20"/>
      <c r="AC66" s="173"/>
    </row>
    <row r="67" spans="2:29" outlineLevel="1">
      <c r="B67"/>
      <c r="C67" s="20" t="s">
        <v>140</v>
      </c>
      <c r="D67" s="20" t="s">
        <v>340</v>
      </c>
      <c r="E67" s="20" t="s">
        <v>103</v>
      </c>
      <c r="F67" s="20" t="s">
        <v>179</v>
      </c>
      <c r="G67" s="20" t="s">
        <v>66</v>
      </c>
      <c r="H67" s="89">
        <v>44196</v>
      </c>
      <c r="I67" s="35">
        <v>0.36</v>
      </c>
      <c r="J67" s="89">
        <v>44196</v>
      </c>
      <c r="K67" s="98">
        <v>0.36</v>
      </c>
      <c r="L67" s="89">
        <v>44196</v>
      </c>
      <c r="M67" s="35">
        <v>0.36</v>
      </c>
      <c r="N67" s="90">
        <v>44561</v>
      </c>
      <c r="O67" s="50">
        <v>0.23</v>
      </c>
      <c r="P67" s="90">
        <v>44926</v>
      </c>
      <c r="Q67" s="50">
        <v>0.22</v>
      </c>
      <c r="R67" s="90">
        <v>44742</v>
      </c>
      <c r="S67" s="50">
        <v>0.41</v>
      </c>
      <c r="T67" s="90">
        <v>44742</v>
      </c>
      <c r="U67" s="50">
        <v>0.55000000000000004</v>
      </c>
      <c r="V67" s="90">
        <v>45107</v>
      </c>
      <c r="W67" s="50">
        <v>0.54</v>
      </c>
      <c r="X67" s="90">
        <v>45107</v>
      </c>
      <c r="Y67" s="50">
        <v>0.61921571486875526</v>
      </c>
      <c r="Z67" s="20"/>
      <c r="AC67" s="173"/>
    </row>
    <row r="68" spans="2:29" outlineLevel="1">
      <c r="B68"/>
      <c r="C68" s="20" t="s">
        <v>140</v>
      </c>
      <c r="D68" s="20" t="s">
        <v>341</v>
      </c>
      <c r="E68" s="20" t="s">
        <v>103</v>
      </c>
      <c r="F68" s="20" t="s">
        <v>179</v>
      </c>
      <c r="G68" s="20" t="s">
        <v>66</v>
      </c>
      <c r="H68" s="89">
        <v>44196</v>
      </c>
      <c r="I68" s="35">
        <v>0.31</v>
      </c>
      <c r="J68" s="89">
        <v>44196</v>
      </c>
      <c r="K68" s="98">
        <v>0.31</v>
      </c>
      <c r="L68" s="89">
        <v>44196</v>
      </c>
      <c r="M68" s="35">
        <v>0.31</v>
      </c>
      <c r="N68" s="90">
        <v>44561</v>
      </c>
      <c r="O68" s="50">
        <v>0.19</v>
      </c>
      <c r="P68" s="90">
        <v>44926</v>
      </c>
      <c r="Q68" s="50">
        <v>0.18</v>
      </c>
      <c r="R68" s="90">
        <v>44742</v>
      </c>
      <c r="S68" s="50">
        <v>0.31</v>
      </c>
      <c r="T68" s="90">
        <v>44742</v>
      </c>
      <c r="U68" s="50">
        <v>0.44</v>
      </c>
      <c r="V68" s="90">
        <v>45107</v>
      </c>
      <c r="W68" s="50">
        <v>0.45</v>
      </c>
      <c r="X68" s="90">
        <v>45107</v>
      </c>
      <c r="Y68" s="50">
        <v>0.64465204102732077</v>
      </c>
      <c r="Z68" s="20"/>
      <c r="AC68" s="173"/>
    </row>
    <row r="69" spans="2:29" outlineLevel="1">
      <c r="B69"/>
      <c r="C69" s="20" t="s">
        <v>140</v>
      </c>
      <c r="D69" s="20" t="s">
        <v>342</v>
      </c>
      <c r="E69" s="20" t="s">
        <v>103</v>
      </c>
      <c r="F69" s="20" t="s">
        <v>179</v>
      </c>
      <c r="G69" s="20" t="s">
        <v>66</v>
      </c>
      <c r="H69" s="89">
        <v>44196</v>
      </c>
      <c r="I69" s="35">
        <v>0.41</v>
      </c>
      <c r="J69" s="89">
        <v>44196</v>
      </c>
      <c r="K69" s="98">
        <v>0.41</v>
      </c>
      <c r="L69" s="89">
        <v>44196</v>
      </c>
      <c r="M69" s="35">
        <v>0.41</v>
      </c>
      <c r="N69" s="90">
        <v>44561</v>
      </c>
      <c r="O69" s="50">
        <v>0.24</v>
      </c>
      <c r="P69" s="90">
        <v>44926</v>
      </c>
      <c r="Q69" s="50">
        <v>0.23</v>
      </c>
      <c r="R69" s="90">
        <v>44742</v>
      </c>
      <c r="S69" s="50">
        <v>0.45</v>
      </c>
      <c r="T69" s="90">
        <v>44742</v>
      </c>
      <c r="U69" s="50">
        <v>0.59</v>
      </c>
      <c r="V69" s="90">
        <v>45107</v>
      </c>
      <c r="W69" s="50">
        <v>0.57999999999999996</v>
      </c>
      <c r="X69" s="90">
        <v>45107</v>
      </c>
      <c r="Y69" s="50">
        <v>0.62903452585661535</v>
      </c>
      <c r="Z69" s="20"/>
      <c r="AC69" s="173"/>
    </row>
    <row r="70" spans="2:29" outlineLevel="1">
      <c r="B70"/>
      <c r="C70" s="20" t="s">
        <v>82</v>
      </c>
      <c r="D70" s="20" t="s">
        <v>149</v>
      </c>
      <c r="E70" s="20" t="s">
        <v>103</v>
      </c>
      <c r="F70" s="20" t="s">
        <v>150</v>
      </c>
      <c r="G70" s="20" t="s">
        <v>91</v>
      </c>
      <c r="H70" s="89">
        <v>44104</v>
      </c>
      <c r="I70" s="35">
        <v>32.379354863483861</v>
      </c>
      <c r="J70" s="89">
        <v>44104</v>
      </c>
      <c r="K70" s="98">
        <v>32.379354863483861</v>
      </c>
      <c r="L70" s="89">
        <v>44104</v>
      </c>
      <c r="M70" s="35">
        <v>32.379354863483861</v>
      </c>
      <c r="N70" s="90">
        <v>44377</v>
      </c>
      <c r="O70" s="50">
        <v>49.642986107494764</v>
      </c>
      <c r="P70" s="90">
        <v>44377</v>
      </c>
      <c r="Q70" s="184">
        <v>56.939318273848677</v>
      </c>
      <c r="R70" s="90">
        <v>44742</v>
      </c>
      <c r="S70" s="50">
        <v>74.135088797592729</v>
      </c>
      <c r="T70" s="90">
        <v>44742</v>
      </c>
      <c r="U70" s="50">
        <v>73.624003962523105</v>
      </c>
      <c r="V70" s="90">
        <v>45107</v>
      </c>
      <c r="W70" s="50">
        <v>69.000004115230098</v>
      </c>
      <c r="X70" s="90">
        <v>45107</v>
      </c>
      <c r="Y70" s="50">
        <v>68.562227396360115</v>
      </c>
      <c r="Z70" s="20"/>
      <c r="AC70" s="173"/>
    </row>
    <row r="71" spans="2:29" outlineLevel="1">
      <c r="B71"/>
      <c r="C71" s="20" t="s">
        <v>82</v>
      </c>
      <c r="D71" s="20" t="s">
        <v>155</v>
      </c>
      <c r="E71" s="20" t="s">
        <v>103</v>
      </c>
      <c r="F71" s="20" t="s">
        <v>150</v>
      </c>
      <c r="G71" s="20" t="s">
        <v>91</v>
      </c>
      <c r="H71" s="89">
        <v>44196</v>
      </c>
      <c r="I71" s="35">
        <v>35.75</v>
      </c>
      <c r="J71" s="89">
        <v>44196</v>
      </c>
      <c r="K71" s="98">
        <v>35.75</v>
      </c>
      <c r="L71" s="89">
        <v>44196</v>
      </c>
      <c r="M71" s="35">
        <v>35.75</v>
      </c>
      <c r="N71" s="90">
        <v>44561</v>
      </c>
      <c r="O71" s="50">
        <v>34.01</v>
      </c>
      <c r="P71" s="90">
        <v>44561</v>
      </c>
      <c r="Q71" s="50">
        <v>34.44</v>
      </c>
      <c r="R71" s="90">
        <v>44742</v>
      </c>
      <c r="S71" s="50">
        <v>40.28</v>
      </c>
      <c r="T71" s="90">
        <v>44742</v>
      </c>
      <c r="U71" s="50">
        <v>35.46</v>
      </c>
      <c r="V71" s="90">
        <v>45107</v>
      </c>
      <c r="W71" s="50">
        <v>54.66</v>
      </c>
      <c r="X71" s="90">
        <v>45107</v>
      </c>
      <c r="Y71" s="50">
        <v>54.83</v>
      </c>
      <c r="Z71" s="20"/>
      <c r="AC71" s="173"/>
    </row>
    <row r="72" spans="2:29" outlineLevel="1">
      <c r="B72"/>
      <c r="C72" s="20" t="s">
        <v>82</v>
      </c>
      <c r="D72" s="20" t="s">
        <v>159</v>
      </c>
      <c r="E72" s="20" t="s">
        <v>103</v>
      </c>
      <c r="F72" s="20" t="s">
        <v>150</v>
      </c>
      <c r="G72" s="20" t="s">
        <v>91</v>
      </c>
      <c r="H72" s="89">
        <v>44196</v>
      </c>
      <c r="I72" s="35">
        <v>40</v>
      </c>
      <c r="J72" s="89">
        <v>44196</v>
      </c>
      <c r="K72" s="98">
        <v>40</v>
      </c>
      <c r="L72" s="89">
        <v>44196</v>
      </c>
      <c r="M72" s="35">
        <v>40</v>
      </c>
      <c r="N72" s="90">
        <v>44561</v>
      </c>
      <c r="O72" s="50">
        <v>40</v>
      </c>
      <c r="P72" s="90">
        <v>44561</v>
      </c>
      <c r="Q72" s="50">
        <v>40</v>
      </c>
      <c r="R72" s="90">
        <v>44742</v>
      </c>
      <c r="S72" s="57">
        <v>40</v>
      </c>
      <c r="T72" s="90">
        <v>44742</v>
      </c>
      <c r="U72" s="50">
        <v>40</v>
      </c>
      <c r="V72" s="90">
        <v>45107</v>
      </c>
      <c r="W72" s="50">
        <v>40</v>
      </c>
      <c r="X72" s="90">
        <v>45107</v>
      </c>
      <c r="Y72" s="50">
        <v>40</v>
      </c>
      <c r="Z72" s="20"/>
      <c r="AC72" s="173"/>
    </row>
    <row r="73" spans="2:29" outlineLevel="1">
      <c r="B73"/>
      <c r="C73" s="20" t="s">
        <v>82</v>
      </c>
      <c r="D73" s="20" t="s">
        <v>151</v>
      </c>
      <c r="E73" s="20" t="s">
        <v>103</v>
      </c>
      <c r="F73" s="20" t="s">
        <v>152</v>
      </c>
      <c r="G73" s="20" t="s">
        <v>91</v>
      </c>
      <c r="H73" s="89" t="s">
        <v>39</v>
      </c>
      <c r="I73" s="35">
        <v>0.17255000000000001</v>
      </c>
      <c r="J73" s="89" t="s">
        <v>39</v>
      </c>
      <c r="K73" s="158">
        <v>0.17255000000000001</v>
      </c>
      <c r="L73" s="89" t="s">
        <v>39</v>
      </c>
      <c r="M73" s="35">
        <v>0.17255000000000001</v>
      </c>
      <c r="N73" s="90" t="s">
        <v>39</v>
      </c>
      <c r="O73" s="50">
        <v>0.17255000000000001</v>
      </c>
      <c r="P73" s="90" t="s">
        <v>39</v>
      </c>
      <c r="Q73" s="159">
        <v>0.17255000000000001</v>
      </c>
      <c r="R73" s="90" t="s">
        <v>39</v>
      </c>
      <c r="S73" s="50">
        <v>0.16113</v>
      </c>
      <c r="T73" s="90" t="s">
        <v>39</v>
      </c>
      <c r="U73" s="50">
        <v>0.16113</v>
      </c>
      <c r="V73" s="90">
        <v>45107</v>
      </c>
      <c r="W73" s="50">
        <v>0.16306999999999999</v>
      </c>
      <c r="X73" s="90">
        <v>45107</v>
      </c>
      <c r="Y73" s="50">
        <v>0.16306999999999999</v>
      </c>
      <c r="Z73" s="20"/>
      <c r="AC73" s="173"/>
    </row>
    <row r="74" spans="2:29" outlineLevel="1">
      <c r="B74"/>
      <c r="C74" s="20" t="s">
        <v>82</v>
      </c>
      <c r="D74" s="20" t="s">
        <v>156</v>
      </c>
      <c r="E74" s="20" t="s">
        <v>103</v>
      </c>
      <c r="F74" s="20" t="s">
        <v>152</v>
      </c>
      <c r="G74" s="20" t="s">
        <v>91</v>
      </c>
      <c r="H74" s="89" t="s">
        <v>39</v>
      </c>
      <c r="I74" s="35">
        <v>0.1883</v>
      </c>
      <c r="J74" s="89" t="s">
        <v>39</v>
      </c>
      <c r="K74" s="35">
        <v>0.1883</v>
      </c>
      <c r="L74" s="89" t="s">
        <v>39</v>
      </c>
      <c r="M74" s="35">
        <v>0.1883</v>
      </c>
      <c r="N74" s="90" t="s">
        <v>39</v>
      </c>
      <c r="O74" s="50">
        <v>0.18540000000000001</v>
      </c>
      <c r="P74" s="90" t="s">
        <v>39</v>
      </c>
      <c r="Q74" s="50">
        <v>0.18540000000000001</v>
      </c>
      <c r="R74" s="90">
        <v>44742</v>
      </c>
      <c r="S74" s="50">
        <v>0.18640000000000001</v>
      </c>
      <c r="T74" s="90">
        <v>44742</v>
      </c>
      <c r="U74" s="50">
        <v>0.18640000000000001</v>
      </c>
      <c r="V74" s="90">
        <v>45107</v>
      </c>
      <c r="W74" s="50">
        <v>0.18959999999999999</v>
      </c>
      <c r="X74" s="90">
        <v>45107</v>
      </c>
      <c r="Y74" s="50">
        <v>0.18959999999999999</v>
      </c>
      <c r="Z74" s="20"/>
      <c r="AC74" s="173"/>
    </row>
    <row r="75" spans="2:29" hidden="1" outlineLevel="1">
      <c r="B75"/>
      <c r="C75" s="20" t="s">
        <v>82</v>
      </c>
      <c r="D75" s="20" t="s">
        <v>343</v>
      </c>
      <c r="E75" s="20" t="s">
        <v>103</v>
      </c>
      <c r="F75" s="20" t="s">
        <v>152</v>
      </c>
      <c r="G75" s="20" t="s">
        <v>91</v>
      </c>
      <c r="H75" s="89" t="s">
        <v>39</v>
      </c>
      <c r="I75" s="35">
        <v>-1.0655881611320278E-2</v>
      </c>
      <c r="J75" s="89" t="s">
        <v>39</v>
      </c>
      <c r="K75" s="35">
        <v>-1.0655881611320278E-2</v>
      </c>
      <c r="L75" s="89" t="s">
        <v>39</v>
      </c>
      <c r="M75" s="35">
        <v>-1.0655881611320278E-2</v>
      </c>
      <c r="N75" s="90" t="s">
        <v>39</v>
      </c>
      <c r="O75" s="50" t="s">
        <v>39</v>
      </c>
      <c r="P75" s="90" t="s">
        <v>39</v>
      </c>
      <c r="Q75" s="50" t="s">
        <v>39</v>
      </c>
      <c r="R75" s="90" t="s">
        <v>39</v>
      </c>
      <c r="S75" s="50">
        <v>0</v>
      </c>
      <c r="T75" s="90" t="s">
        <v>39</v>
      </c>
      <c r="U75" s="50">
        <v>0</v>
      </c>
      <c r="V75" s="90" t="s">
        <v>39</v>
      </c>
      <c r="W75" s="50">
        <v>0</v>
      </c>
      <c r="X75" s="90" t="s">
        <v>39</v>
      </c>
      <c r="Y75" s="50">
        <v>0</v>
      </c>
      <c r="Z75" s="20"/>
      <c r="AC75" s="173"/>
    </row>
    <row r="76" spans="2:29" outlineLevel="1">
      <c r="B76"/>
      <c r="C76" s="20" t="s">
        <v>82</v>
      </c>
      <c r="D76" s="20" t="s">
        <v>160</v>
      </c>
      <c r="E76" s="20" t="s">
        <v>103</v>
      </c>
      <c r="F76" s="20" t="s">
        <v>152</v>
      </c>
      <c r="G76" s="20" t="s">
        <v>91</v>
      </c>
      <c r="H76" s="89" t="s">
        <v>39</v>
      </c>
      <c r="I76" s="35">
        <v>0.219</v>
      </c>
      <c r="J76" s="89" t="s">
        <v>39</v>
      </c>
      <c r="K76" s="35">
        <v>0.219</v>
      </c>
      <c r="L76" s="89" t="s">
        <v>39</v>
      </c>
      <c r="M76" s="35">
        <v>0.219</v>
      </c>
      <c r="N76" s="90" t="s">
        <v>39</v>
      </c>
      <c r="O76" s="50">
        <v>0.25600000000000001</v>
      </c>
      <c r="P76" s="90" t="s">
        <v>39</v>
      </c>
      <c r="Q76" s="50">
        <v>0.25600000000000001</v>
      </c>
      <c r="R76" s="90">
        <v>44742</v>
      </c>
      <c r="S76" s="50">
        <v>0.248</v>
      </c>
      <c r="T76" s="90">
        <v>44742</v>
      </c>
      <c r="U76" s="50">
        <v>0.248</v>
      </c>
      <c r="V76" s="90">
        <v>45107</v>
      </c>
      <c r="W76" s="50">
        <v>0.1714</v>
      </c>
      <c r="X76" s="90">
        <v>45107</v>
      </c>
      <c r="Y76" s="50">
        <v>0.1714</v>
      </c>
      <c r="Z76" s="20"/>
      <c r="AC76" s="173"/>
    </row>
    <row r="77" spans="2:29" hidden="1" outlineLevel="1">
      <c r="B77"/>
      <c r="C77" s="20" t="s">
        <v>82</v>
      </c>
      <c r="D77" s="20" t="s">
        <v>344</v>
      </c>
      <c r="E77" s="20" t="s">
        <v>103</v>
      </c>
      <c r="F77" s="20" t="s">
        <v>152</v>
      </c>
      <c r="G77" s="20" t="s">
        <v>91</v>
      </c>
      <c r="H77" s="89" t="s">
        <v>39</v>
      </c>
      <c r="I77" s="35">
        <v>6.25E-2</v>
      </c>
      <c r="J77" s="89" t="s">
        <v>39</v>
      </c>
      <c r="K77" s="35">
        <v>6.25E-2</v>
      </c>
      <c r="L77" s="89" t="s">
        <v>39</v>
      </c>
      <c r="M77" s="35">
        <v>6.25E-2</v>
      </c>
      <c r="N77" s="90" t="s">
        <v>39</v>
      </c>
      <c r="O77" s="50" t="s">
        <v>39</v>
      </c>
      <c r="P77" s="90" t="s">
        <v>39</v>
      </c>
      <c r="Q77" s="50" t="s">
        <v>39</v>
      </c>
      <c r="R77" s="90" t="s">
        <v>39</v>
      </c>
      <c r="S77" s="50">
        <v>0</v>
      </c>
      <c r="T77" s="90" t="s">
        <v>39</v>
      </c>
      <c r="U77" s="50">
        <v>0</v>
      </c>
      <c r="V77" s="90" t="s">
        <v>39</v>
      </c>
      <c r="W77" s="50">
        <v>0</v>
      </c>
      <c r="X77" s="90" t="s">
        <v>39</v>
      </c>
      <c r="Y77" s="50">
        <v>0</v>
      </c>
      <c r="Z77" s="20"/>
      <c r="AC77" s="173"/>
    </row>
    <row r="78" spans="2:29" outlineLevel="1">
      <c r="B78"/>
      <c r="C78" s="20" t="s">
        <v>92</v>
      </c>
      <c r="D78" s="20" t="s">
        <v>124</v>
      </c>
      <c r="E78" s="20" t="s">
        <v>103</v>
      </c>
      <c r="F78" s="20" t="s">
        <v>179</v>
      </c>
      <c r="G78" s="20" t="s">
        <v>91</v>
      </c>
      <c r="H78" s="89">
        <v>44012</v>
      </c>
      <c r="I78" s="35">
        <v>0.36799999999999999</v>
      </c>
      <c r="J78" s="89">
        <v>44012</v>
      </c>
      <c r="K78" s="98">
        <v>0.36799999999999999</v>
      </c>
      <c r="L78" s="89">
        <v>44012</v>
      </c>
      <c r="M78" s="35">
        <v>0.36799999999999999</v>
      </c>
      <c r="N78" s="90">
        <v>44377</v>
      </c>
      <c r="O78" s="50">
        <v>0.40001999999999999</v>
      </c>
      <c r="P78" s="90">
        <v>44377</v>
      </c>
      <c r="Q78" s="183">
        <v>0.40001999999999999</v>
      </c>
      <c r="R78" s="90">
        <v>44377</v>
      </c>
      <c r="S78" s="183">
        <v>0.40001999999999999</v>
      </c>
      <c r="T78" s="90">
        <v>44742</v>
      </c>
      <c r="U78" s="50">
        <v>0.75403769999999992</v>
      </c>
      <c r="V78" s="90">
        <v>45107</v>
      </c>
      <c r="W78" s="159">
        <v>0.78793000000000002</v>
      </c>
      <c r="X78" s="90">
        <v>45107</v>
      </c>
      <c r="Y78" s="159">
        <v>0.28255000000000002</v>
      </c>
      <c r="Z78" s="20"/>
      <c r="AC78" s="173"/>
    </row>
    <row r="79" spans="2:29" hidden="1" outlineLevel="1">
      <c r="B79"/>
      <c r="C79" s="20" t="s">
        <v>92</v>
      </c>
      <c r="D79" s="20" t="s">
        <v>345</v>
      </c>
      <c r="E79" s="20" t="s">
        <v>103</v>
      </c>
      <c r="F79" s="20" t="s">
        <v>179</v>
      </c>
      <c r="G79" s="20" t="s">
        <v>91</v>
      </c>
      <c r="H79" s="89" t="s">
        <v>39</v>
      </c>
      <c r="I79" s="35" t="s">
        <v>39</v>
      </c>
      <c r="J79" s="89" t="s">
        <v>39</v>
      </c>
      <c r="K79" s="98" t="s">
        <v>39</v>
      </c>
      <c r="L79" s="89" t="s">
        <v>39</v>
      </c>
      <c r="M79" s="35" t="s">
        <v>39</v>
      </c>
      <c r="N79" s="90" t="s">
        <v>39</v>
      </c>
      <c r="O79" s="50" t="s">
        <v>39</v>
      </c>
      <c r="P79" s="90" t="s">
        <v>39</v>
      </c>
      <c r="Q79" s="50" t="s">
        <v>39</v>
      </c>
      <c r="R79" s="90" t="s">
        <v>39</v>
      </c>
      <c r="S79" s="50">
        <v>0</v>
      </c>
      <c r="T79" s="90" t="s">
        <v>39</v>
      </c>
      <c r="U79" s="50">
        <v>0</v>
      </c>
      <c r="V79" s="90" t="s">
        <v>39</v>
      </c>
      <c r="W79" s="50">
        <v>0</v>
      </c>
      <c r="X79" s="90" t="s">
        <v>39</v>
      </c>
      <c r="Y79" s="50">
        <v>0</v>
      </c>
      <c r="Z79" s="20"/>
      <c r="AC79" s="173"/>
    </row>
    <row r="80" spans="2:29" outlineLevel="1">
      <c r="B80"/>
      <c r="C80" s="20" t="s">
        <v>92</v>
      </c>
      <c r="D80" s="20" t="s">
        <v>135</v>
      </c>
      <c r="E80" s="20" t="s">
        <v>103</v>
      </c>
      <c r="F80" s="20" t="s">
        <v>179</v>
      </c>
      <c r="G80" s="20" t="s">
        <v>91</v>
      </c>
      <c r="H80" s="89">
        <v>44012</v>
      </c>
      <c r="I80" s="35">
        <v>0</v>
      </c>
      <c r="J80" s="89">
        <v>44012</v>
      </c>
      <c r="K80" s="98">
        <v>0</v>
      </c>
      <c r="L80" s="89">
        <v>44012</v>
      </c>
      <c r="M80" s="35">
        <v>0</v>
      </c>
      <c r="N80" s="90">
        <v>44377</v>
      </c>
      <c r="O80" s="50">
        <v>0</v>
      </c>
      <c r="P80" s="90">
        <v>44377</v>
      </c>
      <c r="Q80" s="50">
        <v>0</v>
      </c>
      <c r="R80" s="90">
        <v>44377</v>
      </c>
      <c r="S80" s="50">
        <v>0</v>
      </c>
      <c r="T80" s="90">
        <v>44377</v>
      </c>
      <c r="U80" s="50">
        <v>0</v>
      </c>
      <c r="V80" s="90">
        <v>45107</v>
      </c>
      <c r="W80" s="50">
        <v>0</v>
      </c>
      <c r="X80" s="90">
        <v>45107</v>
      </c>
      <c r="Y80" s="50">
        <v>0</v>
      </c>
      <c r="Z80" s="20"/>
      <c r="AC80" s="173"/>
    </row>
    <row r="81" spans="1:29" outlineLevel="1">
      <c r="B81"/>
      <c r="C81" s="20" t="s">
        <v>92</v>
      </c>
      <c r="D81" s="20" t="s">
        <v>136</v>
      </c>
      <c r="E81" s="20" t="s">
        <v>103</v>
      </c>
      <c r="F81" s="20" t="s">
        <v>179</v>
      </c>
      <c r="G81" s="20" t="s">
        <v>91</v>
      </c>
      <c r="H81" s="89">
        <v>44196</v>
      </c>
      <c r="I81" s="35">
        <v>0.36029616847724721</v>
      </c>
      <c r="J81" s="89">
        <v>44196</v>
      </c>
      <c r="K81" s="98">
        <v>0.36029616847724721</v>
      </c>
      <c r="L81" s="89">
        <v>44196</v>
      </c>
      <c r="M81" s="35">
        <v>0.36029616847724721</v>
      </c>
      <c r="N81" s="90">
        <v>44561</v>
      </c>
      <c r="O81" s="50">
        <v>0.29909999999999998</v>
      </c>
      <c r="P81" s="90">
        <v>44561</v>
      </c>
      <c r="Q81" s="50">
        <v>0.32597970254075737</v>
      </c>
      <c r="R81" s="90">
        <v>44742</v>
      </c>
      <c r="S81" s="50">
        <v>0.34689976369582542</v>
      </c>
      <c r="T81" s="90">
        <v>44742</v>
      </c>
      <c r="U81" s="50">
        <v>0.3504897504915403</v>
      </c>
      <c r="V81" s="90">
        <v>45107</v>
      </c>
      <c r="W81" s="50">
        <v>0.41831170394204698</v>
      </c>
      <c r="X81" s="90">
        <v>45107</v>
      </c>
      <c r="Y81" s="50">
        <v>0.4837213664661002</v>
      </c>
      <c r="Z81" s="20"/>
      <c r="AC81" s="173"/>
    </row>
    <row r="82" spans="1:29" outlineLevel="1">
      <c r="B82"/>
      <c r="C82" s="20" t="s">
        <v>92</v>
      </c>
      <c r="D82" s="20" t="s">
        <v>125</v>
      </c>
      <c r="E82" s="20" t="s">
        <v>103</v>
      </c>
      <c r="F82" s="20" t="s">
        <v>179</v>
      </c>
      <c r="G82" s="20" t="s">
        <v>91</v>
      </c>
      <c r="H82" s="89" t="s">
        <v>39</v>
      </c>
      <c r="I82" s="89" t="s">
        <v>39</v>
      </c>
      <c r="J82" s="89" t="s">
        <v>39</v>
      </c>
      <c r="K82" s="89" t="s">
        <v>39</v>
      </c>
      <c r="L82" s="89" t="s">
        <v>39</v>
      </c>
      <c r="M82" s="89" t="s">
        <v>39</v>
      </c>
      <c r="N82" s="90" t="s">
        <v>39</v>
      </c>
      <c r="O82" s="90" t="s">
        <v>39</v>
      </c>
      <c r="P82" s="90">
        <v>44377</v>
      </c>
      <c r="Q82" s="159">
        <v>0.12325</v>
      </c>
      <c r="R82" s="90">
        <v>44377</v>
      </c>
      <c r="S82" s="159">
        <v>0.12325</v>
      </c>
      <c r="T82" s="90">
        <v>44742</v>
      </c>
      <c r="U82" s="50">
        <v>0.21326610021196996</v>
      </c>
      <c r="V82" s="90">
        <v>45107</v>
      </c>
      <c r="W82" s="50">
        <v>0.22286715000000001</v>
      </c>
      <c r="X82" s="90">
        <v>45107</v>
      </c>
      <c r="Y82" s="50">
        <v>9.9959999999999993E-2</v>
      </c>
      <c r="Z82" s="20"/>
      <c r="AC82" s="173"/>
    </row>
    <row r="83" spans="1:29" outlineLevel="1">
      <c r="B83"/>
      <c r="C83" s="20" t="s">
        <v>92</v>
      </c>
      <c r="D83" s="20" t="s">
        <v>126</v>
      </c>
      <c r="E83" s="20" t="s">
        <v>103</v>
      </c>
      <c r="F83" s="20" t="s">
        <v>179</v>
      </c>
      <c r="G83" s="20" t="s">
        <v>91</v>
      </c>
      <c r="H83" s="89" t="s">
        <v>39</v>
      </c>
      <c r="I83" s="89" t="s">
        <v>39</v>
      </c>
      <c r="J83" s="89" t="s">
        <v>39</v>
      </c>
      <c r="K83" s="89" t="s">
        <v>39</v>
      </c>
      <c r="L83" s="89" t="s">
        <v>39</v>
      </c>
      <c r="M83" s="89" t="s">
        <v>39</v>
      </c>
      <c r="N83" s="90" t="s">
        <v>39</v>
      </c>
      <c r="O83" s="90" t="s">
        <v>39</v>
      </c>
      <c r="P83" s="90">
        <v>44377</v>
      </c>
      <c r="Q83" s="159">
        <v>2.623E-2</v>
      </c>
      <c r="R83" s="90">
        <v>44377</v>
      </c>
      <c r="S83" s="159">
        <v>2.623E-2</v>
      </c>
      <c r="T83" s="90">
        <v>44742</v>
      </c>
      <c r="U83" s="50">
        <v>2.0535522828283654E-2</v>
      </c>
      <c r="V83" s="90">
        <v>45107</v>
      </c>
      <c r="W83" s="50">
        <v>2.4891900000000002E-2</v>
      </c>
      <c r="X83" s="90">
        <v>45107</v>
      </c>
      <c r="Y83" s="50">
        <v>1.184E-2</v>
      </c>
      <c r="Z83" s="20"/>
      <c r="AC83" s="173"/>
    </row>
    <row r="84" spans="1:29" outlineLevel="1">
      <c r="A84" t="s">
        <v>40</v>
      </c>
      <c r="B84"/>
      <c r="C84" s="20" t="s">
        <v>92</v>
      </c>
      <c r="D84" s="53" t="s">
        <v>515</v>
      </c>
      <c r="E84" s="20" t="s">
        <v>103</v>
      </c>
      <c r="F84" s="20" t="s">
        <v>179</v>
      </c>
      <c r="G84" s="20" t="s">
        <v>91</v>
      </c>
      <c r="H84" s="89"/>
      <c r="I84" s="89"/>
      <c r="J84" s="89"/>
      <c r="K84" s="89"/>
      <c r="L84" s="89"/>
      <c r="M84" s="89"/>
      <c r="N84" s="90"/>
      <c r="O84" s="90"/>
      <c r="P84" s="90"/>
      <c r="Q84" s="159"/>
      <c r="R84" s="90"/>
      <c r="S84" s="159"/>
      <c r="T84" s="90"/>
      <c r="U84" s="50"/>
      <c r="V84" s="90">
        <v>45107</v>
      </c>
      <c r="W84" s="50">
        <v>0.702952628440218</v>
      </c>
      <c r="X84" s="90">
        <v>45107</v>
      </c>
      <c r="Y84" s="50">
        <v>0.67748437528737049</v>
      </c>
      <c r="Z84" s="20"/>
      <c r="AC84" s="173"/>
    </row>
    <row r="85" spans="1:29" outlineLevel="1">
      <c r="A85" t="s">
        <v>40</v>
      </c>
      <c r="B85"/>
      <c r="C85" s="20" t="s">
        <v>92</v>
      </c>
      <c r="D85" s="53" t="s">
        <v>516</v>
      </c>
      <c r="E85" s="20" t="s">
        <v>103</v>
      </c>
      <c r="F85" s="20" t="s">
        <v>179</v>
      </c>
      <c r="G85" s="20" t="s">
        <v>91</v>
      </c>
      <c r="H85" s="89"/>
      <c r="I85" s="89"/>
      <c r="J85" s="89"/>
      <c r="K85" s="89"/>
      <c r="L85" s="89"/>
      <c r="M85" s="89"/>
      <c r="N85" s="90"/>
      <c r="O85" s="90"/>
      <c r="P85" s="90"/>
      <c r="Q85" s="159"/>
      <c r="R85" s="90"/>
      <c r="S85" s="159"/>
      <c r="T85" s="90"/>
      <c r="U85" s="50"/>
      <c r="V85" s="90">
        <v>45107</v>
      </c>
      <c r="W85" s="50">
        <v>9.3802817381832604E-2</v>
      </c>
      <c r="X85" s="90">
        <v>45107</v>
      </c>
      <c r="Y85" s="50">
        <v>0.12361749867236572</v>
      </c>
      <c r="Z85" s="20"/>
      <c r="AC85" s="173"/>
    </row>
    <row r="86" spans="1:29" outlineLevel="1">
      <c r="A86" t="s">
        <v>40</v>
      </c>
      <c r="B86"/>
      <c r="C86" s="20" t="s">
        <v>92</v>
      </c>
      <c r="D86" s="53" t="s">
        <v>517</v>
      </c>
      <c r="E86" s="20" t="s">
        <v>103</v>
      </c>
      <c r="F86" s="20" t="s">
        <v>179</v>
      </c>
      <c r="G86" s="20" t="s">
        <v>91</v>
      </c>
      <c r="H86" s="89"/>
      <c r="I86" s="89"/>
      <c r="J86" s="89"/>
      <c r="K86" s="89"/>
      <c r="L86" s="89"/>
      <c r="M86" s="89"/>
      <c r="N86" s="90"/>
      <c r="O86" s="90"/>
      <c r="P86" s="90"/>
      <c r="Q86" s="159"/>
      <c r="R86" s="90"/>
      <c r="S86" s="159"/>
      <c r="T86" s="90"/>
      <c r="U86" s="50"/>
      <c r="V86" s="90">
        <v>45107</v>
      </c>
      <c r="W86" s="50">
        <v>0</v>
      </c>
      <c r="X86" s="90">
        <v>45107</v>
      </c>
      <c r="Y86" s="50">
        <v>0</v>
      </c>
      <c r="Z86" s="20"/>
      <c r="AC86" s="173"/>
    </row>
    <row r="87" spans="1:29" outlineLevel="1">
      <c r="B87"/>
      <c r="C87" s="20" t="s">
        <v>80</v>
      </c>
      <c r="D87" s="20" t="s">
        <v>346</v>
      </c>
      <c r="E87" s="20" t="s">
        <v>103</v>
      </c>
      <c r="F87" s="20" t="s">
        <v>226</v>
      </c>
      <c r="G87" s="20" t="s">
        <v>65</v>
      </c>
      <c r="H87" s="89">
        <v>44196</v>
      </c>
      <c r="I87" s="35">
        <v>10.535</v>
      </c>
      <c r="J87" s="90">
        <v>44377</v>
      </c>
      <c r="K87" s="50">
        <v>11.4503</v>
      </c>
      <c r="L87" s="90">
        <v>44377</v>
      </c>
      <c r="M87" s="50">
        <v>11.4503</v>
      </c>
      <c r="N87" s="90">
        <v>44377</v>
      </c>
      <c r="O87" s="50">
        <v>11.4503</v>
      </c>
      <c r="P87" s="90">
        <v>44377</v>
      </c>
      <c r="Q87" s="50">
        <v>11.4503</v>
      </c>
      <c r="R87" s="90">
        <v>44377</v>
      </c>
      <c r="S87" s="50">
        <v>11.4503</v>
      </c>
      <c r="T87" s="90">
        <v>44377</v>
      </c>
      <c r="U87" s="50">
        <v>12.7212</v>
      </c>
      <c r="V87" s="90">
        <v>44742</v>
      </c>
      <c r="W87" s="50">
        <v>13.601000000000001</v>
      </c>
      <c r="X87" s="90">
        <v>45107</v>
      </c>
      <c r="Y87" s="50">
        <v>13.09807741874299</v>
      </c>
      <c r="Z87" s="20"/>
      <c r="AA87" s="173"/>
      <c r="AC87" s="173"/>
    </row>
    <row r="88" spans="1:29" outlineLevel="1">
      <c r="B88"/>
      <c r="C88" s="20" t="s">
        <v>80</v>
      </c>
      <c r="D88" s="20" t="s">
        <v>347</v>
      </c>
      <c r="E88" s="20" t="s">
        <v>103</v>
      </c>
      <c r="F88" s="20" t="s">
        <v>226</v>
      </c>
      <c r="G88" s="20" t="s">
        <v>65</v>
      </c>
      <c r="H88" s="89">
        <v>44196</v>
      </c>
      <c r="I88" s="35">
        <v>12.073700000000001</v>
      </c>
      <c r="J88" s="90">
        <v>44377</v>
      </c>
      <c r="K88" s="50">
        <v>12.838200000000001</v>
      </c>
      <c r="L88" s="90">
        <v>44377</v>
      </c>
      <c r="M88" s="50">
        <v>12.838200000000001</v>
      </c>
      <c r="N88" s="90">
        <v>44377</v>
      </c>
      <c r="O88" s="50">
        <v>12.838200000000001</v>
      </c>
      <c r="P88" s="90">
        <v>44377</v>
      </c>
      <c r="Q88" s="50">
        <v>12.838200000000001</v>
      </c>
      <c r="R88" s="90">
        <v>44377</v>
      </c>
      <c r="S88" s="50">
        <v>12.838200000000001</v>
      </c>
      <c r="T88" s="90">
        <v>44377</v>
      </c>
      <c r="U88" s="50">
        <v>14.2392</v>
      </c>
      <c r="V88" s="90">
        <v>44742</v>
      </c>
      <c r="W88" s="50">
        <v>14.676500000000001</v>
      </c>
      <c r="X88" s="90">
        <v>45107</v>
      </c>
      <c r="Y88" s="50">
        <v>13.989069468735993</v>
      </c>
      <c r="Z88" s="20"/>
      <c r="AA88" s="173"/>
      <c r="AC88" s="173"/>
    </row>
    <row r="89" spans="1:29" outlineLevel="1">
      <c r="B89"/>
      <c r="C89" s="20" t="s">
        <v>80</v>
      </c>
      <c r="D89" s="20" t="s">
        <v>348</v>
      </c>
      <c r="E89" s="20" t="s">
        <v>103</v>
      </c>
      <c r="F89" s="20" t="s">
        <v>226</v>
      </c>
      <c r="G89" s="20" t="s">
        <v>65</v>
      </c>
      <c r="H89" s="89">
        <v>44196</v>
      </c>
      <c r="I89" s="35">
        <v>6.47</v>
      </c>
      <c r="J89" s="90">
        <v>44377</v>
      </c>
      <c r="K89" s="50">
        <v>8.0500000000000007</v>
      </c>
      <c r="L89" s="90">
        <v>44377</v>
      </c>
      <c r="M89" s="50">
        <v>8.0500000000000007</v>
      </c>
      <c r="N89" s="90">
        <v>44377</v>
      </c>
      <c r="O89" s="50">
        <v>8.0500000000000007</v>
      </c>
      <c r="P89" s="90">
        <v>44377</v>
      </c>
      <c r="Q89" s="50">
        <v>8.0500000000000007</v>
      </c>
      <c r="R89" s="90">
        <v>44377</v>
      </c>
      <c r="S89" s="50">
        <v>8.0500000000000007</v>
      </c>
      <c r="T89" s="90">
        <v>44377</v>
      </c>
      <c r="U89" s="50">
        <v>7.4</v>
      </c>
      <c r="V89" s="90">
        <v>44742</v>
      </c>
      <c r="W89" s="50">
        <v>8.4431999999999992</v>
      </c>
      <c r="X89" s="90">
        <v>45107</v>
      </c>
      <c r="Y89" s="50">
        <v>7.37</v>
      </c>
      <c r="Z89" s="20"/>
      <c r="AA89" s="173"/>
      <c r="AC89" s="173"/>
    </row>
    <row r="90" spans="1:29" outlineLevel="1">
      <c r="B90"/>
      <c r="C90" s="20" t="s">
        <v>80</v>
      </c>
      <c r="D90" s="20" t="s">
        <v>349</v>
      </c>
      <c r="E90" s="20" t="s">
        <v>103</v>
      </c>
      <c r="F90" s="20" t="s">
        <v>226</v>
      </c>
      <c r="G90" s="20" t="s">
        <v>65</v>
      </c>
      <c r="H90" s="89">
        <v>44196</v>
      </c>
      <c r="I90" s="35">
        <v>7.4139999999999997</v>
      </c>
      <c r="J90" s="90">
        <v>44377</v>
      </c>
      <c r="K90" s="50">
        <v>8.67</v>
      </c>
      <c r="L90" s="90">
        <v>44377</v>
      </c>
      <c r="M90" s="50">
        <v>8.67</v>
      </c>
      <c r="N90" s="90">
        <v>44377</v>
      </c>
      <c r="O90" s="50">
        <v>8.67</v>
      </c>
      <c r="P90" s="90">
        <v>44377</v>
      </c>
      <c r="Q90" s="50">
        <v>8.67</v>
      </c>
      <c r="R90" s="90">
        <v>44377</v>
      </c>
      <c r="S90" s="50">
        <v>8.67</v>
      </c>
      <c r="T90" s="90">
        <v>44377</v>
      </c>
      <c r="U90" s="50">
        <v>8.2509999999999994</v>
      </c>
      <c r="V90" s="90">
        <v>44742</v>
      </c>
      <c r="W90" s="50">
        <v>8.8778000000000006</v>
      </c>
      <c r="X90" s="90">
        <v>45107</v>
      </c>
      <c r="Y90" s="50">
        <v>8.9770000000000003</v>
      </c>
      <c r="Z90" s="20"/>
      <c r="AA90" s="173"/>
      <c r="AC90" s="173"/>
    </row>
    <row r="91" spans="1:29" outlineLevel="1">
      <c r="B91"/>
      <c r="C91" s="20" t="s">
        <v>80</v>
      </c>
      <c r="D91" s="20" t="s">
        <v>350</v>
      </c>
      <c r="E91" s="20" t="s">
        <v>103</v>
      </c>
      <c r="F91" s="20" t="s">
        <v>226</v>
      </c>
      <c r="G91" s="20" t="s">
        <v>65</v>
      </c>
      <c r="H91" s="89">
        <v>44196</v>
      </c>
      <c r="I91" s="35">
        <v>6.74</v>
      </c>
      <c r="J91" s="90">
        <v>44377</v>
      </c>
      <c r="K91" s="50">
        <v>8.15</v>
      </c>
      <c r="L91" s="90">
        <v>44377</v>
      </c>
      <c r="M91" s="50">
        <v>8.15</v>
      </c>
      <c r="N91" s="90">
        <v>44377</v>
      </c>
      <c r="O91" s="50">
        <v>8.15</v>
      </c>
      <c r="P91" s="90">
        <v>44377</v>
      </c>
      <c r="Q91" s="50">
        <v>8.15</v>
      </c>
      <c r="R91" s="90">
        <v>44377</v>
      </c>
      <c r="S91" s="50">
        <v>8.15</v>
      </c>
      <c r="T91" s="90">
        <v>44377</v>
      </c>
      <c r="U91" s="50">
        <v>8.15</v>
      </c>
      <c r="V91" s="90">
        <v>44742</v>
      </c>
      <c r="W91" s="50">
        <v>9.3705999999999996</v>
      </c>
      <c r="X91" s="90">
        <v>45107</v>
      </c>
      <c r="Y91" s="50">
        <v>8.77</v>
      </c>
      <c r="Z91" s="20"/>
      <c r="AA91" s="173"/>
      <c r="AC91" s="173"/>
    </row>
    <row r="92" spans="1:29" outlineLevel="1">
      <c r="B92"/>
      <c r="C92" s="20" t="s">
        <v>80</v>
      </c>
      <c r="D92" s="20" t="s">
        <v>351</v>
      </c>
      <c r="E92" s="20" t="s">
        <v>103</v>
      </c>
      <c r="F92" s="20" t="s">
        <v>226</v>
      </c>
      <c r="G92" s="20" t="s">
        <v>65</v>
      </c>
      <c r="H92" s="89">
        <v>44196</v>
      </c>
      <c r="I92" s="35">
        <v>7.67</v>
      </c>
      <c r="J92" s="90">
        <v>44377</v>
      </c>
      <c r="K92" s="50">
        <v>7.99</v>
      </c>
      <c r="L92" s="90">
        <v>44377</v>
      </c>
      <c r="M92" s="50">
        <v>7.99</v>
      </c>
      <c r="N92" s="90">
        <v>44377</v>
      </c>
      <c r="O92" s="50">
        <v>7.99</v>
      </c>
      <c r="P92" s="90">
        <v>44377</v>
      </c>
      <c r="Q92" s="50">
        <v>7.99</v>
      </c>
      <c r="R92" s="90">
        <v>44377</v>
      </c>
      <c r="S92" s="50">
        <v>7.99</v>
      </c>
      <c r="T92" s="90">
        <v>44377</v>
      </c>
      <c r="U92" s="50">
        <v>8.3000000000000007</v>
      </c>
      <c r="V92" s="90">
        <v>44742</v>
      </c>
      <c r="W92" s="50">
        <v>8.8529999999999998</v>
      </c>
      <c r="X92" s="90">
        <v>45107</v>
      </c>
      <c r="Y92" s="50">
        <v>8.5400000000000009</v>
      </c>
      <c r="Z92" s="20"/>
      <c r="AA92" s="173"/>
      <c r="AC92" s="173"/>
    </row>
    <row r="93" spans="1:29" outlineLevel="1">
      <c r="B93"/>
      <c r="C93" s="20" t="s">
        <v>80</v>
      </c>
      <c r="D93" s="20" t="s">
        <v>352</v>
      </c>
      <c r="E93" s="20" t="s">
        <v>103</v>
      </c>
      <c r="F93" s="20" t="s">
        <v>226</v>
      </c>
      <c r="G93" s="20" t="s">
        <v>66</v>
      </c>
      <c r="H93" s="89">
        <v>44196</v>
      </c>
      <c r="I93" s="35">
        <v>13.9602</v>
      </c>
      <c r="J93" s="90">
        <v>44377</v>
      </c>
      <c r="K93" s="50">
        <v>15.538600000000001</v>
      </c>
      <c r="L93" s="90">
        <v>44377</v>
      </c>
      <c r="M93" s="50">
        <v>15.538600000000001</v>
      </c>
      <c r="N93" s="90">
        <v>44377</v>
      </c>
      <c r="O93" s="50">
        <v>15.538600000000001</v>
      </c>
      <c r="P93" s="90">
        <v>44377</v>
      </c>
      <c r="Q93" s="50">
        <v>15.538600000000001</v>
      </c>
      <c r="R93" s="90">
        <v>44377</v>
      </c>
      <c r="S93" s="50">
        <v>15.538600000000001</v>
      </c>
      <c r="T93" s="90">
        <v>44377</v>
      </c>
      <c r="U93" s="50">
        <v>17.498000000000001</v>
      </c>
      <c r="V93" s="90">
        <v>44742</v>
      </c>
      <c r="W93" s="50">
        <v>19.335999999999999</v>
      </c>
      <c r="X93" s="90">
        <v>45107</v>
      </c>
      <c r="Y93" s="50">
        <v>18.668411930490375</v>
      </c>
      <c r="Z93" s="20"/>
      <c r="AA93" s="173"/>
      <c r="AC93" s="173"/>
    </row>
    <row r="94" spans="1:29" outlineLevel="1">
      <c r="B94"/>
      <c r="C94" s="20" t="s">
        <v>80</v>
      </c>
      <c r="D94" s="20" t="s">
        <v>353</v>
      </c>
      <c r="E94" s="20" t="s">
        <v>103</v>
      </c>
      <c r="F94" s="20" t="s">
        <v>226</v>
      </c>
      <c r="G94" s="20" t="s">
        <v>66</v>
      </c>
      <c r="H94" s="89">
        <v>44196</v>
      </c>
      <c r="I94" s="35">
        <v>16.934899999999999</v>
      </c>
      <c r="J94" s="90">
        <v>44377</v>
      </c>
      <c r="K94" s="50">
        <v>18.2667</v>
      </c>
      <c r="L94" s="90">
        <v>44377</v>
      </c>
      <c r="M94" s="50">
        <v>18.2667</v>
      </c>
      <c r="N94" s="90">
        <v>44377</v>
      </c>
      <c r="O94" s="50">
        <v>18.2667</v>
      </c>
      <c r="P94" s="90">
        <v>44377</v>
      </c>
      <c r="Q94" s="50">
        <v>18.2667</v>
      </c>
      <c r="R94" s="90">
        <v>44377</v>
      </c>
      <c r="S94" s="50">
        <v>18.2667</v>
      </c>
      <c r="T94" s="90">
        <v>44377</v>
      </c>
      <c r="U94" s="50">
        <v>20.5366</v>
      </c>
      <c r="V94" s="90">
        <v>44742</v>
      </c>
      <c r="W94" s="50">
        <v>21.572399999999998</v>
      </c>
      <c r="X94" s="90">
        <v>45107</v>
      </c>
      <c r="Y94" s="50">
        <v>20.620858559880922</v>
      </c>
      <c r="Z94" s="20"/>
      <c r="AA94" s="173"/>
      <c r="AC94" s="173"/>
    </row>
    <row r="95" spans="1:29" outlineLevel="1">
      <c r="B95"/>
      <c r="C95" s="20" t="s">
        <v>80</v>
      </c>
      <c r="D95" s="20" t="s">
        <v>354</v>
      </c>
      <c r="E95" s="20" t="s">
        <v>103</v>
      </c>
      <c r="F95" s="20" t="s">
        <v>226</v>
      </c>
      <c r="G95" s="20" t="s">
        <v>66</v>
      </c>
      <c r="H95" s="89">
        <v>44196</v>
      </c>
      <c r="I95" s="35">
        <v>7.54</v>
      </c>
      <c r="J95" s="90">
        <v>44377</v>
      </c>
      <c r="K95" s="50">
        <v>8.2100000000000009</v>
      </c>
      <c r="L95" s="90">
        <v>44377</v>
      </c>
      <c r="M95" s="50">
        <v>8.2100000000000009</v>
      </c>
      <c r="N95" s="90">
        <v>44377</v>
      </c>
      <c r="O95" s="50">
        <v>8.2100000000000009</v>
      </c>
      <c r="P95" s="90">
        <v>44377</v>
      </c>
      <c r="Q95" s="50">
        <v>8.2100000000000009</v>
      </c>
      <c r="R95" s="90">
        <v>44377</v>
      </c>
      <c r="S95" s="50">
        <v>8.2100000000000009</v>
      </c>
      <c r="T95" s="90">
        <v>44377</v>
      </c>
      <c r="U95" s="50">
        <v>8.0299999999999994</v>
      </c>
      <c r="V95" s="90">
        <v>44742</v>
      </c>
      <c r="W95" s="50">
        <v>9.1548999999999996</v>
      </c>
      <c r="X95" s="90">
        <v>45107</v>
      </c>
      <c r="Y95" s="50">
        <v>8.15</v>
      </c>
      <c r="Z95" s="20"/>
      <c r="AA95" s="173"/>
      <c r="AC95" s="173"/>
    </row>
    <row r="96" spans="1:29" outlineLevel="1">
      <c r="B96"/>
      <c r="C96" s="20" t="s">
        <v>80</v>
      </c>
      <c r="D96" s="20" t="s">
        <v>355</v>
      </c>
      <c r="E96" s="20" t="s">
        <v>103</v>
      </c>
      <c r="F96" s="20" t="s">
        <v>226</v>
      </c>
      <c r="G96" s="20" t="s">
        <v>66</v>
      </c>
      <c r="H96" s="89">
        <v>44196</v>
      </c>
      <c r="I96" s="35">
        <v>9.3260000000000005</v>
      </c>
      <c r="J96" s="90">
        <v>44377</v>
      </c>
      <c r="K96" s="50">
        <v>10.973000000000001</v>
      </c>
      <c r="L96" s="90">
        <v>44377</v>
      </c>
      <c r="M96" s="50">
        <v>10.973000000000001</v>
      </c>
      <c r="N96" s="90">
        <v>44377</v>
      </c>
      <c r="O96" s="50">
        <v>10.973000000000001</v>
      </c>
      <c r="P96" s="90">
        <v>44377</v>
      </c>
      <c r="Q96" s="50">
        <v>10.973000000000001</v>
      </c>
      <c r="R96" s="90">
        <v>44377</v>
      </c>
      <c r="S96" s="50">
        <v>10.973000000000001</v>
      </c>
      <c r="T96" s="90">
        <v>44377</v>
      </c>
      <c r="U96" s="50">
        <v>10.84</v>
      </c>
      <c r="V96" s="90">
        <v>44742</v>
      </c>
      <c r="W96" s="50">
        <v>11.888500000000001</v>
      </c>
      <c r="X96" s="90">
        <v>45107</v>
      </c>
      <c r="Y96" s="50">
        <v>11.834</v>
      </c>
      <c r="Z96" s="20"/>
      <c r="AA96" s="173"/>
      <c r="AC96" s="173"/>
    </row>
    <row r="97" spans="2:29" outlineLevel="1">
      <c r="B97"/>
      <c r="C97" s="20" t="s">
        <v>80</v>
      </c>
      <c r="D97" s="20" t="s">
        <v>356</v>
      </c>
      <c r="E97" s="20" t="s">
        <v>103</v>
      </c>
      <c r="F97" s="20" t="s">
        <v>226</v>
      </c>
      <c r="G97" s="20" t="s">
        <v>66</v>
      </c>
      <c r="H97" s="89">
        <v>44196</v>
      </c>
      <c r="I97" s="35">
        <v>8.44</v>
      </c>
      <c r="J97" s="90">
        <v>44377</v>
      </c>
      <c r="K97" s="50">
        <v>9.2899999999999991</v>
      </c>
      <c r="L97" s="90">
        <v>44377</v>
      </c>
      <c r="M97" s="50">
        <v>9.2899999999999991</v>
      </c>
      <c r="N97" s="90">
        <v>44377</v>
      </c>
      <c r="O97" s="50">
        <v>9.2899999999999991</v>
      </c>
      <c r="P97" s="90">
        <v>44377</v>
      </c>
      <c r="Q97" s="50">
        <v>9.2899999999999991</v>
      </c>
      <c r="R97" s="90">
        <v>44377</v>
      </c>
      <c r="S97" s="50">
        <v>9.2899999999999991</v>
      </c>
      <c r="T97" s="90">
        <v>44377</v>
      </c>
      <c r="U97" s="50">
        <v>9.2899999999999991</v>
      </c>
      <c r="V97" s="90">
        <v>44742</v>
      </c>
      <c r="W97" s="50">
        <v>10.6861</v>
      </c>
      <c r="X97" s="90">
        <v>45107</v>
      </c>
      <c r="Y97" s="50">
        <v>9.81</v>
      </c>
      <c r="Z97" s="20"/>
      <c r="AA97" s="173"/>
      <c r="AC97" s="173"/>
    </row>
    <row r="98" spans="2:29" outlineLevel="1">
      <c r="B98"/>
      <c r="C98" s="20" t="s">
        <v>80</v>
      </c>
      <c r="D98" s="20" t="s">
        <v>357</v>
      </c>
      <c r="E98" s="20" t="s">
        <v>103</v>
      </c>
      <c r="F98" s="20" t="s">
        <v>226</v>
      </c>
      <c r="G98" s="20" t="s">
        <v>66</v>
      </c>
      <c r="H98" s="89">
        <v>44196</v>
      </c>
      <c r="I98" s="35">
        <v>9.27</v>
      </c>
      <c r="J98" s="90">
        <v>44377</v>
      </c>
      <c r="K98" s="50">
        <v>8.7899999999999991</v>
      </c>
      <c r="L98" s="90">
        <v>44377</v>
      </c>
      <c r="M98" s="50">
        <v>8.7899999999999991</v>
      </c>
      <c r="N98" s="90">
        <v>44377</v>
      </c>
      <c r="O98" s="50">
        <v>8.7899999999999991</v>
      </c>
      <c r="P98" s="90">
        <v>44377</v>
      </c>
      <c r="Q98" s="50">
        <v>8.7899999999999991</v>
      </c>
      <c r="R98" s="90">
        <v>44377</v>
      </c>
      <c r="S98" s="50">
        <v>8.7899999999999991</v>
      </c>
      <c r="T98" s="90">
        <v>44377</v>
      </c>
      <c r="U98" s="50">
        <v>9.14</v>
      </c>
      <c r="V98" s="90">
        <v>44742</v>
      </c>
      <c r="W98" s="50">
        <v>9.7479999999999993</v>
      </c>
      <c r="X98" s="90">
        <v>45107</v>
      </c>
      <c r="Y98" s="50">
        <v>9.39</v>
      </c>
      <c r="Z98" s="20"/>
      <c r="AA98" s="173"/>
      <c r="AC98" s="173"/>
    </row>
    <row r="99" spans="2:29" outlineLevel="1">
      <c r="B99"/>
      <c r="C99" s="20" t="s">
        <v>80</v>
      </c>
      <c r="D99" s="20" t="s">
        <v>358</v>
      </c>
      <c r="E99" s="20" t="s">
        <v>103</v>
      </c>
      <c r="F99" s="20" t="s">
        <v>226</v>
      </c>
      <c r="G99" s="20" t="s">
        <v>65</v>
      </c>
      <c r="H99" s="89" t="s">
        <v>39</v>
      </c>
      <c r="I99" s="35" t="s">
        <v>39</v>
      </c>
      <c r="J99" s="90">
        <v>44377</v>
      </c>
      <c r="K99" s="50">
        <v>20.853200000000001</v>
      </c>
      <c r="L99" s="90">
        <v>44377</v>
      </c>
      <c r="M99" s="50">
        <v>20.853200000000001</v>
      </c>
      <c r="N99" s="90">
        <v>44377</v>
      </c>
      <c r="O99" s="50">
        <v>20.853200000000001</v>
      </c>
      <c r="P99" s="90">
        <v>44377</v>
      </c>
      <c r="Q99" s="50">
        <v>20.853200000000001</v>
      </c>
      <c r="R99" s="90">
        <v>44377</v>
      </c>
      <c r="S99" s="50">
        <v>20.853200000000001</v>
      </c>
      <c r="T99" s="90">
        <v>44377</v>
      </c>
      <c r="U99" s="50">
        <v>22.9085</v>
      </c>
      <c r="V99" s="90">
        <v>44742</v>
      </c>
      <c r="W99" s="50">
        <v>25.066600000000001</v>
      </c>
      <c r="X99" s="90">
        <v>45107</v>
      </c>
      <c r="Y99" s="50">
        <v>22.405517942110716</v>
      </c>
      <c r="Z99" s="20"/>
      <c r="AA99" s="173"/>
      <c r="AC99" s="173"/>
    </row>
    <row r="100" spans="2:29" outlineLevel="1">
      <c r="B100"/>
      <c r="C100" s="20" t="s">
        <v>80</v>
      </c>
      <c r="D100" s="20" t="s">
        <v>359</v>
      </c>
      <c r="E100" s="20" t="s">
        <v>103</v>
      </c>
      <c r="F100" s="20" t="s">
        <v>226</v>
      </c>
      <c r="G100" s="20" t="s">
        <v>65</v>
      </c>
      <c r="H100" s="89" t="s">
        <v>39</v>
      </c>
      <c r="I100" s="35" t="s">
        <v>39</v>
      </c>
      <c r="J100" s="90">
        <v>44377</v>
      </c>
      <c r="K100" s="50">
        <v>15.94</v>
      </c>
      <c r="L100" s="90">
        <v>44377</v>
      </c>
      <c r="M100" s="50">
        <v>15.94</v>
      </c>
      <c r="N100" s="90">
        <v>44377</v>
      </c>
      <c r="O100" s="50">
        <v>15.94</v>
      </c>
      <c r="P100" s="90">
        <v>44377</v>
      </c>
      <c r="Q100" s="50">
        <v>15.94</v>
      </c>
      <c r="R100" s="90">
        <v>44377</v>
      </c>
      <c r="S100" s="50">
        <v>15.94</v>
      </c>
      <c r="T100" s="90">
        <v>44377</v>
      </c>
      <c r="U100" s="50">
        <v>14.7</v>
      </c>
      <c r="V100" s="90">
        <v>44742</v>
      </c>
      <c r="W100" s="50">
        <v>16.767800000000001</v>
      </c>
      <c r="X100" s="90">
        <v>45107</v>
      </c>
      <c r="Y100" s="50">
        <v>14.67</v>
      </c>
      <c r="Z100" s="20"/>
      <c r="AA100" s="173"/>
      <c r="AC100" s="173"/>
    </row>
    <row r="101" spans="2:29" outlineLevel="1">
      <c r="B101"/>
      <c r="C101" s="20" t="s">
        <v>80</v>
      </c>
      <c r="D101" s="20" t="s">
        <v>360</v>
      </c>
      <c r="E101" s="20" t="s">
        <v>103</v>
      </c>
      <c r="F101" s="20" t="s">
        <v>226</v>
      </c>
      <c r="G101" s="20" t="s">
        <v>65</v>
      </c>
      <c r="H101" s="89" t="s">
        <v>39</v>
      </c>
      <c r="I101" s="35" t="s">
        <v>39</v>
      </c>
      <c r="J101" s="90">
        <v>44377</v>
      </c>
      <c r="K101" s="50">
        <v>13.492000000000001</v>
      </c>
      <c r="L101" s="90">
        <v>44377</v>
      </c>
      <c r="M101" s="50">
        <v>13.492000000000001</v>
      </c>
      <c r="N101" s="90">
        <v>44377</v>
      </c>
      <c r="O101" s="50">
        <v>13.492000000000001</v>
      </c>
      <c r="P101" s="90">
        <v>44377</v>
      </c>
      <c r="Q101" s="50">
        <v>13.492000000000001</v>
      </c>
      <c r="R101" s="90">
        <v>44377</v>
      </c>
      <c r="S101" s="50">
        <v>13.492000000000001</v>
      </c>
      <c r="T101" s="90">
        <v>44377</v>
      </c>
      <c r="U101" s="50">
        <v>13.781000000000001</v>
      </c>
      <c r="V101" s="90">
        <v>44742</v>
      </c>
      <c r="W101" s="50">
        <v>14.6457</v>
      </c>
      <c r="X101" s="90">
        <v>45107</v>
      </c>
      <c r="Y101" s="50">
        <v>14.771999999999998</v>
      </c>
      <c r="Z101" s="20"/>
      <c r="AA101" s="173"/>
      <c r="AC101" s="173"/>
    </row>
    <row r="102" spans="2:29" outlineLevel="1">
      <c r="B102"/>
      <c r="C102" s="20" t="s">
        <v>80</v>
      </c>
      <c r="D102" s="20" t="s">
        <v>361</v>
      </c>
      <c r="E102" s="20" t="s">
        <v>103</v>
      </c>
      <c r="F102" s="20" t="s">
        <v>226</v>
      </c>
      <c r="G102" s="20" t="s">
        <v>65</v>
      </c>
      <c r="H102" s="89" t="s">
        <v>39</v>
      </c>
      <c r="I102" s="35" t="s">
        <v>39</v>
      </c>
      <c r="J102" s="90">
        <v>44377</v>
      </c>
      <c r="K102" s="50">
        <v>15.87</v>
      </c>
      <c r="L102" s="90">
        <v>44377</v>
      </c>
      <c r="M102" s="50">
        <v>15.87</v>
      </c>
      <c r="N102" s="90">
        <v>44377</v>
      </c>
      <c r="O102" s="50">
        <v>15.87</v>
      </c>
      <c r="P102" s="90">
        <v>44377</v>
      </c>
      <c r="Q102" s="50">
        <v>15.87</v>
      </c>
      <c r="R102" s="90">
        <v>44377</v>
      </c>
      <c r="S102" s="50">
        <v>15.87</v>
      </c>
      <c r="T102" s="90">
        <v>44377</v>
      </c>
      <c r="U102" s="50">
        <v>16.170000000000002</v>
      </c>
      <c r="V102" s="90">
        <v>44742</v>
      </c>
      <c r="W102" s="50">
        <v>18.590199999999999</v>
      </c>
      <c r="X102" s="90">
        <v>45107</v>
      </c>
      <c r="Y102" s="50">
        <v>17.14</v>
      </c>
      <c r="Z102" s="20"/>
      <c r="AA102" s="173"/>
      <c r="AC102" s="173"/>
    </row>
    <row r="103" spans="2:29" outlineLevel="1">
      <c r="B103"/>
      <c r="C103" s="20" t="s">
        <v>80</v>
      </c>
      <c r="D103" s="20" t="s">
        <v>362</v>
      </c>
      <c r="E103" s="20" t="s">
        <v>103</v>
      </c>
      <c r="F103" s="20" t="s">
        <v>226</v>
      </c>
      <c r="G103" s="20" t="s">
        <v>65</v>
      </c>
      <c r="H103" s="89" t="s">
        <v>39</v>
      </c>
      <c r="I103" s="35" t="s">
        <v>39</v>
      </c>
      <c r="J103" s="90">
        <v>44377</v>
      </c>
      <c r="K103" s="50">
        <v>15.79</v>
      </c>
      <c r="L103" s="90">
        <v>44377</v>
      </c>
      <c r="M103" s="50">
        <v>15.79</v>
      </c>
      <c r="N103" s="90">
        <v>44377</v>
      </c>
      <c r="O103" s="50">
        <v>15.79</v>
      </c>
      <c r="P103" s="90">
        <v>44377</v>
      </c>
      <c r="Q103" s="50">
        <v>15.79</v>
      </c>
      <c r="R103" s="90">
        <v>44377</v>
      </c>
      <c r="S103" s="50">
        <v>15.79</v>
      </c>
      <c r="T103" s="90">
        <v>44377</v>
      </c>
      <c r="U103" s="50">
        <v>16.22</v>
      </c>
      <c r="V103" s="90">
        <v>44742</v>
      </c>
      <c r="W103" s="50">
        <v>17.317799999999998</v>
      </c>
      <c r="X103" s="90">
        <v>45107</v>
      </c>
      <c r="Y103" s="50">
        <v>16.68</v>
      </c>
      <c r="Z103" s="20"/>
      <c r="AA103" s="173"/>
      <c r="AC103" s="173"/>
    </row>
    <row r="104" spans="2:29" outlineLevel="1">
      <c r="B104"/>
      <c r="C104" s="20" t="s">
        <v>80</v>
      </c>
      <c r="D104" s="53" t="s">
        <v>363</v>
      </c>
      <c r="E104" s="20" t="s">
        <v>103</v>
      </c>
      <c r="F104" s="20" t="s">
        <v>226</v>
      </c>
      <c r="G104" s="20" t="s">
        <v>65</v>
      </c>
      <c r="H104" s="89" t="s">
        <v>39</v>
      </c>
      <c r="I104" s="35" t="s">
        <v>39</v>
      </c>
      <c r="J104" s="90">
        <v>44377</v>
      </c>
      <c r="K104" s="50">
        <v>4.3418999999999999</v>
      </c>
      <c r="L104" s="90">
        <v>44377</v>
      </c>
      <c r="M104" s="50">
        <v>4.3418999999999999</v>
      </c>
      <c r="N104" s="90">
        <v>44377</v>
      </c>
      <c r="O104" s="50">
        <v>4.3418999999999999</v>
      </c>
      <c r="P104" s="90">
        <v>44377</v>
      </c>
      <c r="Q104" s="50">
        <v>4.3418999999999999</v>
      </c>
      <c r="R104" s="90">
        <v>44377</v>
      </c>
      <c r="S104" s="50">
        <v>4.3418999999999999</v>
      </c>
      <c r="T104" s="90">
        <v>44377</v>
      </c>
      <c r="U104" s="50">
        <v>4.7720000000000002</v>
      </c>
      <c r="V104" s="90">
        <v>44742</v>
      </c>
      <c r="W104" s="50">
        <v>5.2127999999999997</v>
      </c>
      <c r="X104" s="90">
        <v>45107</v>
      </c>
      <c r="Y104" s="50">
        <v>4.6393863430805986</v>
      </c>
      <c r="Z104" s="20"/>
      <c r="AA104" s="173"/>
      <c r="AC104" s="173"/>
    </row>
    <row r="105" spans="2:29" outlineLevel="1">
      <c r="B105"/>
      <c r="C105" s="20" t="s">
        <v>80</v>
      </c>
      <c r="D105" s="20" t="s">
        <v>364</v>
      </c>
      <c r="E105" s="20" t="s">
        <v>103</v>
      </c>
      <c r="F105" s="20" t="s">
        <v>226</v>
      </c>
      <c r="G105" s="20" t="s">
        <v>65</v>
      </c>
      <c r="H105" s="89" t="s">
        <v>39</v>
      </c>
      <c r="I105" s="35" t="s">
        <v>39</v>
      </c>
      <c r="J105" s="90">
        <v>44377</v>
      </c>
      <c r="K105" s="50">
        <v>3.98</v>
      </c>
      <c r="L105" s="90">
        <v>44377</v>
      </c>
      <c r="M105" s="50">
        <v>3.98</v>
      </c>
      <c r="N105" s="90">
        <v>44377</v>
      </c>
      <c r="O105" s="50">
        <v>3.98</v>
      </c>
      <c r="P105" s="90">
        <v>44377</v>
      </c>
      <c r="Q105" s="50">
        <v>3.98</v>
      </c>
      <c r="R105" s="90">
        <v>44377</v>
      </c>
      <c r="S105" s="50">
        <v>3.98</v>
      </c>
      <c r="T105" s="90">
        <v>44377</v>
      </c>
      <c r="U105" s="50">
        <v>3.67</v>
      </c>
      <c r="V105" s="90">
        <v>44742</v>
      </c>
      <c r="W105" s="50">
        <v>4.1839000000000004</v>
      </c>
      <c r="X105" s="90">
        <v>45107</v>
      </c>
      <c r="Y105" s="50">
        <v>3.67</v>
      </c>
      <c r="Z105" s="20"/>
      <c r="AA105" s="173"/>
      <c r="AC105" s="173"/>
    </row>
    <row r="106" spans="2:29" outlineLevel="1">
      <c r="B106"/>
      <c r="C106" s="20" t="s">
        <v>80</v>
      </c>
      <c r="D106" s="20" t="s">
        <v>365</v>
      </c>
      <c r="E106" s="20" t="s">
        <v>103</v>
      </c>
      <c r="F106" s="20" t="s">
        <v>226</v>
      </c>
      <c r="G106" s="20" t="s">
        <v>65</v>
      </c>
      <c r="H106" s="89" t="s">
        <v>39</v>
      </c>
      <c r="I106" s="35" t="s">
        <v>39</v>
      </c>
      <c r="J106" s="90">
        <v>44377</v>
      </c>
      <c r="K106" s="50">
        <v>3.89</v>
      </c>
      <c r="L106" s="90">
        <v>44377</v>
      </c>
      <c r="M106" s="50">
        <v>3.89</v>
      </c>
      <c r="N106" s="90">
        <v>44377</v>
      </c>
      <c r="O106" s="50">
        <v>3.89</v>
      </c>
      <c r="P106" s="90">
        <v>44377</v>
      </c>
      <c r="Q106" s="50">
        <v>3.89</v>
      </c>
      <c r="R106" s="90">
        <v>44377</v>
      </c>
      <c r="S106" s="50">
        <v>3.89</v>
      </c>
      <c r="T106" s="90">
        <v>44377</v>
      </c>
      <c r="U106" s="50">
        <v>3.9809999999999999</v>
      </c>
      <c r="V106" s="90">
        <v>44742</v>
      </c>
      <c r="W106" s="50">
        <v>4.2270000000000003</v>
      </c>
      <c r="X106" s="90">
        <v>45107</v>
      </c>
      <c r="Y106" s="50">
        <v>4.3120000000000003</v>
      </c>
      <c r="Z106" s="20"/>
      <c r="AA106" s="173"/>
      <c r="AC106" s="173"/>
    </row>
    <row r="107" spans="2:29" outlineLevel="1">
      <c r="B107"/>
      <c r="C107" s="20" t="s">
        <v>80</v>
      </c>
      <c r="D107" s="20" t="s">
        <v>366</v>
      </c>
      <c r="E107" s="20" t="s">
        <v>103</v>
      </c>
      <c r="F107" s="20" t="s">
        <v>226</v>
      </c>
      <c r="G107" s="20" t="s">
        <v>65</v>
      </c>
      <c r="H107" s="89" t="s">
        <v>39</v>
      </c>
      <c r="I107" s="35" t="s">
        <v>39</v>
      </c>
      <c r="J107" s="90">
        <v>44377</v>
      </c>
      <c r="K107" s="50">
        <v>3.96</v>
      </c>
      <c r="L107" s="90">
        <v>44377</v>
      </c>
      <c r="M107" s="50">
        <v>3.96</v>
      </c>
      <c r="N107" s="90">
        <v>44377</v>
      </c>
      <c r="O107" s="50">
        <v>3.96</v>
      </c>
      <c r="P107" s="90">
        <v>44377</v>
      </c>
      <c r="Q107" s="50">
        <v>3.96</v>
      </c>
      <c r="R107" s="90">
        <v>44377</v>
      </c>
      <c r="S107" s="50">
        <v>3.96</v>
      </c>
      <c r="T107" s="90">
        <v>44377</v>
      </c>
      <c r="U107" s="50">
        <v>4.05</v>
      </c>
      <c r="V107" s="90">
        <v>44742</v>
      </c>
      <c r="W107" s="50">
        <v>4.6582999999999997</v>
      </c>
      <c r="X107" s="90">
        <v>45107</v>
      </c>
      <c r="Y107" s="50">
        <v>4.29</v>
      </c>
      <c r="Z107" s="20"/>
      <c r="AA107" s="173"/>
      <c r="AC107" s="173"/>
    </row>
    <row r="108" spans="2:29" outlineLevel="1">
      <c r="B108"/>
      <c r="C108" s="20" t="s">
        <v>80</v>
      </c>
      <c r="D108" s="20" t="s">
        <v>367</v>
      </c>
      <c r="E108" s="20" t="s">
        <v>103</v>
      </c>
      <c r="F108" s="20" t="s">
        <v>226</v>
      </c>
      <c r="G108" s="20" t="s">
        <v>65</v>
      </c>
      <c r="H108" s="89" t="s">
        <v>39</v>
      </c>
      <c r="I108" s="35" t="s">
        <v>39</v>
      </c>
      <c r="J108" s="90">
        <v>44377</v>
      </c>
      <c r="K108" s="50">
        <v>3.95</v>
      </c>
      <c r="L108" s="90">
        <v>44377</v>
      </c>
      <c r="M108" s="50">
        <v>3.95</v>
      </c>
      <c r="N108" s="90">
        <v>44377</v>
      </c>
      <c r="O108" s="50">
        <v>3.95</v>
      </c>
      <c r="P108" s="90">
        <v>44377</v>
      </c>
      <c r="Q108" s="50">
        <v>3.95</v>
      </c>
      <c r="R108" s="90">
        <v>44377</v>
      </c>
      <c r="S108" s="50">
        <v>3.95</v>
      </c>
      <c r="T108" s="90">
        <v>44377</v>
      </c>
      <c r="U108" s="50">
        <v>4.05</v>
      </c>
      <c r="V108" s="90">
        <v>44742</v>
      </c>
      <c r="W108" s="50">
        <v>4.3240999999999996</v>
      </c>
      <c r="X108" s="90">
        <v>45107</v>
      </c>
      <c r="Y108" s="50">
        <v>4.16</v>
      </c>
      <c r="Z108" s="20"/>
      <c r="AA108" s="173"/>
      <c r="AC108" s="173"/>
    </row>
    <row r="109" spans="2:29" outlineLevel="1">
      <c r="B109"/>
      <c r="C109" s="20" t="s">
        <v>80</v>
      </c>
      <c r="D109" s="20" t="s">
        <v>368</v>
      </c>
      <c r="E109" s="20" t="s">
        <v>103</v>
      </c>
      <c r="F109" s="20" t="s">
        <v>226</v>
      </c>
      <c r="G109" s="20" t="s">
        <v>66</v>
      </c>
      <c r="H109" s="89" t="s">
        <v>39</v>
      </c>
      <c r="I109" s="35" t="s">
        <v>39</v>
      </c>
      <c r="J109" s="90">
        <v>44377</v>
      </c>
      <c r="K109" s="50">
        <v>17.508700000000001</v>
      </c>
      <c r="L109" s="90">
        <v>44377</v>
      </c>
      <c r="M109" s="50">
        <v>17.508700000000001</v>
      </c>
      <c r="N109" s="90">
        <v>44377</v>
      </c>
      <c r="O109" s="50">
        <v>17.508700000000001</v>
      </c>
      <c r="P109" s="90">
        <v>44377</v>
      </c>
      <c r="Q109" s="50">
        <v>17.508700000000001</v>
      </c>
      <c r="R109" s="90">
        <v>44377</v>
      </c>
      <c r="S109" s="50">
        <v>17.508700000000001</v>
      </c>
      <c r="T109" s="90">
        <v>44377</v>
      </c>
      <c r="U109" s="50">
        <v>19.318200000000001</v>
      </c>
      <c r="V109" s="90">
        <v>44742</v>
      </c>
      <c r="W109" s="50">
        <v>20.665199999999999</v>
      </c>
      <c r="X109" s="90">
        <v>45107</v>
      </c>
      <c r="Y109" s="50">
        <v>19.642449948699095</v>
      </c>
      <c r="Z109" s="20"/>
      <c r="AA109" s="173"/>
      <c r="AC109" s="173"/>
    </row>
    <row r="110" spans="2:29" outlineLevel="1">
      <c r="B110"/>
      <c r="C110" s="20" t="s">
        <v>80</v>
      </c>
      <c r="D110" s="20" t="s">
        <v>369</v>
      </c>
      <c r="E110" s="20" t="s">
        <v>103</v>
      </c>
      <c r="F110" s="20" t="s">
        <v>226</v>
      </c>
      <c r="G110" s="20" t="s">
        <v>66</v>
      </c>
      <c r="H110" s="89" t="s">
        <v>39</v>
      </c>
      <c r="I110" s="35" t="s">
        <v>39</v>
      </c>
      <c r="J110" s="90">
        <v>44377</v>
      </c>
      <c r="K110" s="50">
        <v>13.02</v>
      </c>
      <c r="L110" s="90">
        <v>44377</v>
      </c>
      <c r="M110" s="50">
        <v>13.02</v>
      </c>
      <c r="N110" s="90">
        <v>44377</v>
      </c>
      <c r="O110" s="50">
        <v>13.02</v>
      </c>
      <c r="P110" s="90">
        <v>44377</v>
      </c>
      <c r="Q110" s="50">
        <v>13.02</v>
      </c>
      <c r="R110" s="90">
        <v>44377</v>
      </c>
      <c r="S110" s="50">
        <v>13.02</v>
      </c>
      <c r="T110" s="90">
        <v>44377</v>
      </c>
      <c r="U110" s="50">
        <v>13.33</v>
      </c>
      <c r="V110" s="90">
        <v>44742</v>
      </c>
      <c r="W110" s="50">
        <v>15.2043</v>
      </c>
      <c r="X110" s="90">
        <v>45107</v>
      </c>
      <c r="Y110" s="50">
        <v>13.27</v>
      </c>
      <c r="Z110" s="20"/>
      <c r="AA110" s="173"/>
      <c r="AC110" s="173"/>
    </row>
    <row r="111" spans="2:29" outlineLevel="1">
      <c r="B111"/>
      <c r="C111" s="20" t="s">
        <v>80</v>
      </c>
      <c r="D111" s="20" t="s">
        <v>370</v>
      </c>
      <c r="E111" s="20" t="s">
        <v>103</v>
      </c>
      <c r="F111" s="20" t="s">
        <v>226</v>
      </c>
      <c r="G111" s="20" t="s">
        <v>66</v>
      </c>
      <c r="H111" s="89" t="s">
        <v>39</v>
      </c>
      <c r="I111" s="35" t="s">
        <v>39</v>
      </c>
      <c r="J111" s="90">
        <v>44377</v>
      </c>
      <c r="K111" s="50">
        <v>14.331</v>
      </c>
      <c r="L111" s="90">
        <v>44377</v>
      </c>
      <c r="M111" s="50">
        <v>14.331</v>
      </c>
      <c r="N111" s="90">
        <v>44377</v>
      </c>
      <c r="O111" s="50">
        <v>14.331</v>
      </c>
      <c r="P111" s="90">
        <v>44377</v>
      </c>
      <c r="Q111" s="50">
        <v>14.331</v>
      </c>
      <c r="R111" s="90">
        <v>44377</v>
      </c>
      <c r="S111" s="50">
        <v>14.331</v>
      </c>
      <c r="T111" s="90">
        <v>44377</v>
      </c>
      <c r="U111" s="50">
        <v>14.099</v>
      </c>
      <c r="V111" s="90">
        <v>44742</v>
      </c>
      <c r="W111" s="50">
        <v>15.4275</v>
      </c>
      <c r="X111" s="90">
        <v>45107</v>
      </c>
      <c r="Y111" s="50">
        <v>15.097</v>
      </c>
      <c r="Z111" s="20"/>
      <c r="AA111" s="173"/>
      <c r="AC111" s="173"/>
    </row>
    <row r="112" spans="2:29" outlineLevel="1">
      <c r="B112"/>
      <c r="C112" s="20" t="s">
        <v>80</v>
      </c>
      <c r="D112" s="20" t="s">
        <v>371</v>
      </c>
      <c r="E112" s="20" t="s">
        <v>103</v>
      </c>
      <c r="F112" s="20" t="s">
        <v>226</v>
      </c>
      <c r="G112" s="20" t="s">
        <v>66</v>
      </c>
      <c r="H112" s="89" t="s">
        <v>39</v>
      </c>
      <c r="I112" s="35" t="s">
        <v>39</v>
      </c>
      <c r="J112" s="90">
        <v>44377</v>
      </c>
      <c r="K112" s="50">
        <v>14.75</v>
      </c>
      <c r="L112" s="90">
        <v>44377</v>
      </c>
      <c r="M112" s="50">
        <v>14.75</v>
      </c>
      <c r="N112" s="90">
        <v>44377</v>
      </c>
      <c r="O112" s="50">
        <v>14.75</v>
      </c>
      <c r="P112" s="90">
        <v>44377</v>
      </c>
      <c r="Q112" s="50">
        <v>14.75</v>
      </c>
      <c r="R112" s="90">
        <v>44377</v>
      </c>
      <c r="S112" s="50">
        <v>14.75</v>
      </c>
      <c r="T112" s="90">
        <v>44377</v>
      </c>
      <c r="U112" s="50">
        <v>16.190000000000001</v>
      </c>
      <c r="V112" s="90">
        <v>44742</v>
      </c>
      <c r="W112" s="50">
        <v>18.611799999999999</v>
      </c>
      <c r="X112" s="90">
        <v>45107</v>
      </c>
      <c r="Y112" s="50">
        <v>17.46</v>
      </c>
      <c r="Z112" s="20"/>
      <c r="AA112" s="173"/>
      <c r="AC112" s="173"/>
    </row>
    <row r="113" spans="2:29" outlineLevel="1">
      <c r="B113"/>
      <c r="C113" s="20" t="s">
        <v>80</v>
      </c>
      <c r="D113" s="20" t="s">
        <v>372</v>
      </c>
      <c r="E113" s="20" t="s">
        <v>103</v>
      </c>
      <c r="F113" s="20" t="s">
        <v>226</v>
      </c>
      <c r="G113" s="20" t="s">
        <v>66</v>
      </c>
      <c r="H113" s="89" t="s">
        <v>39</v>
      </c>
      <c r="I113" s="35" t="s">
        <v>39</v>
      </c>
      <c r="J113" s="90">
        <v>44377</v>
      </c>
      <c r="K113" s="50">
        <v>13.99</v>
      </c>
      <c r="L113" s="90">
        <v>44377</v>
      </c>
      <c r="M113" s="50">
        <v>13.99</v>
      </c>
      <c r="N113" s="90">
        <v>44377</v>
      </c>
      <c r="O113" s="50">
        <v>13.99</v>
      </c>
      <c r="P113" s="90">
        <v>44377</v>
      </c>
      <c r="Q113" s="50">
        <v>13.99</v>
      </c>
      <c r="R113" s="90">
        <v>44377</v>
      </c>
      <c r="S113" s="50">
        <v>13.99</v>
      </c>
      <c r="T113" s="90">
        <v>44377</v>
      </c>
      <c r="U113" s="50">
        <v>14.98</v>
      </c>
      <c r="V113" s="90">
        <v>44742</v>
      </c>
      <c r="W113" s="50">
        <v>15.9915</v>
      </c>
      <c r="X113" s="90">
        <v>45107</v>
      </c>
      <c r="Y113" s="50">
        <v>15.41</v>
      </c>
      <c r="Z113" s="20"/>
      <c r="AA113" s="173"/>
      <c r="AC113" s="173"/>
    </row>
    <row r="114" spans="2:29" outlineLevel="1">
      <c r="B114"/>
      <c r="C114" s="20" t="s">
        <v>80</v>
      </c>
      <c r="D114" s="20" t="s">
        <v>373</v>
      </c>
      <c r="E114" s="20" t="s">
        <v>103</v>
      </c>
      <c r="F114" s="20" t="s">
        <v>226</v>
      </c>
      <c r="G114" s="20" t="s">
        <v>66</v>
      </c>
      <c r="H114" s="89" t="s">
        <v>39</v>
      </c>
      <c r="I114" s="35" t="s">
        <v>39</v>
      </c>
      <c r="J114" s="90">
        <v>44377</v>
      </c>
      <c r="K114" s="50">
        <v>4.2656000000000001</v>
      </c>
      <c r="L114" s="90">
        <v>44377</v>
      </c>
      <c r="M114" s="50">
        <v>4.2656000000000001</v>
      </c>
      <c r="N114" s="90">
        <v>44377</v>
      </c>
      <c r="O114" s="50">
        <v>4.2656000000000001</v>
      </c>
      <c r="P114" s="90">
        <v>44377</v>
      </c>
      <c r="Q114" s="50">
        <v>4.2656000000000001</v>
      </c>
      <c r="R114" s="90">
        <v>44377</v>
      </c>
      <c r="S114" s="50">
        <v>4.2656000000000001</v>
      </c>
      <c r="T114" s="90">
        <v>44377</v>
      </c>
      <c r="U114" s="50">
        <v>4.7115</v>
      </c>
      <c r="V114" s="90">
        <v>44742</v>
      </c>
      <c r="W114" s="50">
        <v>5.0449999999999999</v>
      </c>
      <c r="X114" s="90">
        <v>45107</v>
      </c>
      <c r="Y114" s="50">
        <v>4.742575271253056</v>
      </c>
      <c r="Z114" s="20"/>
      <c r="AA114" s="173"/>
      <c r="AC114" s="173"/>
    </row>
    <row r="115" spans="2:29" outlineLevel="1">
      <c r="B115"/>
      <c r="C115" s="20" t="s">
        <v>80</v>
      </c>
      <c r="D115" s="20" t="s">
        <v>374</v>
      </c>
      <c r="E115" s="20" t="s">
        <v>103</v>
      </c>
      <c r="F115" s="20" t="s">
        <v>226</v>
      </c>
      <c r="G115" s="20" t="s">
        <v>66</v>
      </c>
      <c r="H115" s="89" t="s">
        <v>39</v>
      </c>
      <c r="I115" s="35" t="s">
        <v>39</v>
      </c>
      <c r="J115" s="90">
        <v>44377</v>
      </c>
      <c r="K115" s="50">
        <v>2.89</v>
      </c>
      <c r="L115" s="90">
        <v>44377</v>
      </c>
      <c r="M115" s="50">
        <v>2.89</v>
      </c>
      <c r="N115" s="90">
        <v>44377</v>
      </c>
      <c r="O115" s="50">
        <v>2.89</v>
      </c>
      <c r="P115" s="90">
        <v>44377</v>
      </c>
      <c r="Q115" s="50">
        <v>2.89</v>
      </c>
      <c r="R115" s="90">
        <v>44377</v>
      </c>
      <c r="S115" s="50">
        <v>2.89</v>
      </c>
      <c r="T115" s="90">
        <v>44377</v>
      </c>
      <c r="U115" s="50">
        <v>2.96</v>
      </c>
      <c r="V115" s="90">
        <v>44742</v>
      </c>
      <c r="W115" s="50">
        <v>3.3751000000000002</v>
      </c>
      <c r="X115" s="90">
        <v>45107</v>
      </c>
      <c r="Y115" s="50">
        <v>2.95</v>
      </c>
      <c r="Z115" s="20"/>
      <c r="AA115" s="173"/>
      <c r="AC115" s="173"/>
    </row>
    <row r="116" spans="2:29" outlineLevel="1">
      <c r="B116"/>
      <c r="C116" s="20" t="s">
        <v>80</v>
      </c>
      <c r="D116" s="20" t="s">
        <v>375</v>
      </c>
      <c r="E116" s="20" t="s">
        <v>103</v>
      </c>
      <c r="F116" s="20" t="s">
        <v>226</v>
      </c>
      <c r="G116" s="20" t="s">
        <v>66</v>
      </c>
      <c r="H116" s="89" t="s">
        <v>39</v>
      </c>
      <c r="I116" s="35" t="s">
        <v>39</v>
      </c>
      <c r="J116" s="90">
        <v>44377</v>
      </c>
      <c r="K116" s="50">
        <v>3.052</v>
      </c>
      <c r="L116" s="90">
        <v>44377</v>
      </c>
      <c r="M116" s="50">
        <v>3.052</v>
      </c>
      <c r="N116" s="90">
        <v>44377</v>
      </c>
      <c r="O116" s="50">
        <v>3.052</v>
      </c>
      <c r="P116" s="90">
        <v>44377</v>
      </c>
      <c r="Q116" s="50">
        <v>3.052</v>
      </c>
      <c r="R116" s="90">
        <v>44377</v>
      </c>
      <c r="S116" s="50">
        <v>3.052</v>
      </c>
      <c r="T116" s="90">
        <v>44377</v>
      </c>
      <c r="U116" s="50">
        <v>2.9529999999999998</v>
      </c>
      <c r="V116" s="90">
        <v>44742</v>
      </c>
      <c r="W116" s="50">
        <v>3.2090999999999998</v>
      </c>
      <c r="X116" s="90">
        <v>45107</v>
      </c>
      <c r="Y116" s="50">
        <v>3.226</v>
      </c>
      <c r="Z116" s="20"/>
      <c r="AA116" s="173"/>
      <c r="AC116" s="173"/>
    </row>
    <row r="117" spans="2:29" outlineLevel="1">
      <c r="B117"/>
      <c r="C117" s="20" t="s">
        <v>80</v>
      </c>
      <c r="D117" s="20" t="s">
        <v>376</v>
      </c>
      <c r="E117" s="20" t="s">
        <v>103</v>
      </c>
      <c r="F117" s="20" t="s">
        <v>226</v>
      </c>
      <c r="G117" s="20" t="s">
        <v>66</v>
      </c>
      <c r="H117" s="89" t="s">
        <v>39</v>
      </c>
      <c r="I117" s="35" t="s">
        <v>39</v>
      </c>
      <c r="J117" s="90">
        <v>44377</v>
      </c>
      <c r="K117" s="50">
        <v>3.28</v>
      </c>
      <c r="L117" s="90">
        <v>44377</v>
      </c>
      <c r="M117" s="50">
        <v>3.28</v>
      </c>
      <c r="N117" s="90">
        <v>44377</v>
      </c>
      <c r="O117" s="50">
        <v>3.28</v>
      </c>
      <c r="P117" s="90">
        <v>44377</v>
      </c>
      <c r="Q117" s="50">
        <v>3.28</v>
      </c>
      <c r="R117" s="90">
        <v>44377</v>
      </c>
      <c r="S117" s="50">
        <v>3.28</v>
      </c>
      <c r="T117" s="90">
        <v>44377</v>
      </c>
      <c r="U117" s="50">
        <v>3.59</v>
      </c>
      <c r="V117" s="90">
        <v>44742</v>
      </c>
      <c r="W117" s="50">
        <v>4.13</v>
      </c>
      <c r="X117" s="90">
        <v>45107</v>
      </c>
      <c r="Y117" s="50">
        <v>3.8800000000000003</v>
      </c>
      <c r="Z117" s="20"/>
      <c r="AA117" s="173"/>
      <c r="AC117" s="173"/>
    </row>
    <row r="118" spans="2:29" outlineLevel="1">
      <c r="B118"/>
      <c r="C118" s="20" t="s">
        <v>80</v>
      </c>
      <c r="D118" s="20" t="s">
        <v>377</v>
      </c>
      <c r="E118" s="20" t="s">
        <v>103</v>
      </c>
      <c r="F118" s="20" t="s">
        <v>226</v>
      </c>
      <c r="G118" s="20" t="s">
        <v>66</v>
      </c>
      <c r="H118" s="89" t="s">
        <v>39</v>
      </c>
      <c r="I118" s="35" t="s">
        <v>39</v>
      </c>
      <c r="J118" s="90">
        <v>44377</v>
      </c>
      <c r="K118" s="50">
        <v>3.11</v>
      </c>
      <c r="L118" s="90">
        <v>44377</v>
      </c>
      <c r="M118" s="50">
        <v>3.11</v>
      </c>
      <c r="N118" s="90">
        <v>44377</v>
      </c>
      <c r="O118" s="50">
        <v>3.11</v>
      </c>
      <c r="P118" s="90">
        <v>44377</v>
      </c>
      <c r="Q118" s="50">
        <v>3.11</v>
      </c>
      <c r="R118" s="90">
        <v>44377</v>
      </c>
      <c r="S118" s="50">
        <v>3.11</v>
      </c>
      <c r="T118" s="90">
        <v>44377</v>
      </c>
      <c r="U118" s="50">
        <v>3.33</v>
      </c>
      <c r="V118" s="90">
        <v>44742</v>
      </c>
      <c r="W118" s="50">
        <v>3.5476999999999999</v>
      </c>
      <c r="X118" s="90">
        <v>45107</v>
      </c>
      <c r="Y118" s="50">
        <v>3.4299999999999997</v>
      </c>
      <c r="Z118" s="20"/>
      <c r="AA118" s="173"/>
      <c r="AC118" s="173"/>
    </row>
    <row r="119" spans="2:29" outlineLevel="1">
      <c r="B119"/>
      <c r="C119" s="20" t="s">
        <v>80</v>
      </c>
      <c r="D119" s="20" t="s">
        <v>378</v>
      </c>
      <c r="E119" s="20" t="s">
        <v>103</v>
      </c>
      <c r="F119" s="20" t="s">
        <v>226</v>
      </c>
      <c r="G119" s="20" t="s">
        <v>65</v>
      </c>
      <c r="H119" s="89">
        <v>44196</v>
      </c>
      <c r="I119" s="35">
        <v>3.8612000000000002</v>
      </c>
      <c r="J119" s="90">
        <v>44377</v>
      </c>
      <c r="K119" s="50">
        <v>4.2622999999999998</v>
      </c>
      <c r="L119" s="90">
        <v>44377</v>
      </c>
      <c r="M119" s="50">
        <v>4.2622999999999998</v>
      </c>
      <c r="N119" s="90">
        <v>44377</v>
      </c>
      <c r="O119" s="50">
        <v>4.2622999999999998</v>
      </c>
      <c r="P119" s="90">
        <v>44377</v>
      </c>
      <c r="Q119" s="50">
        <v>4.2622999999999998</v>
      </c>
      <c r="R119" s="90">
        <v>44377</v>
      </c>
      <c r="S119" s="50">
        <v>4.2622999999999998</v>
      </c>
      <c r="T119" s="90">
        <v>44377</v>
      </c>
      <c r="U119" s="50">
        <v>4.7466999999999997</v>
      </c>
      <c r="V119" s="90">
        <v>44742</v>
      </c>
      <c r="W119" s="50">
        <v>5.0824999999999996</v>
      </c>
      <c r="X119" s="90">
        <v>45107</v>
      </c>
      <c r="Y119" s="50">
        <v>4.6393863430805986</v>
      </c>
      <c r="Z119" s="20"/>
      <c r="AA119" s="173"/>
      <c r="AC119" s="173"/>
    </row>
    <row r="120" spans="2:29" outlineLevel="1">
      <c r="B120"/>
      <c r="C120" s="20" t="s">
        <v>80</v>
      </c>
      <c r="D120" s="20" t="s">
        <v>379</v>
      </c>
      <c r="E120" s="20" t="s">
        <v>103</v>
      </c>
      <c r="F120" s="20" t="s">
        <v>226</v>
      </c>
      <c r="G120" s="20" t="s">
        <v>65</v>
      </c>
      <c r="H120" s="89">
        <v>44196</v>
      </c>
      <c r="I120" s="35">
        <v>2.09</v>
      </c>
      <c r="J120" s="90">
        <v>44377</v>
      </c>
      <c r="K120" s="50">
        <v>2.4700000000000002</v>
      </c>
      <c r="L120" s="90">
        <v>44377</v>
      </c>
      <c r="M120" s="50">
        <v>2.4700000000000002</v>
      </c>
      <c r="N120" s="90">
        <v>44377</v>
      </c>
      <c r="O120" s="50">
        <v>2.4700000000000002</v>
      </c>
      <c r="P120" s="90">
        <v>44377</v>
      </c>
      <c r="Q120" s="50">
        <v>2.4700000000000002</v>
      </c>
      <c r="R120" s="90">
        <v>44377</v>
      </c>
      <c r="S120" s="50">
        <v>2.4700000000000002</v>
      </c>
      <c r="T120" s="90">
        <v>44377</v>
      </c>
      <c r="U120" s="50">
        <v>2.2200000000000002</v>
      </c>
      <c r="V120" s="90">
        <v>44742</v>
      </c>
      <c r="W120" s="50">
        <v>2.5339999999999998</v>
      </c>
      <c r="X120" s="90">
        <v>45107</v>
      </c>
      <c r="Y120" s="50">
        <v>2.21</v>
      </c>
      <c r="Z120" s="20"/>
      <c r="AA120" s="173"/>
      <c r="AC120" s="173"/>
    </row>
    <row r="121" spans="2:29" outlineLevel="1">
      <c r="B121"/>
      <c r="C121" s="20" t="s">
        <v>80</v>
      </c>
      <c r="D121" s="20" t="s">
        <v>380</v>
      </c>
      <c r="E121" s="20" t="s">
        <v>103</v>
      </c>
      <c r="F121" s="20" t="s">
        <v>226</v>
      </c>
      <c r="G121" s="20" t="s">
        <v>65</v>
      </c>
      <c r="H121" s="89">
        <v>44196</v>
      </c>
      <c r="I121" s="35">
        <v>2.9159999999999999</v>
      </c>
      <c r="J121" s="90">
        <v>44377</v>
      </c>
      <c r="K121" s="50">
        <v>3.5990000000000002</v>
      </c>
      <c r="L121" s="90">
        <v>44377</v>
      </c>
      <c r="M121" s="50">
        <v>3.5990000000000002</v>
      </c>
      <c r="N121" s="90">
        <v>44377</v>
      </c>
      <c r="O121" s="50">
        <v>3.5990000000000002</v>
      </c>
      <c r="P121" s="90">
        <v>44377</v>
      </c>
      <c r="Q121" s="50">
        <v>3.5990000000000002</v>
      </c>
      <c r="R121" s="90">
        <v>44377</v>
      </c>
      <c r="S121" s="50">
        <v>3.5990000000000002</v>
      </c>
      <c r="T121" s="90">
        <v>44377</v>
      </c>
      <c r="U121" s="50">
        <v>3.448</v>
      </c>
      <c r="V121" s="90">
        <v>44742</v>
      </c>
      <c r="W121" s="50">
        <v>3.7147999999999999</v>
      </c>
      <c r="X121" s="90">
        <v>45107</v>
      </c>
      <c r="Y121" s="50">
        <v>3.6950000000000003</v>
      </c>
      <c r="Z121" s="20"/>
      <c r="AA121" s="173"/>
      <c r="AC121" s="173"/>
    </row>
    <row r="122" spans="2:29" outlineLevel="1">
      <c r="B122"/>
      <c r="C122" s="20" t="s">
        <v>80</v>
      </c>
      <c r="D122" s="20" t="s">
        <v>381</v>
      </c>
      <c r="E122" s="20" t="s">
        <v>103</v>
      </c>
      <c r="F122" s="20" t="s">
        <v>226</v>
      </c>
      <c r="G122" s="20" t="s">
        <v>65</v>
      </c>
      <c r="H122" s="89">
        <v>44196</v>
      </c>
      <c r="I122" s="35">
        <v>2.14</v>
      </c>
      <c r="J122" s="90">
        <v>44377</v>
      </c>
      <c r="K122" s="50">
        <v>2.39</v>
      </c>
      <c r="L122" s="90">
        <v>44377</v>
      </c>
      <c r="M122" s="50">
        <v>2.39</v>
      </c>
      <c r="N122" s="90">
        <v>44377</v>
      </c>
      <c r="O122" s="50">
        <v>2.39</v>
      </c>
      <c r="P122" s="90">
        <v>44377</v>
      </c>
      <c r="Q122" s="50">
        <v>2.39</v>
      </c>
      <c r="R122" s="90">
        <v>44377</v>
      </c>
      <c r="S122" s="50">
        <v>2.39</v>
      </c>
      <c r="T122" s="90">
        <v>44377</v>
      </c>
      <c r="U122" s="50">
        <v>2.35</v>
      </c>
      <c r="V122" s="90">
        <v>44742</v>
      </c>
      <c r="W122" s="50">
        <v>2.7065999999999999</v>
      </c>
      <c r="X122" s="90">
        <v>45107</v>
      </c>
      <c r="Y122" s="50">
        <v>2.46</v>
      </c>
      <c r="Z122" s="20"/>
      <c r="AA122" s="173"/>
      <c r="AC122" s="173"/>
    </row>
    <row r="123" spans="2:29" outlineLevel="1">
      <c r="B123"/>
      <c r="C123" s="40" t="s">
        <v>80</v>
      </c>
      <c r="D123" s="40" t="s">
        <v>382</v>
      </c>
      <c r="E123" s="40" t="s">
        <v>103</v>
      </c>
      <c r="F123" s="40" t="s">
        <v>226</v>
      </c>
      <c r="G123" s="20" t="s">
        <v>65</v>
      </c>
      <c r="H123" s="89">
        <v>44196</v>
      </c>
      <c r="I123" s="35">
        <v>1.73</v>
      </c>
      <c r="J123" s="90">
        <v>44377</v>
      </c>
      <c r="K123" s="50">
        <v>2.17</v>
      </c>
      <c r="L123" s="90">
        <v>44377</v>
      </c>
      <c r="M123" s="50">
        <v>2.17</v>
      </c>
      <c r="N123" s="90">
        <v>44377</v>
      </c>
      <c r="O123" s="50">
        <v>2.17</v>
      </c>
      <c r="P123" s="90">
        <v>44377</v>
      </c>
      <c r="Q123" s="50">
        <v>2.17</v>
      </c>
      <c r="R123" s="90">
        <v>44377</v>
      </c>
      <c r="S123" s="50">
        <v>2.17</v>
      </c>
      <c r="T123" s="90">
        <v>44377</v>
      </c>
      <c r="U123" s="50">
        <v>2.34</v>
      </c>
      <c r="V123" s="90">
        <v>44742</v>
      </c>
      <c r="W123" s="50">
        <v>2.5017</v>
      </c>
      <c r="X123" s="90">
        <v>45107</v>
      </c>
      <c r="Y123" s="50">
        <v>2.44</v>
      </c>
      <c r="Z123" s="20"/>
      <c r="AA123" s="173"/>
      <c r="AC123" s="173"/>
    </row>
    <row r="124" spans="2:29" outlineLevel="1">
      <c r="B124"/>
      <c r="C124" s="20" t="s">
        <v>383</v>
      </c>
      <c r="D124" s="20" t="s">
        <v>97</v>
      </c>
      <c r="E124" s="20" t="s">
        <v>7</v>
      </c>
      <c r="F124" s="20" t="s">
        <v>128</v>
      </c>
      <c r="G124" s="20" t="s">
        <v>91</v>
      </c>
      <c r="H124" s="89" t="s">
        <v>39</v>
      </c>
      <c r="I124" s="35">
        <v>6.0400000000000002E-2</v>
      </c>
      <c r="J124" s="89" t="s">
        <v>39</v>
      </c>
      <c r="K124" s="98">
        <v>6.0400000000000002E-2</v>
      </c>
      <c r="L124" s="89" t="s">
        <v>39</v>
      </c>
      <c r="M124" s="35">
        <v>6.0400000000000002E-2</v>
      </c>
      <c r="N124" s="90" t="s">
        <v>39</v>
      </c>
      <c r="O124" s="159">
        <v>6.0400000000000002E-2</v>
      </c>
      <c r="P124" s="90" t="s">
        <v>39</v>
      </c>
      <c r="Q124" s="159">
        <v>6.0400000000000002E-2</v>
      </c>
      <c r="R124" s="90" t="s">
        <v>39</v>
      </c>
      <c r="S124" s="159">
        <v>6.0400000000000002E-2</v>
      </c>
      <c r="T124" s="90" t="s">
        <v>39</v>
      </c>
      <c r="U124" s="50">
        <v>6.0400000000000002E-2</v>
      </c>
      <c r="V124" s="90" t="s">
        <v>39</v>
      </c>
      <c r="W124" s="50">
        <v>6.0400000000000002E-2</v>
      </c>
      <c r="X124" s="90" t="s">
        <v>39</v>
      </c>
      <c r="Y124" s="50">
        <v>5.6000000000000001E-2</v>
      </c>
      <c r="Z124" s="20"/>
      <c r="AA124" s="173"/>
      <c r="AC124" s="173"/>
    </row>
    <row r="125" spans="2:29" outlineLevel="1">
      <c r="B125"/>
      <c r="C125" s="20" t="s">
        <v>384</v>
      </c>
      <c r="D125" s="20" t="s">
        <v>385</v>
      </c>
      <c r="E125" s="20" t="s">
        <v>7</v>
      </c>
      <c r="F125" s="20" t="s">
        <v>128</v>
      </c>
      <c r="G125" s="20" t="s">
        <v>91</v>
      </c>
      <c r="H125" s="89" t="s">
        <v>39</v>
      </c>
      <c r="I125" s="35">
        <v>0.99914999999999998</v>
      </c>
      <c r="J125" s="89" t="s">
        <v>39</v>
      </c>
      <c r="K125" s="98">
        <v>0.99914999999999998</v>
      </c>
      <c r="L125" s="89" t="s">
        <v>39</v>
      </c>
      <c r="M125" s="35">
        <v>0.99914999999999998</v>
      </c>
      <c r="N125" s="90" t="s">
        <v>39</v>
      </c>
      <c r="O125" s="159">
        <v>1.0016499999999999</v>
      </c>
      <c r="P125" s="90" t="s">
        <v>39</v>
      </c>
      <c r="Q125" s="159">
        <v>1.0056461538461539</v>
      </c>
      <c r="R125" s="90" t="s">
        <v>39</v>
      </c>
      <c r="S125" s="159">
        <v>1.0056461538461539</v>
      </c>
      <c r="T125" s="90" t="s">
        <v>39</v>
      </c>
      <c r="U125" s="50">
        <v>1.0020692307700001</v>
      </c>
      <c r="V125" s="90" t="s">
        <v>39</v>
      </c>
      <c r="W125" s="50">
        <v>1.0034000000000001</v>
      </c>
      <c r="X125" s="90" t="s">
        <v>39</v>
      </c>
      <c r="Y125" s="50">
        <v>1.0040999999999998</v>
      </c>
      <c r="Z125" s="20"/>
      <c r="AA125" s="173"/>
      <c r="AC125" s="173"/>
    </row>
    <row r="126" spans="2:29" outlineLevel="1">
      <c r="B126"/>
      <c r="C126" s="20" t="s">
        <v>384</v>
      </c>
      <c r="D126" s="20" t="s">
        <v>386</v>
      </c>
      <c r="E126" s="20" t="s">
        <v>7</v>
      </c>
      <c r="F126" s="20" t="s">
        <v>128</v>
      </c>
      <c r="G126" s="20" t="s">
        <v>91</v>
      </c>
      <c r="H126" s="89" t="s">
        <v>39</v>
      </c>
      <c r="I126" s="35">
        <v>0.99780999999999997</v>
      </c>
      <c r="J126" s="89" t="s">
        <v>39</v>
      </c>
      <c r="K126" s="98">
        <v>0.99780999999999997</v>
      </c>
      <c r="L126" s="89" t="s">
        <v>39</v>
      </c>
      <c r="M126" s="35">
        <v>0.99780999999999997</v>
      </c>
      <c r="N126" s="90" t="s">
        <v>39</v>
      </c>
      <c r="O126" s="159">
        <v>0.99756</v>
      </c>
      <c r="P126" s="90" t="s">
        <v>39</v>
      </c>
      <c r="Q126" s="159">
        <v>0.99787777777777775</v>
      </c>
      <c r="R126" s="90" t="s">
        <v>39</v>
      </c>
      <c r="S126" s="159">
        <v>0.99787777777777775</v>
      </c>
      <c r="T126" s="90" t="s">
        <v>39</v>
      </c>
      <c r="U126" s="50">
        <v>0.99789000000000005</v>
      </c>
      <c r="V126" s="90" t="s">
        <v>39</v>
      </c>
      <c r="W126" s="50">
        <v>0.99729999999999996</v>
      </c>
      <c r="X126" s="90" t="s">
        <v>39</v>
      </c>
      <c r="Y126" s="50">
        <v>0.99999000000000005</v>
      </c>
      <c r="Z126" s="20"/>
      <c r="AA126" s="173"/>
      <c r="AC126" s="173"/>
    </row>
    <row r="127" spans="2:29" outlineLevel="1">
      <c r="B127"/>
      <c r="C127" s="20" t="s">
        <v>384</v>
      </c>
      <c r="D127" s="20" t="s">
        <v>387</v>
      </c>
      <c r="E127" s="20" t="s">
        <v>7</v>
      </c>
      <c r="F127" s="20" t="s">
        <v>128</v>
      </c>
      <c r="G127" s="20" t="s">
        <v>91</v>
      </c>
      <c r="H127" s="89" t="s">
        <v>39</v>
      </c>
      <c r="I127" s="35">
        <v>0.99831111111111126</v>
      </c>
      <c r="J127" s="89" t="s">
        <v>39</v>
      </c>
      <c r="K127" s="98">
        <v>0.99831111111111126</v>
      </c>
      <c r="L127" s="89" t="s">
        <v>39</v>
      </c>
      <c r="M127" s="35">
        <v>0.99831111111111126</v>
      </c>
      <c r="N127" s="90" t="s">
        <v>39</v>
      </c>
      <c r="O127" s="159">
        <v>0.99891111111111108</v>
      </c>
      <c r="P127" s="90" t="s">
        <v>39</v>
      </c>
      <c r="Q127" s="159">
        <v>0.99932500000000002</v>
      </c>
      <c r="R127" s="90" t="s">
        <v>39</v>
      </c>
      <c r="S127" s="159">
        <v>0.99932500000000002</v>
      </c>
      <c r="T127" s="90" t="s">
        <v>39</v>
      </c>
      <c r="U127" s="50">
        <v>0.99978750000000005</v>
      </c>
      <c r="V127" s="90" t="s">
        <v>39</v>
      </c>
      <c r="W127" s="50">
        <v>0.99939999999999996</v>
      </c>
      <c r="X127" s="90" t="s">
        <v>39</v>
      </c>
      <c r="Y127" s="50">
        <v>1.0006249999999999</v>
      </c>
      <c r="Z127" s="20"/>
      <c r="AA127" s="173"/>
      <c r="AC127" s="173"/>
    </row>
    <row r="128" spans="2:29" outlineLevel="1">
      <c r="B128"/>
      <c r="C128" s="20" t="s">
        <v>384</v>
      </c>
      <c r="D128" s="20" t="s">
        <v>388</v>
      </c>
      <c r="E128" s="20" t="s">
        <v>7</v>
      </c>
      <c r="F128" s="20" t="s">
        <v>128</v>
      </c>
      <c r="G128" s="20" t="s">
        <v>91</v>
      </c>
      <c r="H128" s="89" t="s">
        <v>39</v>
      </c>
      <c r="I128" s="35">
        <v>0.98904090909090892</v>
      </c>
      <c r="J128" s="89" t="s">
        <v>39</v>
      </c>
      <c r="K128" s="98">
        <v>0.98904090909090892</v>
      </c>
      <c r="L128" s="89" t="s">
        <v>39</v>
      </c>
      <c r="M128" s="35">
        <v>0.98904090909090892</v>
      </c>
      <c r="N128" s="90" t="s">
        <v>39</v>
      </c>
      <c r="O128" s="159">
        <v>0.99418636363636348</v>
      </c>
      <c r="P128" s="90" t="s">
        <v>39</v>
      </c>
      <c r="Q128" s="159">
        <v>0.99378947368421044</v>
      </c>
      <c r="R128" s="90" t="s">
        <v>39</v>
      </c>
      <c r="S128" s="159">
        <v>0.99378947368421044</v>
      </c>
      <c r="T128" s="90" t="s">
        <v>39</v>
      </c>
      <c r="U128" s="50">
        <v>0.99254736842000002</v>
      </c>
      <c r="V128" s="90" t="s">
        <v>39</v>
      </c>
      <c r="W128" s="50">
        <v>0.99870000000000003</v>
      </c>
      <c r="X128" s="90" t="s">
        <v>39</v>
      </c>
      <c r="Y128" s="50">
        <v>0.9980157894736843</v>
      </c>
      <c r="Z128" s="20"/>
      <c r="AA128" s="173"/>
      <c r="AC128" s="173"/>
    </row>
    <row r="129" spans="1:29" outlineLevel="1">
      <c r="B129"/>
      <c r="C129" s="20" t="s">
        <v>384</v>
      </c>
      <c r="D129" s="20" t="s">
        <v>389</v>
      </c>
      <c r="E129" s="20" t="s">
        <v>7</v>
      </c>
      <c r="F129" s="20" t="s">
        <v>128</v>
      </c>
      <c r="G129" s="20" t="s">
        <v>91</v>
      </c>
      <c r="H129" s="89" t="s">
        <v>39</v>
      </c>
      <c r="I129" s="35">
        <v>0.99633000000000005</v>
      </c>
      <c r="J129" s="89" t="s">
        <v>39</v>
      </c>
      <c r="K129" s="98">
        <v>0.99633000000000005</v>
      </c>
      <c r="L129" s="89" t="s">
        <v>39</v>
      </c>
      <c r="M129" s="35">
        <v>0.99633000000000005</v>
      </c>
      <c r="N129" s="90" t="s">
        <v>39</v>
      </c>
      <c r="O129" s="159">
        <v>0.99576000000000009</v>
      </c>
      <c r="P129" s="90" t="s">
        <v>39</v>
      </c>
      <c r="Q129" s="159">
        <v>0.99566363636363631</v>
      </c>
      <c r="R129" s="90" t="s">
        <v>39</v>
      </c>
      <c r="S129" s="159">
        <v>0.99566363636363631</v>
      </c>
      <c r="T129" s="90" t="s">
        <v>39</v>
      </c>
      <c r="U129" s="50">
        <v>0.99679090909000001</v>
      </c>
      <c r="V129" s="90" t="s">
        <v>39</v>
      </c>
      <c r="W129" s="50">
        <v>0.99629999999999996</v>
      </c>
      <c r="X129" s="90" t="s">
        <v>39</v>
      </c>
      <c r="Y129" s="50">
        <v>0.99870909090909099</v>
      </c>
      <c r="Z129" s="20"/>
      <c r="AA129" s="173"/>
      <c r="AC129" s="173"/>
    </row>
    <row r="130" spans="1:29" outlineLevel="1">
      <c r="B130"/>
      <c r="C130" s="20" t="s">
        <v>390</v>
      </c>
      <c r="D130" s="20" t="s">
        <v>391</v>
      </c>
      <c r="E130" s="20" t="s">
        <v>7</v>
      </c>
      <c r="F130" s="20" t="s">
        <v>128</v>
      </c>
      <c r="G130" s="20" t="s">
        <v>91</v>
      </c>
      <c r="H130" s="89" t="s">
        <v>39</v>
      </c>
      <c r="I130" s="35">
        <v>1.06795</v>
      </c>
      <c r="J130" s="89" t="s">
        <v>39</v>
      </c>
      <c r="K130" s="98">
        <v>1.06795</v>
      </c>
      <c r="L130" s="89" t="s">
        <v>39</v>
      </c>
      <c r="M130" s="35">
        <v>1.06795</v>
      </c>
      <c r="N130" s="90" t="s">
        <v>39</v>
      </c>
      <c r="O130" s="159">
        <v>1.0686</v>
      </c>
      <c r="P130" s="90" t="s">
        <v>39</v>
      </c>
      <c r="Q130" s="159">
        <v>1.0733923356752877</v>
      </c>
      <c r="R130" s="90" t="s">
        <v>39</v>
      </c>
      <c r="S130" s="159">
        <v>1.0733923356752877</v>
      </c>
      <c r="T130" s="90" t="s">
        <v>39</v>
      </c>
      <c r="U130" s="50">
        <v>1.0768412403282728</v>
      </c>
      <c r="V130" s="90" t="s">
        <v>39</v>
      </c>
      <c r="W130" s="50">
        <v>1.0768</v>
      </c>
      <c r="X130" s="90" t="s">
        <v>39</v>
      </c>
      <c r="Y130" s="50">
        <v>1.0809876390249804</v>
      </c>
      <c r="Z130" s="20"/>
      <c r="AA130" s="173"/>
      <c r="AC130" s="173"/>
    </row>
    <row r="131" spans="1:29" outlineLevel="1">
      <c r="B131"/>
      <c r="C131" s="20" t="s">
        <v>390</v>
      </c>
      <c r="D131" s="20" t="s">
        <v>392</v>
      </c>
      <c r="E131" s="20" t="s">
        <v>7</v>
      </c>
      <c r="F131" s="20" t="s">
        <v>128</v>
      </c>
      <c r="G131" s="20" t="s">
        <v>91</v>
      </c>
      <c r="H131" s="89" t="s">
        <v>39</v>
      </c>
      <c r="I131" s="35">
        <v>1.0508999999999999</v>
      </c>
      <c r="J131" s="89" t="s">
        <v>39</v>
      </c>
      <c r="K131" s="98">
        <v>1.0508999999999999</v>
      </c>
      <c r="L131" s="89" t="s">
        <v>39</v>
      </c>
      <c r="M131" s="35">
        <v>1.0508999999999999</v>
      </c>
      <c r="N131" s="90" t="s">
        <v>39</v>
      </c>
      <c r="O131" s="159">
        <v>1.0525</v>
      </c>
      <c r="P131" s="90" t="s">
        <v>39</v>
      </c>
      <c r="Q131" s="159">
        <v>1.05</v>
      </c>
      <c r="R131" s="90" t="s">
        <v>39</v>
      </c>
      <c r="S131" s="159">
        <v>1.05</v>
      </c>
      <c r="T131" s="90" t="s">
        <v>39</v>
      </c>
      <c r="U131" s="50">
        <v>1.0488</v>
      </c>
      <c r="V131" s="90" t="s">
        <v>39</v>
      </c>
      <c r="W131" s="50">
        <v>1.0488</v>
      </c>
      <c r="X131" s="90" t="s">
        <v>39</v>
      </c>
      <c r="Y131" s="50">
        <v>1.0449999999999999</v>
      </c>
      <c r="Z131" s="20"/>
      <c r="AA131" s="173"/>
      <c r="AC131" s="173"/>
    </row>
    <row r="132" spans="1:29" outlineLevel="1">
      <c r="B132"/>
      <c r="C132" s="20" t="s">
        <v>390</v>
      </c>
      <c r="D132" s="20" t="s">
        <v>393</v>
      </c>
      <c r="E132" s="20" t="s">
        <v>7</v>
      </c>
      <c r="F132" s="20" t="s">
        <v>128</v>
      </c>
      <c r="G132" s="20" t="s">
        <v>91</v>
      </c>
      <c r="H132" s="89" t="s">
        <v>39</v>
      </c>
      <c r="I132" s="35">
        <v>1.0394000000000001</v>
      </c>
      <c r="J132" s="89" t="s">
        <v>39</v>
      </c>
      <c r="K132" s="98">
        <v>1.0394000000000001</v>
      </c>
      <c r="L132" s="89" t="s">
        <v>39</v>
      </c>
      <c r="M132" s="35">
        <v>1.0394000000000001</v>
      </c>
      <c r="N132" s="90" t="s">
        <v>39</v>
      </c>
      <c r="O132" s="159">
        <v>1.0429999999999999</v>
      </c>
      <c r="P132" s="90" t="s">
        <v>39</v>
      </c>
      <c r="Q132" s="159">
        <v>1.0429999999999999</v>
      </c>
      <c r="R132" s="90" t="s">
        <v>39</v>
      </c>
      <c r="S132" s="159">
        <v>1.0429999999999999</v>
      </c>
      <c r="T132" s="90" t="s">
        <v>39</v>
      </c>
      <c r="U132" s="50">
        <v>1.0379</v>
      </c>
      <c r="V132" s="90" t="s">
        <v>39</v>
      </c>
      <c r="W132" s="50">
        <v>1.0379</v>
      </c>
      <c r="X132" s="90" t="s">
        <v>39</v>
      </c>
      <c r="Y132" s="50">
        <v>1.0447</v>
      </c>
      <c r="Z132" s="20"/>
      <c r="AA132" s="173"/>
      <c r="AB132" s="95"/>
      <c r="AC132" s="215"/>
    </row>
    <row r="133" spans="1:29" outlineLevel="1">
      <c r="B133"/>
      <c r="C133" s="20" t="s">
        <v>390</v>
      </c>
      <c r="D133" s="20" t="s">
        <v>394</v>
      </c>
      <c r="E133" s="20" t="s">
        <v>7</v>
      </c>
      <c r="F133" s="20" t="s">
        <v>128</v>
      </c>
      <c r="G133" s="20" t="s">
        <v>91</v>
      </c>
      <c r="H133" s="89" t="s">
        <v>39</v>
      </c>
      <c r="I133" s="35">
        <v>1.0829499999999999</v>
      </c>
      <c r="J133" s="89" t="s">
        <v>39</v>
      </c>
      <c r="K133" s="98">
        <v>1.0829499999999999</v>
      </c>
      <c r="L133" s="89" t="s">
        <v>39</v>
      </c>
      <c r="M133" s="35">
        <v>1.0829499999999999</v>
      </c>
      <c r="N133" s="90" t="s">
        <v>39</v>
      </c>
      <c r="O133" s="159">
        <v>1.0806</v>
      </c>
      <c r="P133" s="90" t="s">
        <v>39</v>
      </c>
      <c r="Q133" s="159">
        <v>1.0782239470237072</v>
      </c>
      <c r="R133" s="90" t="s">
        <v>39</v>
      </c>
      <c r="S133" s="159">
        <v>1.0782239470237072</v>
      </c>
      <c r="T133" s="90" t="s">
        <v>39</v>
      </c>
      <c r="U133" s="50">
        <v>1.0775506304077396</v>
      </c>
      <c r="V133" s="90" t="s">
        <v>39</v>
      </c>
      <c r="W133" s="50">
        <v>1.0775999999999999</v>
      </c>
      <c r="X133" s="90" t="s">
        <v>39</v>
      </c>
      <c r="Y133" s="50">
        <v>1.0735613169316207</v>
      </c>
      <c r="Z133" s="20"/>
      <c r="AA133" s="173"/>
      <c r="AC133" s="173"/>
    </row>
    <row r="134" spans="1:29" outlineLevel="1">
      <c r="B134"/>
      <c r="C134" s="20" t="s">
        <v>390</v>
      </c>
      <c r="D134" s="20" t="s">
        <v>395</v>
      </c>
      <c r="E134" s="20" t="s">
        <v>7</v>
      </c>
      <c r="F134" s="20" t="s">
        <v>128</v>
      </c>
      <c r="G134" s="20" t="s">
        <v>91</v>
      </c>
      <c r="H134" s="89" t="s">
        <v>39</v>
      </c>
      <c r="I134" s="35">
        <v>1.0563</v>
      </c>
      <c r="J134" s="89" t="s">
        <v>39</v>
      </c>
      <c r="K134" s="98">
        <v>1.0563</v>
      </c>
      <c r="L134" s="89" t="s">
        <v>39</v>
      </c>
      <c r="M134" s="35">
        <v>1.0563</v>
      </c>
      <c r="N134" s="90" t="s">
        <v>39</v>
      </c>
      <c r="O134" s="159">
        <v>1.0525</v>
      </c>
      <c r="P134" s="90" t="s">
        <v>39</v>
      </c>
      <c r="Q134" s="159">
        <v>1.0525</v>
      </c>
      <c r="R134" s="90" t="s">
        <v>39</v>
      </c>
      <c r="S134" s="159">
        <v>1.0525</v>
      </c>
      <c r="T134" s="90" t="s">
        <v>39</v>
      </c>
      <c r="U134" s="50">
        <v>1.0470999999999999</v>
      </c>
      <c r="V134" s="90" t="s">
        <v>39</v>
      </c>
      <c r="W134" s="50">
        <v>1.0470999999999999</v>
      </c>
      <c r="X134" s="90" t="s">
        <v>39</v>
      </c>
      <c r="Y134" s="50">
        <v>1.0483</v>
      </c>
      <c r="Z134" s="20"/>
      <c r="AA134" s="173"/>
      <c r="AC134" s="173"/>
    </row>
    <row r="135" spans="1:29" outlineLevel="1">
      <c r="AC135" s="173"/>
    </row>
    <row r="136" spans="1:29">
      <c r="P136" s="173"/>
    </row>
    <row r="137" spans="1:29" ht="16" thickBot="1">
      <c r="A137" s="1" t="s">
        <v>18</v>
      </c>
      <c r="B137" s="216">
        <f ca="1">MAX(B$3:B136)+0.01</f>
        <v>10.02</v>
      </c>
      <c r="C137" s="25" t="s">
        <v>396</v>
      </c>
      <c r="D137" s="25"/>
      <c r="E137" s="25"/>
      <c r="F137" s="25"/>
      <c r="G137" s="25"/>
      <c r="H137" s="25"/>
      <c r="I137" s="25"/>
      <c r="J137" s="25"/>
      <c r="K137" s="25"/>
      <c r="L137" s="25"/>
      <c r="M137" s="25"/>
      <c r="N137" s="25"/>
      <c r="O137" s="25"/>
      <c r="P137" s="25"/>
      <c r="Q137" s="25"/>
      <c r="R137" s="25"/>
    </row>
    <row r="138" spans="1:29" outlineLevel="1"/>
    <row r="139" spans="1:29" ht="15.5" outlineLevel="1">
      <c r="H139" s="36" t="s">
        <v>30</v>
      </c>
      <c r="I139" s="2">
        <v>2021</v>
      </c>
      <c r="J139" s="2">
        <v>2021</v>
      </c>
      <c r="K139" s="2">
        <v>2021</v>
      </c>
      <c r="L139" s="2">
        <v>2022</v>
      </c>
      <c r="M139" s="2">
        <v>2022</v>
      </c>
      <c r="N139" s="2" t="s">
        <v>283</v>
      </c>
      <c r="O139" s="2" t="s">
        <v>283</v>
      </c>
      <c r="P139" s="2" t="s">
        <v>506</v>
      </c>
      <c r="Q139" s="2" t="s">
        <v>506</v>
      </c>
    </row>
    <row r="140" spans="1:29" ht="15.5" outlineLevel="1">
      <c r="H140" s="36" t="s">
        <v>31</v>
      </c>
      <c r="I140" s="37" t="str">
        <f>"VDO "&amp;I139&amp;" - "&amp;IF(LEFT(I142,1)="F","Final",IF(LEFT(I142,1)="D","Draft",IF(LEFT(I142,2)="VD","Variation draft",IF(LEFT(I142,2)="VF","Variation final"))))</f>
        <v>VDO 2021 - Final</v>
      </c>
      <c r="J140" s="37" t="str">
        <f>"VDO "&amp;J139&amp;" - "&amp;IF(LEFT(J142,1)="F","Final",IF(LEFT(J142,1)="D","Draft",IF(LEFT(J142,2)="VD","Variation draft",IF(LEFT(J142,2)="VF","Variation final"))))</f>
        <v>VDO 2021 - Variation draft</v>
      </c>
      <c r="K140" s="37" t="str">
        <f>"VDO "&amp;K139&amp;" - "&amp;IF(LEFT(K142,1)="F","Final",IF(LEFT(K142,1)="D","Draft",IF(LEFT(K142,2)="VD","Variation draft",IF(LEFT(K142,2)="VF","Variation final"))))</f>
        <v>VDO 2021 - Variation final</v>
      </c>
      <c r="L140" s="37" t="str">
        <f t="shared" ref="L140:N140" si="1">"VDO "&amp;L139&amp;" - "&amp;IF(LEFT(L142,1)="F","Final",IF(LEFT(L142,1)="D","Draft",IF(LEFT(L142,2)="VD","Variation draft",IF(LEFT(L142,2)="VF","Variation final"))))</f>
        <v>VDO 2022 - Draft</v>
      </c>
      <c r="M140" s="37" t="str">
        <f t="shared" ref="M140:Q140" si="2">"VDO "&amp;M139&amp;" - "&amp;IF(LEFT(M142,1)="F","Final",IF(LEFT(M142,1)="D","Draft",IF(LEFT(M142,2)="VD","Variation draft",IF(LEFT(M142,2)="VF","Variation final"))))</f>
        <v>VDO 2022 - Final</v>
      </c>
      <c r="N140" s="37" t="str">
        <f t="shared" si="1"/>
        <v>VDO 2022-23 - Draft</v>
      </c>
      <c r="O140" s="37" t="str">
        <f t="shared" si="2"/>
        <v>VDO 2022-23 - Final</v>
      </c>
      <c r="P140" s="37" t="str">
        <f t="shared" si="2"/>
        <v>VDO 2023-24 - Draft</v>
      </c>
      <c r="Q140" s="37" t="str">
        <f t="shared" si="2"/>
        <v>VDO 2023-24 - Final</v>
      </c>
    </row>
    <row r="141" spans="1:29" ht="15.5" outlineLevel="1">
      <c r="C141" s="26" t="s">
        <v>397</v>
      </c>
    </row>
    <row r="142" spans="1:29" ht="15.5" outlineLevel="1">
      <c r="C142" s="39" t="s">
        <v>41</v>
      </c>
      <c r="D142" s="39" t="s">
        <v>42</v>
      </c>
      <c r="E142" s="39" t="s">
        <v>398</v>
      </c>
      <c r="F142" s="39" t="s">
        <v>56</v>
      </c>
      <c r="G142" s="39" t="s">
        <v>57</v>
      </c>
      <c r="H142" s="39" t="s">
        <v>399</v>
      </c>
      <c r="I142" s="39" t="s">
        <v>286</v>
      </c>
      <c r="J142" s="39" t="s">
        <v>288</v>
      </c>
      <c r="K142" s="39" t="s">
        <v>290</v>
      </c>
      <c r="L142" s="38" t="s">
        <v>510</v>
      </c>
      <c r="M142" s="38" t="s">
        <v>512</v>
      </c>
      <c r="N142" s="39" t="s">
        <v>291</v>
      </c>
      <c r="O142" s="39" t="s">
        <v>34</v>
      </c>
      <c r="P142" s="39" t="s">
        <v>37</v>
      </c>
      <c r="Q142" s="39" t="s">
        <v>38</v>
      </c>
    </row>
    <row r="143" spans="1:29" outlineLevel="1">
      <c r="C143" s="20" t="s">
        <v>166</v>
      </c>
      <c r="D143" s="20" t="s">
        <v>67</v>
      </c>
      <c r="E143" s="75" t="str">
        <f>Input_Usage[[#This Row],[Profile name]]&amp;" - "&amp;Input_Usage[[#This Row],[Usage type]]</f>
        <v>Residential - small - Block 1</v>
      </c>
      <c r="F143" s="20" t="s">
        <v>400</v>
      </c>
      <c r="G143" s="20" t="s">
        <v>65</v>
      </c>
      <c r="H143" s="20" t="s">
        <v>79</v>
      </c>
      <c r="I143" s="203">
        <v>2000</v>
      </c>
      <c r="J143" s="104">
        <v>2000</v>
      </c>
      <c r="K143" s="104">
        <v>2000</v>
      </c>
      <c r="L143" s="104">
        <v>2000</v>
      </c>
      <c r="M143" s="104">
        <v>2000</v>
      </c>
      <c r="N143" s="104">
        <v>2000</v>
      </c>
      <c r="O143" s="104">
        <v>2000</v>
      </c>
      <c r="P143" s="104">
        <v>2000</v>
      </c>
      <c r="Q143" s="104">
        <v>2000</v>
      </c>
    </row>
    <row r="144" spans="1:29" outlineLevel="1">
      <c r="C144" s="20" t="s">
        <v>168</v>
      </c>
      <c r="D144" s="20" t="s">
        <v>67</v>
      </c>
      <c r="E144" s="75" t="str">
        <f>Input_Usage[[#This Row],[Profile name]]&amp;" - "&amp;Input_Usage[[#This Row],[Usage type]]</f>
        <v>Residential - medium - Block 1</v>
      </c>
      <c r="F144" s="20" t="s">
        <v>400</v>
      </c>
      <c r="G144" s="20" t="s">
        <v>65</v>
      </c>
      <c r="H144" s="20" t="s">
        <v>79</v>
      </c>
      <c r="I144" s="203">
        <v>4000</v>
      </c>
      <c r="J144" s="104">
        <v>4000</v>
      </c>
      <c r="K144" s="104">
        <v>4000</v>
      </c>
      <c r="L144" s="104">
        <v>4000</v>
      </c>
      <c r="M144" s="104">
        <v>4000</v>
      </c>
      <c r="N144" s="104">
        <v>4000</v>
      </c>
      <c r="O144" s="104">
        <v>4000</v>
      </c>
      <c r="P144" s="104">
        <v>4000</v>
      </c>
      <c r="Q144" s="104">
        <v>4000</v>
      </c>
    </row>
    <row r="145" spans="3:17" outlineLevel="1">
      <c r="C145" s="20" t="s">
        <v>170</v>
      </c>
      <c r="D145" s="20" t="s">
        <v>67</v>
      </c>
      <c r="E145" s="75" t="str">
        <f>Input_Usage[[#This Row],[Profile name]]&amp;" - "&amp;Input_Usage[[#This Row],[Usage type]]</f>
        <v>Residential - large - Block 1</v>
      </c>
      <c r="F145" s="20" t="s">
        <v>400</v>
      </c>
      <c r="G145" s="20" t="s">
        <v>65</v>
      </c>
      <c r="H145" s="20" t="s">
        <v>79</v>
      </c>
      <c r="I145" s="203">
        <v>4080</v>
      </c>
      <c r="J145" s="104">
        <v>4080</v>
      </c>
      <c r="K145" s="104">
        <v>4080</v>
      </c>
      <c r="L145" s="104">
        <v>4080</v>
      </c>
      <c r="M145" s="104">
        <v>4080</v>
      </c>
      <c r="N145" s="104">
        <v>4080</v>
      </c>
      <c r="O145" s="104">
        <v>4080</v>
      </c>
      <c r="P145" s="104">
        <v>4080</v>
      </c>
      <c r="Q145" s="104">
        <v>4080</v>
      </c>
    </row>
    <row r="146" spans="3:17" outlineLevel="1">
      <c r="C146" s="20" t="s">
        <v>167</v>
      </c>
      <c r="D146" s="20" t="s">
        <v>67</v>
      </c>
      <c r="E146" s="75" t="str">
        <f>Input_Usage[[#This Row],[Profile name]]&amp;" - "&amp;Input_Usage[[#This Row],[Usage type]]</f>
        <v>Small business - small - Block 1</v>
      </c>
      <c r="F146" s="20" t="s">
        <v>400</v>
      </c>
      <c r="G146" s="20" t="s">
        <v>66</v>
      </c>
      <c r="H146" s="20" t="s">
        <v>79</v>
      </c>
      <c r="I146" s="203">
        <v>4080</v>
      </c>
      <c r="J146" s="104">
        <v>4080</v>
      </c>
      <c r="K146" s="104">
        <v>4080</v>
      </c>
      <c r="L146" s="104">
        <v>4080</v>
      </c>
      <c r="M146" s="104">
        <v>4080</v>
      </c>
      <c r="N146" s="104">
        <v>4080</v>
      </c>
      <c r="O146" s="104">
        <v>4080</v>
      </c>
      <c r="P146" s="104">
        <v>4080</v>
      </c>
      <c r="Q146" s="104">
        <v>4080</v>
      </c>
    </row>
    <row r="147" spans="3:17" outlineLevel="1">
      <c r="C147" s="20" t="s">
        <v>169</v>
      </c>
      <c r="D147" s="20" t="s">
        <v>67</v>
      </c>
      <c r="E147" s="75" t="str">
        <f>Input_Usage[[#This Row],[Profile name]]&amp;" - "&amp;Input_Usage[[#This Row],[Usage type]]</f>
        <v>Small business - medium - Block 1</v>
      </c>
      <c r="F147" s="20" t="s">
        <v>400</v>
      </c>
      <c r="G147" s="20" t="s">
        <v>66</v>
      </c>
      <c r="H147" s="20" t="s">
        <v>79</v>
      </c>
      <c r="I147" s="203">
        <v>4080</v>
      </c>
      <c r="J147" s="104">
        <v>4080</v>
      </c>
      <c r="K147" s="104">
        <v>4080</v>
      </c>
      <c r="L147" s="104">
        <v>4080</v>
      </c>
      <c r="M147" s="104">
        <v>4080</v>
      </c>
      <c r="N147" s="104">
        <v>4080</v>
      </c>
      <c r="O147" s="104">
        <v>4080</v>
      </c>
      <c r="P147" s="104">
        <v>4080</v>
      </c>
      <c r="Q147" s="104">
        <v>4080</v>
      </c>
    </row>
    <row r="148" spans="3:17" outlineLevel="1">
      <c r="C148" s="20" t="s">
        <v>171</v>
      </c>
      <c r="D148" s="20" t="s">
        <v>67</v>
      </c>
      <c r="E148" s="75" t="str">
        <f>Input_Usage[[#This Row],[Profile name]]&amp;" - "&amp;Input_Usage[[#This Row],[Usage type]]</f>
        <v>Small business - large - Block 1</v>
      </c>
      <c r="F148" s="20" t="s">
        <v>400</v>
      </c>
      <c r="G148" s="20" t="s">
        <v>66</v>
      </c>
      <c r="H148" s="20" t="s">
        <v>79</v>
      </c>
      <c r="I148" s="203">
        <v>4080</v>
      </c>
      <c r="J148" s="104">
        <v>4080</v>
      </c>
      <c r="K148" s="104">
        <v>4080</v>
      </c>
      <c r="L148" s="104">
        <v>4080</v>
      </c>
      <c r="M148" s="104">
        <v>4080</v>
      </c>
      <c r="N148" s="104">
        <v>4080</v>
      </c>
      <c r="O148" s="104">
        <v>4080</v>
      </c>
      <c r="P148" s="104">
        <v>4080</v>
      </c>
      <c r="Q148" s="104">
        <v>4080</v>
      </c>
    </row>
    <row r="149" spans="3:17" outlineLevel="1">
      <c r="C149" s="20" t="s">
        <v>166</v>
      </c>
      <c r="D149" s="20" t="s">
        <v>69</v>
      </c>
      <c r="E149" s="75" t="str">
        <f>Input_Usage[[#This Row],[Profile name]]&amp;" - "&amp;Input_Usage[[#This Row],[Usage type]]</f>
        <v>Residential - small - Balance</v>
      </c>
      <c r="F149" s="20" t="s">
        <v>400</v>
      </c>
      <c r="G149" s="20" t="s">
        <v>65</v>
      </c>
      <c r="H149" s="20" t="s">
        <v>79</v>
      </c>
      <c r="I149" s="203">
        <v>0</v>
      </c>
      <c r="J149" s="104">
        <v>0</v>
      </c>
      <c r="K149" s="104">
        <v>0</v>
      </c>
      <c r="L149" s="104">
        <v>0</v>
      </c>
      <c r="M149" s="104">
        <v>0</v>
      </c>
      <c r="N149" s="104">
        <v>0</v>
      </c>
      <c r="O149" s="104">
        <v>0</v>
      </c>
      <c r="P149" s="104">
        <v>0</v>
      </c>
      <c r="Q149" s="104">
        <v>0</v>
      </c>
    </row>
    <row r="150" spans="3:17" outlineLevel="1">
      <c r="C150" s="20" t="s">
        <v>168</v>
      </c>
      <c r="D150" s="20" t="s">
        <v>69</v>
      </c>
      <c r="E150" s="75" t="str">
        <f>Input_Usage[[#This Row],[Profile name]]&amp;" - "&amp;Input_Usage[[#This Row],[Usage type]]</f>
        <v>Residential - medium - Balance</v>
      </c>
      <c r="F150" s="20" t="s">
        <v>400</v>
      </c>
      <c r="G150" s="20" t="s">
        <v>65</v>
      </c>
      <c r="H150" s="20" t="s">
        <v>79</v>
      </c>
      <c r="I150" s="203">
        <v>0</v>
      </c>
      <c r="J150" s="104">
        <v>0</v>
      </c>
      <c r="K150" s="104">
        <v>0</v>
      </c>
      <c r="L150" s="104">
        <v>0</v>
      </c>
      <c r="M150" s="104">
        <v>0</v>
      </c>
      <c r="N150" s="104">
        <v>0</v>
      </c>
      <c r="O150" s="104">
        <v>0</v>
      </c>
      <c r="P150" s="104">
        <v>0</v>
      </c>
      <c r="Q150" s="104">
        <v>0</v>
      </c>
    </row>
    <row r="151" spans="3:17" outlineLevel="1">
      <c r="C151" s="20" t="s">
        <v>170</v>
      </c>
      <c r="D151" s="20" t="s">
        <v>69</v>
      </c>
      <c r="E151" s="75" t="str">
        <f>Input_Usage[[#This Row],[Profile name]]&amp;" - "&amp;Input_Usage[[#This Row],[Usage type]]</f>
        <v>Residential - large - Balance</v>
      </c>
      <c r="F151" s="20" t="s">
        <v>400</v>
      </c>
      <c r="G151" s="20" t="s">
        <v>65</v>
      </c>
      <c r="H151" s="20" t="s">
        <v>79</v>
      </c>
      <c r="I151" s="203">
        <v>3920</v>
      </c>
      <c r="J151" s="104">
        <v>3920</v>
      </c>
      <c r="K151" s="104">
        <v>3920</v>
      </c>
      <c r="L151" s="104">
        <v>3920</v>
      </c>
      <c r="M151" s="104">
        <v>3920</v>
      </c>
      <c r="N151" s="104">
        <v>3920</v>
      </c>
      <c r="O151" s="104">
        <v>3920</v>
      </c>
      <c r="P151" s="104">
        <v>3920</v>
      </c>
      <c r="Q151" s="104">
        <v>3920</v>
      </c>
    </row>
    <row r="152" spans="3:17" outlineLevel="1">
      <c r="C152" s="20" t="s">
        <v>167</v>
      </c>
      <c r="D152" s="20" t="s">
        <v>69</v>
      </c>
      <c r="E152" s="75" t="str">
        <f>Input_Usage[[#This Row],[Profile name]]&amp;" - "&amp;Input_Usage[[#This Row],[Usage type]]</f>
        <v>Small business - small - Balance</v>
      </c>
      <c r="F152" s="20" t="s">
        <v>400</v>
      </c>
      <c r="G152" s="20" t="s">
        <v>66</v>
      </c>
      <c r="H152" s="20" t="s">
        <v>79</v>
      </c>
      <c r="I152" s="203">
        <v>5920</v>
      </c>
      <c r="J152" s="104">
        <v>5920</v>
      </c>
      <c r="K152" s="104">
        <v>5920</v>
      </c>
      <c r="L152" s="104">
        <v>5920</v>
      </c>
      <c r="M152" s="104">
        <v>5920</v>
      </c>
      <c r="N152" s="104">
        <v>5920</v>
      </c>
      <c r="O152" s="104">
        <v>5920</v>
      </c>
      <c r="P152" s="104">
        <v>5920</v>
      </c>
      <c r="Q152" s="104">
        <v>5920</v>
      </c>
    </row>
    <row r="153" spans="3:17" outlineLevel="1">
      <c r="C153" s="20" t="s">
        <v>169</v>
      </c>
      <c r="D153" s="20" t="s">
        <v>69</v>
      </c>
      <c r="E153" s="75" t="str">
        <f>Input_Usage[[#This Row],[Profile name]]&amp;" - "&amp;Input_Usage[[#This Row],[Usage type]]</f>
        <v>Small business - medium - Balance</v>
      </c>
      <c r="F153" s="20" t="s">
        <v>400</v>
      </c>
      <c r="G153" s="20" t="s">
        <v>66</v>
      </c>
      <c r="H153" s="20" t="s">
        <v>79</v>
      </c>
      <c r="I153" s="203">
        <v>15920</v>
      </c>
      <c r="J153" s="104">
        <v>15920</v>
      </c>
      <c r="K153" s="104">
        <v>15920</v>
      </c>
      <c r="L153" s="104">
        <v>15920</v>
      </c>
      <c r="M153" s="104">
        <v>15920</v>
      </c>
      <c r="N153" s="104">
        <v>15920</v>
      </c>
      <c r="O153" s="104">
        <v>15920</v>
      </c>
      <c r="P153" s="104">
        <v>15920</v>
      </c>
      <c r="Q153" s="104">
        <v>15920</v>
      </c>
    </row>
    <row r="154" spans="3:17" outlineLevel="1">
      <c r="C154" s="20" t="s">
        <v>171</v>
      </c>
      <c r="D154" s="20" t="s">
        <v>69</v>
      </c>
      <c r="E154" s="75" t="str">
        <f>Input_Usage[[#This Row],[Profile name]]&amp;" - "&amp;Input_Usage[[#This Row],[Usage type]]</f>
        <v>Small business - large - Balance</v>
      </c>
      <c r="F154" s="20" t="s">
        <v>400</v>
      </c>
      <c r="G154" s="20" t="s">
        <v>66</v>
      </c>
      <c r="H154" s="20" t="s">
        <v>79</v>
      </c>
      <c r="I154" s="203">
        <v>35920</v>
      </c>
      <c r="J154" s="104">
        <v>35920</v>
      </c>
      <c r="K154" s="104">
        <v>35920</v>
      </c>
      <c r="L154" s="104">
        <v>35920</v>
      </c>
      <c r="M154" s="104">
        <v>35920</v>
      </c>
      <c r="N154" s="104">
        <v>35920</v>
      </c>
      <c r="O154" s="104">
        <v>35920</v>
      </c>
      <c r="P154" s="104">
        <v>35920</v>
      </c>
      <c r="Q154" s="104">
        <v>35920</v>
      </c>
    </row>
    <row r="155" spans="3:17" outlineLevel="1">
      <c r="C155" s="20" t="s">
        <v>166</v>
      </c>
      <c r="D155" s="20" t="s">
        <v>401</v>
      </c>
      <c r="E155" s="75" t="str">
        <f>Input_Usage[[#This Row],[Profile name]]&amp;" - "&amp;Input_Usage[[#This Row],[Usage type]]</f>
        <v>Residential - small - Annual</v>
      </c>
      <c r="F155" s="20" t="s">
        <v>400</v>
      </c>
      <c r="G155" s="20" t="s">
        <v>65</v>
      </c>
      <c r="H155" s="20" t="s">
        <v>79</v>
      </c>
      <c r="I155" s="203">
        <v>2000</v>
      </c>
      <c r="J155" s="104">
        <v>2000</v>
      </c>
      <c r="K155" s="104">
        <v>2000</v>
      </c>
      <c r="L155" s="104">
        <v>2000</v>
      </c>
      <c r="M155" s="104">
        <v>2000</v>
      </c>
      <c r="N155" s="104">
        <v>2000</v>
      </c>
      <c r="O155" s="104">
        <v>2000</v>
      </c>
      <c r="P155" s="104">
        <v>2000</v>
      </c>
      <c r="Q155" s="104">
        <v>2000</v>
      </c>
    </row>
    <row r="156" spans="3:17" outlineLevel="1">
      <c r="C156" s="20" t="s">
        <v>168</v>
      </c>
      <c r="D156" s="20" t="s">
        <v>401</v>
      </c>
      <c r="E156" s="75" t="str">
        <f>Input_Usage[[#This Row],[Profile name]]&amp;" - "&amp;Input_Usage[[#This Row],[Usage type]]</f>
        <v>Residential - medium - Annual</v>
      </c>
      <c r="F156" s="20" t="s">
        <v>400</v>
      </c>
      <c r="G156" s="20" t="s">
        <v>65</v>
      </c>
      <c r="H156" s="20" t="s">
        <v>79</v>
      </c>
      <c r="I156" s="203">
        <v>4000</v>
      </c>
      <c r="J156" s="104">
        <v>4000</v>
      </c>
      <c r="K156" s="104">
        <v>4000</v>
      </c>
      <c r="L156" s="104">
        <v>4000</v>
      </c>
      <c r="M156" s="104">
        <v>4000</v>
      </c>
      <c r="N156" s="104">
        <v>4000</v>
      </c>
      <c r="O156" s="104">
        <v>4000</v>
      </c>
      <c r="P156" s="104">
        <v>4000</v>
      </c>
      <c r="Q156" s="104">
        <v>4000</v>
      </c>
    </row>
    <row r="157" spans="3:17" outlineLevel="1">
      <c r="C157" s="20" t="s">
        <v>170</v>
      </c>
      <c r="D157" s="20" t="s">
        <v>401</v>
      </c>
      <c r="E157" s="75" t="str">
        <f>Input_Usage[[#This Row],[Profile name]]&amp;" - "&amp;Input_Usage[[#This Row],[Usage type]]</f>
        <v>Residential - large - Annual</v>
      </c>
      <c r="F157" s="20" t="s">
        <v>400</v>
      </c>
      <c r="G157" s="20" t="s">
        <v>65</v>
      </c>
      <c r="H157" s="20" t="s">
        <v>79</v>
      </c>
      <c r="I157" s="203">
        <v>8000</v>
      </c>
      <c r="J157" s="104">
        <v>8000</v>
      </c>
      <c r="K157" s="104">
        <v>8000</v>
      </c>
      <c r="L157" s="104">
        <v>8000</v>
      </c>
      <c r="M157" s="104">
        <v>8000</v>
      </c>
      <c r="N157" s="104">
        <v>8000</v>
      </c>
      <c r="O157" s="104">
        <v>8000</v>
      </c>
      <c r="P157" s="104">
        <v>8000</v>
      </c>
      <c r="Q157" s="104">
        <v>8000</v>
      </c>
    </row>
    <row r="158" spans="3:17" outlineLevel="1">
      <c r="C158" s="20" t="s">
        <v>167</v>
      </c>
      <c r="D158" s="20" t="s">
        <v>401</v>
      </c>
      <c r="E158" s="75" t="str">
        <f>Input_Usage[[#This Row],[Profile name]]&amp;" - "&amp;Input_Usage[[#This Row],[Usage type]]</f>
        <v>Small business - small - Annual</v>
      </c>
      <c r="F158" s="20" t="s">
        <v>400</v>
      </c>
      <c r="G158" s="20" t="s">
        <v>66</v>
      </c>
      <c r="H158" s="20" t="s">
        <v>79</v>
      </c>
      <c r="I158" s="203">
        <v>10000</v>
      </c>
      <c r="J158" s="104">
        <v>10000</v>
      </c>
      <c r="K158" s="104">
        <v>10000</v>
      </c>
      <c r="L158" s="104">
        <v>10000</v>
      </c>
      <c r="M158" s="104">
        <v>10000</v>
      </c>
      <c r="N158" s="104">
        <v>10000</v>
      </c>
      <c r="O158" s="104">
        <v>10000</v>
      </c>
      <c r="P158" s="104">
        <v>10000</v>
      </c>
      <c r="Q158" s="104">
        <v>10000</v>
      </c>
    </row>
    <row r="159" spans="3:17" outlineLevel="1">
      <c r="C159" s="20" t="s">
        <v>169</v>
      </c>
      <c r="D159" s="20" t="s">
        <v>401</v>
      </c>
      <c r="E159" s="75" t="str">
        <f>Input_Usage[[#This Row],[Profile name]]&amp;" - "&amp;Input_Usage[[#This Row],[Usage type]]</f>
        <v>Small business - medium - Annual</v>
      </c>
      <c r="F159" s="20" t="s">
        <v>400</v>
      </c>
      <c r="G159" s="20" t="s">
        <v>66</v>
      </c>
      <c r="H159" s="20" t="s">
        <v>79</v>
      </c>
      <c r="I159" s="203">
        <v>20000</v>
      </c>
      <c r="J159" s="104">
        <v>20000</v>
      </c>
      <c r="K159" s="104">
        <v>20000</v>
      </c>
      <c r="L159" s="104">
        <v>20000</v>
      </c>
      <c r="M159" s="104">
        <v>20000</v>
      </c>
      <c r="N159" s="104">
        <v>20000</v>
      </c>
      <c r="O159" s="104">
        <v>20000</v>
      </c>
      <c r="P159" s="104">
        <v>20000</v>
      </c>
      <c r="Q159" s="104">
        <v>20000</v>
      </c>
    </row>
    <row r="160" spans="3:17" outlineLevel="1">
      <c r="C160" s="20" t="s">
        <v>171</v>
      </c>
      <c r="D160" s="20" t="s">
        <v>401</v>
      </c>
      <c r="E160" s="75" t="str">
        <f>Input_Usage[[#This Row],[Profile name]]&amp;" - "&amp;Input_Usage[[#This Row],[Usage type]]</f>
        <v>Small business - large - Annual</v>
      </c>
      <c r="F160" s="20" t="s">
        <v>400</v>
      </c>
      <c r="G160" s="20" t="s">
        <v>66</v>
      </c>
      <c r="H160" s="20" t="s">
        <v>79</v>
      </c>
      <c r="I160" s="203">
        <v>40000</v>
      </c>
      <c r="J160" s="104">
        <v>40000</v>
      </c>
      <c r="K160" s="104">
        <v>40000</v>
      </c>
      <c r="L160" s="104">
        <v>40000</v>
      </c>
      <c r="M160" s="104">
        <v>40000</v>
      </c>
      <c r="N160" s="104">
        <v>40000</v>
      </c>
      <c r="O160" s="104">
        <v>40000</v>
      </c>
      <c r="P160" s="104">
        <v>40000</v>
      </c>
      <c r="Q160" s="104">
        <v>40000</v>
      </c>
    </row>
    <row r="161" spans="3:17" outlineLevel="1">
      <c r="C161" s="53" t="s">
        <v>166</v>
      </c>
      <c r="D161" s="53" t="s">
        <v>70</v>
      </c>
      <c r="E161" s="75" t="str">
        <f>Input_Usage[[#This Row],[Profile name]]&amp;" - "&amp;Input_Usage[[#This Row],[Usage type]]</f>
        <v>Residential - small - Single rate</v>
      </c>
      <c r="F161" s="53" t="s">
        <v>400</v>
      </c>
      <c r="G161" s="53" t="s">
        <v>65</v>
      </c>
      <c r="H161" s="53" t="s">
        <v>79</v>
      </c>
      <c r="I161" s="203">
        <v>2000</v>
      </c>
      <c r="J161" s="104">
        <v>2000</v>
      </c>
      <c r="K161" s="104">
        <v>2000</v>
      </c>
      <c r="L161" s="104">
        <v>2000</v>
      </c>
      <c r="M161" s="104">
        <v>2000</v>
      </c>
      <c r="N161" s="104">
        <v>2000</v>
      </c>
      <c r="O161" s="104">
        <v>2000</v>
      </c>
      <c r="P161" s="104">
        <v>2000</v>
      </c>
      <c r="Q161" s="104">
        <v>2000</v>
      </c>
    </row>
    <row r="162" spans="3:17" outlineLevel="1">
      <c r="C162" s="53" t="s">
        <v>168</v>
      </c>
      <c r="D162" s="53" t="s">
        <v>70</v>
      </c>
      <c r="E162" s="75" t="str">
        <f>Input_Usage[[#This Row],[Profile name]]&amp;" - "&amp;Input_Usage[[#This Row],[Usage type]]</f>
        <v>Residential - medium - Single rate</v>
      </c>
      <c r="F162" s="53" t="s">
        <v>400</v>
      </c>
      <c r="G162" s="53" t="s">
        <v>65</v>
      </c>
      <c r="H162" s="53" t="s">
        <v>79</v>
      </c>
      <c r="I162" s="203">
        <v>4000</v>
      </c>
      <c r="J162" s="104">
        <v>4000</v>
      </c>
      <c r="K162" s="104">
        <v>4000</v>
      </c>
      <c r="L162" s="104">
        <v>4000</v>
      </c>
      <c r="M162" s="104">
        <v>4000</v>
      </c>
      <c r="N162" s="104">
        <v>4000</v>
      </c>
      <c r="O162" s="104">
        <v>4000</v>
      </c>
      <c r="P162" s="104">
        <v>4000</v>
      </c>
      <c r="Q162" s="104">
        <v>4000</v>
      </c>
    </row>
    <row r="163" spans="3:17" outlineLevel="1">
      <c r="C163" s="53" t="s">
        <v>170</v>
      </c>
      <c r="D163" s="53" t="s">
        <v>70</v>
      </c>
      <c r="E163" s="75" t="str">
        <f>Input_Usage[[#This Row],[Profile name]]&amp;" - "&amp;Input_Usage[[#This Row],[Usage type]]</f>
        <v>Residential - large - Single rate</v>
      </c>
      <c r="F163" s="53" t="s">
        <v>400</v>
      </c>
      <c r="G163" s="53" t="s">
        <v>65</v>
      </c>
      <c r="H163" s="53" t="s">
        <v>79</v>
      </c>
      <c r="I163" s="203">
        <v>8000</v>
      </c>
      <c r="J163" s="104">
        <v>8000</v>
      </c>
      <c r="K163" s="104">
        <v>8000</v>
      </c>
      <c r="L163" s="104">
        <v>8000</v>
      </c>
      <c r="M163" s="104">
        <v>8000</v>
      </c>
      <c r="N163" s="104">
        <v>8000</v>
      </c>
      <c r="O163" s="104">
        <v>8000</v>
      </c>
      <c r="P163" s="104">
        <v>8000</v>
      </c>
      <c r="Q163" s="104">
        <v>8000</v>
      </c>
    </row>
    <row r="164" spans="3:17" outlineLevel="1">
      <c r="C164" s="53" t="s">
        <v>167</v>
      </c>
      <c r="D164" s="53" t="s">
        <v>70</v>
      </c>
      <c r="E164" s="75" t="str">
        <f>Input_Usage[[#This Row],[Profile name]]&amp;" - "&amp;Input_Usage[[#This Row],[Usage type]]</f>
        <v>Small business - small - Single rate</v>
      </c>
      <c r="F164" s="53" t="s">
        <v>400</v>
      </c>
      <c r="G164" s="53" t="s">
        <v>66</v>
      </c>
      <c r="H164" s="53" t="s">
        <v>79</v>
      </c>
      <c r="I164" s="203">
        <v>10000</v>
      </c>
      <c r="J164" s="104">
        <v>10000</v>
      </c>
      <c r="K164" s="104">
        <v>10000</v>
      </c>
      <c r="L164" s="104">
        <v>10000</v>
      </c>
      <c r="M164" s="104">
        <v>10000</v>
      </c>
      <c r="N164" s="104">
        <v>10000</v>
      </c>
      <c r="O164" s="104">
        <v>10000</v>
      </c>
      <c r="P164" s="104">
        <v>10000</v>
      </c>
      <c r="Q164" s="104">
        <v>10000</v>
      </c>
    </row>
    <row r="165" spans="3:17" outlineLevel="1">
      <c r="C165" s="53" t="s">
        <v>169</v>
      </c>
      <c r="D165" s="53" t="s">
        <v>70</v>
      </c>
      <c r="E165" s="75" t="str">
        <f>Input_Usage[[#This Row],[Profile name]]&amp;" - "&amp;Input_Usage[[#This Row],[Usage type]]</f>
        <v>Small business - medium - Single rate</v>
      </c>
      <c r="F165" s="53" t="s">
        <v>400</v>
      </c>
      <c r="G165" s="53" t="s">
        <v>66</v>
      </c>
      <c r="H165" s="53" t="s">
        <v>79</v>
      </c>
      <c r="I165" s="203">
        <v>20000</v>
      </c>
      <c r="J165" s="104">
        <v>20000</v>
      </c>
      <c r="K165" s="104">
        <v>20000</v>
      </c>
      <c r="L165" s="104">
        <v>20000</v>
      </c>
      <c r="M165" s="104">
        <v>20000</v>
      </c>
      <c r="N165" s="104">
        <v>20000</v>
      </c>
      <c r="O165" s="104">
        <v>20000</v>
      </c>
      <c r="P165" s="104">
        <v>20000</v>
      </c>
      <c r="Q165" s="104">
        <v>20000</v>
      </c>
    </row>
    <row r="166" spans="3:17" outlineLevel="1">
      <c r="C166" s="53" t="s">
        <v>171</v>
      </c>
      <c r="D166" s="53" t="s">
        <v>70</v>
      </c>
      <c r="E166" s="75" t="str">
        <f>Input_Usage[[#This Row],[Profile name]]&amp;" - "&amp;Input_Usage[[#This Row],[Usage type]]</f>
        <v>Small business - large - Single rate</v>
      </c>
      <c r="F166" s="53" t="s">
        <v>400</v>
      </c>
      <c r="G166" s="53" t="s">
        <v>66</v>
      </c>
      <c r="H166" s="53" t="s">
        <v>79</v>
      </c>
      <c r="I166" s="203">
        <v>40000</v>
      </c>
      <c r="J166" s="104">
        <v>40000</v>
      </c>
      <c r="K166" s="104">
        <v>40000</v>
      </c>
      <c r="L166" s="104">
        <v>40000</v>
      </c>
      <c r="M166" s="104">
        <v>40000</v>
      </c>
      <c r="N166" s="104">
        <v>40000</v>
      </c>
      <c r="O166" s="104">
        <v>40000</v>
      </c>
      <c r="P166" s="104">
        <v>40000</v>
      </c>
      <c r="Q166" s="104">
        <v>40000</v>
      </c>
    </row>
    <row r="167" spans="3:17" outlineLevel="1">
      <c r="C167" s="53" t="s">
        <v>168</v>
      </c>
      <c r="D167" s="53" t="s">
        <v>74</v>
      </c>
      <c r="E167" s="75" t="str">
        <f>Input_Usage[[#This Row],[Profile name]]&amp;" - "&amp;Input_Usage[[#This Row],[Usage type]]</f>
        <v>Residential - medium - Controlled load</v>
      </c>
      <c r="F167" s="53" t="s">
        <v>400</v>
      </c>
      <c r="G167" s="53" t="s">
        <v>65</v>
      </c>
      <c r="H167" s="53" t="s">
        <v>79</v>
      </c>
      <c r="I167" s="203">
        <v>2000</v>
      </c>
      <c r="J167" s="104">
        <v>2000</v>
      </c>
      <c r="K167" s="104">
        <v>2000</v>
      </c>
      <c r="L167" s="104">
        <v>2000</v>
      </c>
      <c r="M167" s="104">
        <v>2000</v>
      </c>
      <c r="N167" s="104">
        <v>2000</v>
      </c>
      <c r="O167" s="104">
        <v>2000</v>
      </c>
      <c r="P167" s="104">
        <v>2000</v>
      </c>
      <c r="Q167" s="104">
        <v>2000</v>
      </c>
    </row>
    <row r="168" spans="3:17" outlineLevel="1">
      <c r="C168" s="20" t="s">
        <v>166</v>
      </c>
      <c r="D168" s="20" t="s">
        <v>72</v>
      </c>
      <c r="E168" s="75" t="str">
        <f>Input_Usage[[#This Row],[Profile name]]&amp;" - "&amp;Input_Usage[[#This Row],[Usage type]]</f>
        <v>Residential - small - Peak</v>
      </c>
      <c r="F168" s="20" t="s">
        <v>400</v>
      </c>
      <c r="G168" s="20" t="s">
        <v>65</v>
      </c>
      <c r="H168" s="20" t="s">
        <v>81</v>
      </c>
      <c r="I168" s="203" t="s">
        <v>39</v>
      </c>
      <c r="J168" s="104">
        <v>660</v>
      </c>
      <c r="K168" s="104">
        <v>660</v>
      </c>
      <c r="L168" s="104">
        <v>660</v>
      </c>
      <c r="M168" s="104">
        <v>660</v>
      </c>
      <c r="N168" s="104">
        <v>660</v>
      </c>
      <c r="O168" s="104">
        <v>660</v>
      </c>
      <c r="P168" s="104">
        <v>660</v>
      </c>
      <c r="Q168" s="104">
        <v>660</v>
      </c>
    </row>
    <row r="169" spans="3:17" outlineLevel="1">
      <c r="C169" s="20" t="s">
        <v>168</v>
      </c>
      <c r="D169" s="20" t="s">
        <v>72</v>
      </c>
      <c r="E169" s="75" t="str">
        <f>Input_Usage[[#This Row],[Profile name]]&amp;" - "&amp;Input_Usage[[#This Row],[Usage type]]</f>
        <v>Residential - medium - Peak</v>
      </c>
      <c r="F169" s="20" t="s">
        <v>400</v>
      </c>
      <c r="G169" s="20" t="s">
        <v>65</v>
      </c>
      <c r="H169" s="20" t="s">
        <v>81</v>
      </c>
      <c r="I169" s="203" t="s">
        <v>39</v>
      </c>
      <c r="J169" s="104">
        <v>1320</v>
      </c>
      <c r="K169" s="104">
        <v>1320</v>
      </c>
      <c r="L169" s="104">
        <v>1320</v>
      </c>
      <c r="M169" s="104">
        <v>1320</v>
      </c>
      <c r="N169" s="104">
        <v>1320</v>
      </c>
      <c r="O169" s="104">
        <v>1320</v>
      </c>
      <c r="P169" s="104">
        <v>1320</v>
      </c>
      <c r="Q169" s="104">
        <v>1320</v>
      </c>
    </row>
    <row r="170" spans="3:17" outlineLevel="1">
      <c r="C170" s="20" t="s">
        <v>170</v>
      </c>
      <c r="D170" s="20" t="s">
        <v>72</v>
      </c>
      <c r="E170" s="75" t="str">
        <f>Input_Usage[[#This Row],[Profile name]]&amp;" - "&amp;Input_Usage[[#This Row],[Usage type]]</f>
        <v>Residential - large - Peak</v>
      </c>
      <c r="F170" s="20" t="s">
        <v>400</v>
      </c>
      <c r="G170" s="20" t="s">
        <v>65</v>
      </c>
      <c r="H170" s="20" t="s">
        <v>81</v>
      </c>
      <c r="I170" s="203" t="s">
        <v>39</v>
      </c>
      <c r="J170" s="104">
        <v>2640</v>
      </c>
      <c r="K170" s="104">
        <v>2640</v>
      </c>
      <c r="L170" s="104">
        <v>2640</v>
      </c>
      <c r="M170" s="104">
        <v>2640</v>
      </c>
      <c r="N170" s="104">
        <v>2640</v>
      </c>
      <c r="O170" s="104">
        <v>2640</v>
      </c>
      <c r="P170" s="104">
        <v>2640</v>
      </c>
      <c r="Q170" s="104">
        <v>2640</v>
      </c>
    </row>
    <row r="171" spans="3:17" outlineLevel="1">
      <c r="C171" s="20" t="s">
        <v>167</v>
      </c>
      <c r="D171" s="20" t="s">
        <v>72</v>
      </c>
      <c r="E171" s="75" t="str">
        <f>Input_Usage[[#This Row],[Profile name]]&amp;" - "&amp;Input_Usage[[#This Row],[Usage type]]</f>
        <v>Small business - small - Peak</v>
      </c>
      <c r="F171" s="20" t="s">
        <v>400</v>
      </c>
      <c r="G171" s="20" t="s">
        <v>66</v>
      </c>
      <c r="H171" s="20" t="s">
        <v>81</v>
      </c>
      <c r="I171" s="203" t="s">
        <v>39</v>
      </c>
      <c r="J171" s="104">
        <v>4900</v>
      </c>
      <c r="K171" s="104">
        <v>4900</v>
      </c>
      <c r="L171" s="104">
        <v>4900</v>
      </c>
      <c r="M171" s="104">
        <v>4900</v>
      </c>
      <c r="N171" s="104">
        <v>4900</v>
      </c>
      <c r="O171" s="104">
        <v>4900</v>
      </c>
      <c r="P171" s="104">
        <v>4900</v>
      </c>
      <c r="Q171" s="104">
        <v>4900</v>
      </c>
    </row>
    <row r="172" spans="3:17" outlineLevel="1">
      <c r="C172" s="20" t="s">
        <v>169</v>
      </c>
      <c r="D172" s="20" t="s">
        <v>72</v>
      </c>
      <c r="E172" s="75" t="str">
        <f>Input_Usage[[#This Row],[Profile name]]&amp;" - "&amp;Input_Usage[[#This Row],[Usage type]]</f>
        <v>Small business - medium - Peak</v>
      </c>
      <c r="F172" s="20" t="s">
        <v>400</v>
      </c>
      <c r="G172" s="20" t="s">
        <v>66</v>
      </c>
      <c r="H172" s="20" t="s">
        <v>81</v>
      </c>
      <c r="I172" s="203" t="s">
        <v>39</v>
      </c>
      <c r="J172" s="104">
        <v>9800</v>
      </c>
      <c r="K172" s="104">
        <v>9800</v>
      </c>
      <c r="L172" s="104">
        <v>9800</v>
      </c>
      <c r="M172" s="104">
        <v>9800</v>
      </c>
      <c r="N172" s="104">
        <v>9800</v>
      </c>
      <c r="O172" s="104">
        <v>9800</v>
      </c>
      <c r="P172" s="104">
        <v>9800</v>
      </c>
      <c r="Q172" s="104">
        <v>9800</v>
      </c>
    </row>
    <row r="173" spans="3:17" outlineLevel="1">
      <c r="C173" s="20" t="s">
        <v>171</v>
      </c>
      <c r="D173" s="20" t="s">
        <v>72</v>
      </c>
      <c r="E173" s="75" t="str">
        <f>Input_Usage[[#This Row],[Profile name]]&amp;" - "&amp;Input_Usage[[#This Row],[Usage type]]</f>
        <v>Small business - large - Peak</v>
      </c>
      <c r="F173" s="20" t="s">
        <v>400</v>
      </c>
      <c r="G173" s="20" t="s">
        <v>66</v>
      </c>
      <c r="H173" s="20" t="s">
        <v>81</v>
      </c>
      <c r="I173" s="203" t="s">
        <v>39</v>
      </c>
      <c r="J173" s="104">
        <v>19600</v>
      </c>
      <c r="K173" s="104">
        <v>19600</v>
      </c>
      <c r="L173" s="104">
        <v>19600</v>
      </c>
      <c r="M173" s="104">
        <v>19600</v>
      </c>
      <c r="N173" s="104">
        <v>19600</v>
      </c>
      <c r="O173" s="104">
        <v>19600</v>
      </c>
      <c r="P173" s="104">
        <v>19600</v>
      </c>
      <c r="Q173" s="104">
        <v>19600</v>
      </c>
    </row>
    <row r="174" spans="3:17" outlineLevel="1">
      <c r="C174" s="20" t="s">
        <v>166</v>
      </c>
      <c r="D174" s="20" t="s">
        <v>73</v>
      </c>
      <c r="E174" s="75" t="str">
        <f>Input_Usage[[#This Row],[Profile name]]&amp;" - "&amp;Input_Usage[[#This Row],[Usage type]]</f>
        <v>Residential - small - Off peak</v>
      </c>
      <c r="F174" s="20" t="s">
        <v>400</v>
      </c>
      <c r="G174" s="20" t="s">
        <v>65</v>
      </c>
      <c r="H174" s="20" t="s">
        <v>81</v>
      </c>
      <c r="I174" s="203" t="s">
        <v>39</v>
      </c>
      <c r="J174" s="104">
        <v>1340</v>
      </c>
      <c r="K174" s="104">
        <v>1340</v>
      </c>
      <c r="L174" s="104">
        <v>1340</v>
      </c>
      <c r="M174" s="104">
        <v>1340</v>
      </c>
      <c r="N174" s="104">
        <v>1340</v>
      </c>
      <c r="O174" s="104">
        <v>1340</v>
      </c>
      <c r="P174" s="104">
        <v>1340</v>
      </c>
      <c r="Q174" s="104">
        <v>1340</v>
      </c>
    </row>
    <row r="175" spans="3:17" outlineLevel="1">
      <c r="C175" s="20" t="s">
        <v>168</v>
      </c>
      <c r="D175" s="20" t="s">
        <v>73</v>
      </c>
      <c r="E175" s="75" t="str">
        <f>Input_Usage[[#This Row],[Profile name]]&amp;" - "&amp;Input_Usage[[#This Row],[Usage type]]</f>
        <v>Residential - medium - Off peak</v>
      </c>
      <c r="F175" s="20" t="s">
        <v>400</v>
      </c>
      <c r="G175" s="20" t="s">
        <v>65</v>
      </c>
      <c r="H175" s="20" t="s">
        <v>81</v>
      </c>
      <c r="I175" s="203" t="s">
        <v>39</v>
      </c>
      <c r="J175" s="104">
        <v>2680</v>
      </c>
      <c r="K175" s="104">
        <v>2680</v>
      </c>
      <c r="L175" s="104">
        <v>2680</v>
      </c>
      <c r="M175" s="104">
        <v>2680</v>
      </c>
      <c r="N175" s="104">
        <v>2680</v>
      </c>
      <c r="O175" s="104">
        <v>2680</v>
      </c>
      <c r="P175" s="104">
        <v>2680</v>
      </c>
      <c r="Q175" s="104">
        <v>2680</v>
      </c>
    </row>
    <row r="176" spans="3:17" outlineLevel="1">
      <c r="C176" s="20" t="s">
        <v>170</v>
      </c>
      <c r="D176" s="20" t="s">
        <v>73</v>
      </c>
      <c r="E176" s="75" t="str">
        <f>Input_Usage[[#This Row],[Profile name]]&amp;" - "&amp;Input_Usage[[#This Row],[Usage type]]</f>
        <v>Residential - large - Off peak</v>
      </c>
      <c r="F176" s="20" t="s">
        <v>400</v>
      </c>
      <c r="G176" s="20" t="s">
        <v>65</v>
      </c>
      <c r="H176" s="20" t="s">
        <v>81</v>
      </c>
      <c r="I176" s="203" t="s">
        <v>39</v>
      </c>
      <c r="J176" s="104">
        <v>5360</v>
      </c>
      <c r="K176" s="104">
        <v>5360</v>
      </c>
      <c r="L176" s="104">
        <v>5360</v>
      </c>
      <c r="M176" s="104">
        <v>5360</v>
      </c>
      <c r="N176" s="104">
        <v>5360</v>
      </c>
      <c r="O176" s="104">
        <v>5360</v>
      </c>
      <c r="P176" s="104">
        <v>5360</v>
      </c>
      <c r="Q176" s="104">
        <v>5360</v>
      </c>
    </row>
    <row r="177" spans="2:18" outlineLevel="1">
      <c r="C177" s="20" t="s">
        <v>167</v>
      </c>
      <c r="D177" s="20" t="s">
        <v>73</v>
      </c>
      <c r="E177" s="75" t="str">
        <f>Input_Usage[[#This Row],[Profile name]]&amp;" - "&amp;Input_Usage[[#This Row],[Usage type]]</f>
        <v>Small business - small - Off peak</v>
      </c>
      <c r="F177" s="20" t="s">
        <v>400</v>
      </c>
      <c r="G177" s="20" t="s">
        <v>66</v>
      </c>
      <c r="H177" s="20" t="s">
        <v>81</v>
      </c>
      <c r="I177" s="203" t="s">
        <v>39</v>
      </c>
      <c r="J177" s="104">
        <v>5100</v>
      </c>
      <c r="K177" s="104">
        <v>5100</v>
      </c>
      <c r="L177" s="104">
        <v>5100</v>
      </c>
      <c r="M177" s="104">
        <v>5100</v>
      </c>
      <c r="N177" s="104">
        <v>5100</v>
      </c>
      <c r="O177" s="104">
        <v>5100</v>
      </c>
      <c r="P177" s="104">
        <v>5100</v>
      </c>
      <c r="Q177" s="104">
        <v>5100</v>
      </c>
    </row>
    <row r="178" spans="2:18" outlineLevel="1">
      <c r="C178" s="20" t="s">
        <v>169</v>
      </c>
      <c r="D178" s="20" t="s">
        <v>73</v>
      </c>
      <c r="E178" s="75" t="str">
        <f>Input_Usage[[#This Row],[Profile name]]&amp;" - "&amp;Input_Usage[[#This Row],[Usage type]]</f>
        <v>Small business - medium - Off peak</v>
      </c>
      <c r="F178" s="20" t="s">
        <v>400</v>
      </c>
      <c r="G178" s="20" t="s">
        <v>66</v>
      </c>
      <c r="H178" s="20" t="s">
        <v>81</v>
      </c>
      <c r="I178" s="203" t="s">
        <v>39</v>
      </c>
      <c r="J178" s="104">
        <v>10200</v>
      </c>
      <c r="K178" s="104">
        <v>10200</v>
      </c>
      <c r="L178" s="104">
        <v>10200</v>
      </c>
      <c r="M178" s="104">
        <v>10200</v>
      </c>
      <c r="N178" s="104">
        <v>10200</v>
      </c>
      <c r="O178" s="104">
        <v>10200</v>
      </c>
      <c r="P178" s="104">
        <v>10200</v>
      </c>
      <c r="Q178" s="104">
        <v>10200</v>
      </c>
    </row>
    <row r="179" spans="2:18" outlineLevel="1">
      <c r="C179" s="20" t="s">
        <v>171</v>
      </c>
      <c r="D179" s="20" t="s">
        <v>73</v>
      </c>
      <c r="E179" s="75" t="str">
        <f>Input_Usage[[#This Row],[Profile name]]&amp;" - "&amp;Input_Usage[[#This Row],[Usage type]]</f>
        <v>Small business - large - Off peak</v>
      </c>
      <c r="F179" s="20" t="s">
        <v>400</v>
      </c>
      <c r="G179" s="20" t="s">
        <v>66</v>
      </c>
      <c r="H179" s="20" t="s">
        <v>81</v>
      </c>
      <c r="I179" s="203" t="s">
        <v>39</v>
      </c>
      <c r="J179" s="104">
        <v>20400</v>
      </c>
      <c r="K179" s="104">
        <v>20400</v>
      </c>
      <c r="L179" s="104">
        <v>20400</v>
      </c>
      <c r="M179" s="104">
        <v>20400</v>
      </c>
      <c r="N179" s="104">
        <v>20400</v>
      </c>
      <c r="O179" s="104">
        <v>20400</v>
      </c>
      <c r="P179" s="104">
        <v>20400</v>
      </c>
      <c r="Q179" s="104">
        <v>20400</v>
      </c>
    </row>
    <row r="181" spans="2:18" ht="16" thickBot="1">
      <c r="B181" s="216">
        <f ca="1">MAX(B$3:B180)+0.01</f>
        <v>10.029999999999999</v>
      </c>
      <c r="C181" s="25" t="s">
        <v>402</v>
      </c>
      <c r="D181" s="25"/>
      <c r="E181" s="25"/>
      <c r="F181" s="25"/>
      <c r="G181" s="25"/>
      <c r="H181" s="25"/>
      <c r="I181" s="25"/>
      <c r="J181" s="25"/>
      <c r="K181" s="25"/>
      <c r="L181" s="25"/>
      <c r="M181" s="25"/>
      <c r="N181" s="25"/>
      <c r="O181" s="25"/>
      <c r="P181" s="25"/>
      <c r="Q181" s="25"/>
      <c r="R181" s="25"/>
    </row>
    <row r="183" spans="2:18" ht="15.5" outlineLevel="1">
      <c r="H183" s="36" t="s">
        <v>30</v>
      </c>
      <c r="I183" s="2">
        <v>2021</v>
      </c>
      <c r="J183" s="2">
        <v>2021</v>
      </c>
      <c r="K183" s="2">
        <v>2021</v>
      </c>
      <c r="L183" s="2">
        <v>2022</v>
      </c>
      <c r="M183" s="2">
        <v>2022</v>
      </c>
      <c r="N183" s="2" t="s">
        <v>283</v>
      </c>
      <c r="O183" s="2" t="s">
        <v>283</v>
      </c>
      <c r="P183" s="2" t="s">
        <v>506</v>
      </c>
      <c r="Q183" s="2" t="s">
        <v>506</v>
      </c>
    </row>
    <row r="184" spans="2:18" ht="15.5" outlineLevel="1">
      <c r="H184" s="36" t="s">
        <v>31</v>
      </c>
      <c r="I184" s="37" t="str">
        <f t="shared" ref="I184:Q184" si="3">"VDO "&amp;I183&amp;" - "&amp;IF(LEFT(I186,1)="F","Final",IF(LEFT(I186,1)="D","Draft",IF(LEFT(I186,2)="VD","Variation draft",IF(LEFT(I186,2)="VF","Variation final"))))</f>
        <v>VDO 2021 - Final</v>
      </c>
      <c r="J184" s="37" t="str">
        <f t="shared" si="3"/>
        <v>VDO 2021 - Variation draft</v>
      </c>
      <c r="K184" s="37" t="str">
        <f t="shared" si="3"/>
        <v>VDO 2021 - Variation final</v>
      </c>
      <c r="L184" s="37" t="str">
        <f t="shared" si="3"/>
        <v>VDO 2022 - Draft</v>
      </c>
      <c r="M184" s="37" t="str">
        <f t="shared" si="3"/>
        <v>VDO 2022 - Final</v>
      </c>
      <c r="N184" s="37" t="str">
        <f t="shared" si="3"/>
        <v>VDO 2022-23 - Draft</v>
      </c>
      <c r="O184" s="37" t="str">
        <f t="shared" si="3"/>
        <v>VDO 2022-23 - Final</v>
      </c>
      <c r="P184" s="37" t="str">
        <f t="shared" si="3"/>
        <v>VDO 2023-24 - Draft</v>
      </c>
      <c r="Q184" s="37" t="str">
        <f t="shared" si="3"/>
        <v>VDO 2023-24 - Final</v>
      </c>
    </row>
    <row r="185" spans="2:18" ht="15.5" outlineLevel="1">
      <c r="C185" s="26" t="s">
        <v>403</v>
      </c>
    </row>
    <row r="186" spans="2:18" ht="15.5" outlineLevel="1">
      <c r="C186" s="39" t="s">
        <v>32</v>
      </c>
      <c r="D186" s="39" t="s">
        <v>33</v>
      </c>
      <c r="E186" s="39" t="s">
        <v>88</v>
      </c>
      <c r="F186" s="39" t="s">
        <v>56</v>
      </c>
      <c r="G186" s="39" t="s">
        <v>57</v>
      </c>
      <c r="H186" s="39" t="s">
        <v>404</v>
      </c>
      <c r="I186" s="39" t="s">
        <v>286</v>
      </c>
      <c r="J186" s="39" t="s">
        <v>288</v>
      </c>
      <c r="K186" s="39" t="s">
        <v>290</v>
      </c>
      <c r="L186" s="38" t="s">
        <v>510</v>
      </c>
      <c r="M186" s="38" t="s">
        <v>512</v>
      </c>
      <c r="N186" s="39" t="s">
        <v>291</v>
      </c>
      <c r="O186" s="39" t="s">
        <v>34</v>
      </c>
      <c r="P186" s="39" t="s">
        <v>37</v>
      </c>
      <c r="Q186" s="39" t="s">
        <v>38</v>
      </c>
    </row>
    <row r="187" spans="2:18" outlineLevel="1">
      <c r="C187" s="53" t="s">
        <v>82</v>
      </c>
      <c r="D187" s="53" t="s">
        <v>155</v>
      </c>
      <c r="E187" s="53" t="s">
        <v>39</v>
      </c>
      <c r="F187" s="20" t="s">
        <v>400</v>
      </c>
      <c r="G187" s="20" t="s">
        <v>91</v>
      </c>
      <c r="H187" s="20" t="s">
        <v>404</v>
      </c>
      <c r="I187" s="34"/>
      <c r="J187" s="34"/>
      <c r="K187" s="34"/>
      <c r="L187" s="34">
        <v>35.75</v>
      </c>
      <c r="M187" s="34">
        <v>35.75</v>
      </c>
      <c r="N187" s="195">
        <v>34.44</v>
      </c>
      <c r="O187" s="195">
        <v>34.44</v>
      </c>
      <c r="P187" s="195">
        <v>35.46</v>
      </c>
      <c r="Q187" s="195">
        <v>35.46</v>
      </c>
    </row>
    <row r="188" spans="2:18" outlineLevel="1">
      <c r="C188" s="53" t="s">
        <v>82</v>
      </c>
      <c r="D188" s="53" t="s">
        <v>156</v>
      </c>
      <c r="E188" s="53" t="s">
        <v>39</v>
      </c>
      <c r="F188" s="20" t="s">
        <v>128</v>
      </c>
      <c r="G188" s="20" t="s">
        <v>91</v>
      </c>
      <c r="H188" s="20" t="s">
        <v>404</v>
      </c>
      <c r="I188" s="50"/>
      <c r="J188" s="50"/>
      <c r="K188" s="50"/>
      <c r="L188" s="50">
        <v>0.18540000000000001</v>
      </c>
      <c r="M188" s="50">
        <v>0.18540000000000001</v>
      </c>
      <c r="N188" s="50">
        <v>0.18640000000000001</v>
      </c>
      <c r="O188" s="208">
        <v>0.18640000000000001</v>
      </c>
      <c r="P188" s="195">
        <v>0.188</v>
      </c>
      <c r="Q188" s="195">
        <v>0.188</v>
      </c>
    </row>
    <row r="189" spans="2:18" outlineLevel="1">
      <c r="C189" s="53" t="s">
        <v>82</v>
      </c>
      <c r="D189" s="53" t="s">
        <v>159</v>
      </c>
      <c r="E189" s="53" t="s">
        <v>39</v>
      </c>
      <c r="F189" s="20" t="s">
        <v>400</v>
      </c>
      <c r="G189" s="20" t="s">
        <v>91</v>
      </c>
      <c r="H189" s="20" t="s">
        <v>404</v>
      </c>
      <c r="I189" s="57"/>
      <c r="J189" s="57"/>
      <c r="K189" s="57"/>
      <c r="L189" s="57">
        <v>40</v>
      </c>
      <c r="M189" s="57">
        <v>40</v>
      </c>
      <c r="N189" s="57">
        <v>40</v>
      </c>
      <c r="O189" s="195">
        <v>40</v>
      </c>
      <c r="P189" s="195">
        <v>40</v>
      </c>
      <c r="Q189" s="195">
        <v>40</v>
      </c>
    </row>
    <row r="190" spans="2:18" outlineLevel="1">
      <c r="C190" s="53" t="s">
        <v>82</v>
      </c>
      <c r="D190" s="53" t="s">
        <v>160</v>
      </c>
      <c r="E190" s="53" t="s">
        <v>39</v>
      </c>
      <c r="F190" s="20" t="s">
        <v>128</v>
      </c>
      <c r="G190" s="20" t="s">
        <v>91</v>
      </c>
      <c r="H190" s="20" t="s">
        <v>404</v>
      </c>
      <c r="I190" s="50"/>
      <c r="J190" s="50"/>
      <c r="K190" s="50"/>
      <c r="L190" s="189">
        <v>0.28799999999999998</v>
      </c>
      <c r="M190" s="189">
        <v>0.28799999999999998</v>
      </c>
      <c r="N190" s="50">
        <v>0.27260000000000001</v>
      </c>
      <c r="O190" s="208">
        <v>0.27260000000000001</v>
      </c>
      <c r="P190" s="195">
        <v>0.21779999999999999</v>
      </c>
      <c r="Q190" s="195">
        <v>0.21779999999999999</v>
      </c>
    </row>
    <row r="191" spans="2:18" outlineLevel="1">
      <c r="C191" s="53" t="s">
        <v>82</v>
      </c>
      <c r="D191" s="53" t="s">
        <v>149</v>
      </c>
      <c r="E191" s="53" t="s">
        <v>39</v>
      </c>
      <c r="F191" s="20" t="s">
        <v>400</v>
      </c>
      <c r="G191" s="20" t="s">
        <v>91</v>
      </c>
      <c r="H191" s="20" t="s">
        <v>404</v>
      </c>
      <c r="I191" s="57"/>
      <c r="J191" s="57"/>
      <c r="K191" s="57"/>
      <c r="L191" s="189">
        <v>32.379354863483861</v>
      </c>
      <c r="M191" s="189">
        <v>32.379354863483861</v>
      </c>
      <c r="N191" s="57">
        <v>56.939318273848677</v>
      </c>
      <c r="O191" s="195">
        <v>56.939318273848677</v>
      </c>
      <c r="P191" s="195">
        <v>73.62</v>
      </c>
      <c r="Q191" s="195">
        <v>73.62</v>
      </c>
    </row>
    <row r="192" spans="2:18" outlineLevel="1">
      <c r="C192" s="53" t="s">
        <v>82</v>
      </c>
      <c r="D192" s="53" t="s">
        <v>151</v>
      </c>
      <c r="E192" s="53" t="s">
        <v>39</v>
      </c>
      <c r="F192" s="20" t="s">
        <v>128</v>
      </c>
      <c r="G192" s="20" t="s">
        <v>91</v>
      </c>
      <c r="H192" s="20" t="s">
        <v>404</v>
      </c>
      <c r="I192" s="50"/>
      <c r="J192" s="50"/>
      <c r="K192" s="50"/>
      <c r="L192" s="50">
        <v>0.17255000000000001</v>
      </c>
      <c r="M192" s="50">
        <v>0.17255000000000001</v>
      </c>
      <c r="N192" s="190">
        <v>0.17255000000000001</v>
      </c>
      <c r="O192" s="208">
        <v>0.17255000000000001</v>
      </c>
      <c r="P192" s="195">
        <v>0.16113</v>
      </c>
      <c r="Q192" s="195">
        <v>0.16113</v>
      </c>
    </row>
    <row r="193" spans="3:12" outlineLevel="1"/>
    <row r="194" spans="3:12" outlineLevel="1"/>
    <row r="195" spans="3:12" ht="15.5" hidden="1" outlineLevel="1">
      <c r="G195" s="36" t="s">
        <v>30</v>
      </c>
      <c r="H195" s="2">
        <v>2021</v>
      </c>
      <c r="I195" s="2">
        <v>2021</v>
      </c>
      <c r="J195" s="2">
        <v>2021</v>
      </c>
      <c r="K195" s="2">
        <v>2022</v>
      </c>
      <c r="L195" s="2">
        <v>2022</v>
      </c>
    </row>
    <row r="196" spans="3:12" ht="15.5" hidden="1" outlineLevel="1">
      <c r="G196" s="36" t="s">
        <v>31</v>
      </c>
      <c r="H196" s="37" t="str">
        <f t="shared" ref="H196:L196" si="4">"VDO "&amp;H195&amp;" - "&amp;IF(LEFT(H198,1)="F","Final",IF(LEFT(H198,1)="D","Draft",IF(LEFT(H198,2)="VD","Variation draft",IF(LEFT(H198,2)="VF","Variation final"))))</f>
        <v>VDO 2021 - Final</v>
      </c>
      <c r="I196" s="37" t="str">
        <f t="shared" si="4"/>
        <v>VDO 2021 - Variation draft</v>
      </c>
      <c r="J196" s="37" t="str">
        <f t="shared" si="4"/>
        <v>VDO 2021 - Variation final</v>
      </c>
      <c r="K196" s="37" t="str">
        <f t="shared" si="4"/>
        <v>VDO 2022 - Draft</v>
      </c>
      <c r="L196" s="37" t="str">
        <f t="shared" si="4"/>
        <v>VDO 2022 - Final</v>
      </c>
    </row>
    <row r="197" spans="3:12" ht="15.5" hidden="1" outlineLevel="1">
      <c r="C197" s="26" t="s">
        <v>405</v>
      </c>
    </row>
    <row r="198" spans="3:12" ht="15.5" hidden="1" outlineLevel="1">
      <c r="C198" s="39" t="s">
        <v>32</v>
      </c>
      <c r="D198" s="39" t="s">
        <v>406</v>
      </c>
      <c r="E198" s="39" t="s">
        <v>407</v>
      </c>
      <c r="F198" s="111" t="s">
        <v>57</v>
      </c>
      <c r="G198" s="39" t="s">
        <v>56</v>
      </c>
      <c r="H198" s="39" t="s">
        <v>286</v>
      </c>
      <c r="I198" s="39" t="s">
        <v>288</v>
      </c>
      <c r="J198" s="39" t="s">
        <v>290</v>
      </c>
      <c r="K198" s="38" t="s">
        <v>510</v>
      </c>
      <c r="L198" s="38" t="s">
        <v>512</v>
      </c>
    </row>
    <row r="199" spans="3:12" hidden="1" outlineLevel="1">
      <c r="C199" s="53" t="s">
        <v>80</v>
      </c>
      <c r="D199" s="20" t="s">
        <v>212</v>
      </c>
      <c r="E199" s="20" t="s">
        <v>408</v>
      </c>
      <c r="F199" s="20" t="s">
        <v>65</v>
      </c>
      <c r="G199" s="91" t="s">
        <v>409</v>
      </c>
      <c r="H199" s="57"/>
      <c r="I199" s="57"/>
      <c r="J199" s="57"/>
      <c r="K199" s="104">
        <v>1384988558.2189994</v>
      </c>
      <c r="L199" s="104">
        <v>1390862726.4569998</v>
      </c>
    </row>
    <row r="200" spans="3:12" hidden="1" outlineLevel="1">
      <c r="C200" s="53" t="s">
        <v>80</v>
      </c>
      <c r="D200" s="20" t="s">
        <v>212</v>
      </c>
      <c r="E200" s="20" t="s">
        <v>408</v>
      </c>
      <c r="F200" s="20" t="s">
        <v>66</v>
      </c>
      <c r="G200" s="91" t="s">
        <v>409</v>
      </c>
      <c r="H200" s="57"/>
      <c r="I200" s="57"/>
      <c r="J200" s="57"/>
      <c r="K200" s="104">
        <v>194313986.50000009</v>
      </c>
      <c r="L200" s="104">
        <v>213022007.22900003</v>
      </c>
    </row>
    <row r="201" spans="3:12" hidden="1" outlineLevel="1">
      <c r="C201" s="53" t="s">
        <v>80</v>
      </c>
      <c r="D201" s="20" t="s">
        <v>212</v>
      </c>
      <c r="E201" s="20" t="s">
        <v>410</v>
      </c>
      <c r="F201" s="20" t="s">
        <v>65</v>
      </c>
      <c r="G201" s="91" t="s">
        <v>409</v>
      </c>
      <c r="H201" s="57"/>
      <c r="I201" s="57"/>
      <c r="J201" s="57"/>
      <c r="K201" s="104">
        <v>1297933782.0659995</v>
      </c>
      <c r="L201" s="104">
        <v>1178856385.7869997</v>
      </c>
    </row>
    <row r="202" spans="3:12" hidden="1" outlineLevel="1">
      <c r="C202" s="53" t="s">
        <v>80</v>
      </c>
      <c r="D202" s="20" t="s">
        <v>212</v>
      </c>
      <c r="E202" s="20" t="s">
        <v>410</v>
      </c>
      <c r="F202" s="20" t="s">
        <v>66</v>
      </c>
      <c r="G202" s="91" t="s">
        <v>409</v>
      </c>
      <c r="H202" s="57"/>
      <c r="I202" s="57"/>
      <c r="J202" s="57"/>
      <c r="K202" s="104">
        <v>158824551.69600001</v>
      </c>
      <c r="L202" s="104">
        <v>181159117.31999996</v>
      </c>
    </row>
    <row r="203" spans="3:12" hidden="1" outlineLevel="1">
      <c r="C203" s="53" t="s">
        <v>80</v>
      </c>
      <c r="D203" s="20" t="s">
        <v>213</v>
      </c>
      <c r="E203" s="20" t="s">
        <v>411</v>
      </c>
      <c r="F203" s="20" t="s">
        <v>65</v>
      </c>
      <c r="G203" s="91" t="s">
        <v>409</v>
      </c>
      <c r="H203" s="57"/>
      <c r="I203" s="57"/>
      <c r="J203" s="57"/>
      <c r="K203" s="104">
        <v>2713463</v>
      </c>
      <c r="L203" s="104">
        <v>2713463</v>
      </c>
    </row>
    <row r="204" spans="3:12" hidden="1" outlineLevel="1">
      <c r="C204" s="53" t="s">
        <v>80</v>
      </c>
      <c r="D204" s="20" t="s">
        <v>213</v>
      </c>
      <c r="E204" s="20" t="s">
        <v>411</v>
      </c>
      <c r="F204" s="20" t="s">
        <v>66</v>
      </c>
      <c r="G204" s="91" t="s">
        <v>409</v>
      </c>
      <c r="H204" s="57"/>
      <c r="I204" s="57"/>
      <c r="J204" s="57"/>
      <c r="K204" s="104">
        <v>293515</v>
      </c>
      <c r="L204" s="104">
        <v>293515</v>
      </c>
    </row>
    <row r="205" spans="3:12" ht="15" hidden="1" customHeight="1" outlineLevel="1">
      <c r="C205" s="53" t="s">
        <v>80</v>
      </c>
      <c r="D205" s="20" t="s">
        <v>412</v>
      </c>
      <c r="E205" s="20" t="s">
        <v>39</v>
      </c>
      <c r="F205" s="20" t="s">
        <v>65</v>
      </c>
      <c r="G205" s="91" t="s">
        <v>409</v>
      </c>
      <c r="H205" s="151"/>
      <c r="I205" s="151"/>
      <c r="J205" s="151"/>
      <c r="K205" s="152">
        <v>1020</v>
      </c>
      <c r="L205" s="152">
        <v>1020</v>
      </c>
    </row>
    <row r="206" spans="3:12" ht="15" hidden="1" customHeight="1" outlineLevel="1">
      <c r="C206" s="53" t="s">
        <v>80</v>
      </c>
      <c r="D206" s="20" t="s">
        <v>412</v>
      </c>
      <c r="E206" s="20" t="s">
        <v>39</v>
      </c>
      <c r="F206" s="20" t="s">
        <v>66</v>
      </c>
      <c r="G206" s="91" t="s">
        <v>409</v>
      </c>
      <c r="H206" s="151"/>
      <c r="I206" s="151"/>
      <c r="J206" s="151"/>
      <c r="K206" s="152">
        <v>1020</v>
      </c>
      <c r="L206" s="152">
        <v>1020</v>
      </c>
    </row>
    <row r="207" spans="3:12" ht="15" hidden="1" customHeight="1" outlineLevel="1">
      <c r="C207" s="53" t="s">
        <v>80</v>
      </c>
      <c r="D207" s="20" t="s">
        <v>413</v>
      </c>
      <c r="E207" s="20" t="s">
        <v>414</v>
      </c>
      <c r="F207" s="20" t="s">
        <v>65</v>
      </c>
      <c r="G207" s="91" t="s">
        <v>409</v>
      </c>
      <c r="H207" s="57"/>
      <c r="I207" s="57"/>
      <c r="J207" s="57"/>
      <c r="K207" s="104">
        <v>2682922340.2849989</v>
      </c>
      <c r="L207" s="185">
        <v>2682922340.2849989</v>
      </c>
    </row>
    <row r="208" spans="3:12" ht="15" hidden="1" customHeight="1" outlineLevel="1">
      <c r="C208" s="53" t="s">
        <v>80</v>
      </c>
      <c r="D208" s="20" t="s">
        <v>413</v>
      </c>
      <c r="E208" s="20" t="s">
        <v>415</v>
      </c>
      <c r="F208" s="20" t="s">
        <v>65</v>
      </c>
      <c r="G208" s="91" t="s">
        <v>409</v>
      </c>
      <c r="H208" s="57"/>
      <c r="I208" s="57"/>
      <c r="J208" s="57"/>
      <c r="K208" s="104">
        <v>5276055251.795001</v>
      </c>
      <c r="L208" s="185">
        <v>5276055251.795001</v>
      </c>
    </row>
    <row r="209" spans="3:12" ht="15" hidden="1" customHeight="1" outlineLevel="1">
      <c r="C209" s="53" t="s">
        <v>80</v>
      </c>
      <c r="D209" s="20" t="s">
        <v>413</v>
      </c>
      <c r="E209" s="20" t="s">
        <v>416</v>
      </c>
      <c r="F209" s="20" t="s">
        <v>65</v>
      </c>
      <c r="G209" s="91" t="s">
        <v>409</v>
      </c>
      <c r="H209" s="57"/>
      <c r="I209" s="57"/>
      <c r="J209" s="57"/>
      <c r="K209" s="104">
        <v>11053207689.419996</v>
      </c>
      <c r="L209" s="185">
        <v>11053207689.419996</v>
      </c>
    </row>
    <row r="210" spans="3:12" ht="15" hidden="1" customHeight="1" outlineLevel="1"/>
    <row r="211" spans="3:12" ht="15" hidden="1" customHeight="1" outlineLevel="1"/>
    <row r="212" spans="3:12" ht="15.5" hidden="1" outlineLevel="1">
      <c r="E212" s="36" t="s">
        <v>30</v>
      </c>
      <c r="F212" s="2">
        <v>2021</v>
      </c>
      <c r="G212" s="2">
        <v>2021</v>
      </c>
      <c r="H212" s="2">
        <v>2021</v>
      </c>
      <c r="I212" s="2">
        <v>2022</v>
      </c>
      <c r="J212" s="2">
        <v>2022</v>
      </c>
      <c r="K212" s="2" t="s">
        <v>283</v>
      </c>
    </row>
    <row r="213" spans="3:12" ht="15.5" hidden="1" outlineLevel="1">
      <c r="E213" s="36" t="s">
        <v>31</v>
      </c>
      <c r="F213" s="37" t="str">
        <f t="shared" ref="F213:K213" si="5">"VDO "&amp;F212&amp;" - "&amp;IF(LEFT(F215,1)="F","Final",IF(LEFT(F215,1)="D","Draft",IF(LEFT(F215,2)="VD","Variation draft",IF(LEFT(F215,2)="VF","Variation final"))))</f>
        <v>VDO 2021 - Final</v>
      </c>
      <c r="G213" s="37" t="str">
        <f t="shared" si="5"/>
        <v>VDO 2021 - Variation draft</v>
      </c>
      <c r="H213" s="37" t="str">
        <f t="shared" si="5"/>
        <v>VDO 2021 - Variation final</v>
      </c>
      <c r="I213" s="37" t="str">
        <f t="shared" si="5"/>
        <v>VDO 2022 - Draft</v>
      </c>
      <c r="J213" s="37" t="str">
        <f t="shared" si="5"/>
        <v>VDO 2022 - Final</v>
      </c>
      <c r="K213" s="37" t="str">
        <f t="shared" si="5"/>
        <v>VDO 2022-23 - Draft</v>
      </c>
    </row>
    <row r="214" spans="3:12" ht="15.5" hidden="1" outlineLevel="1">
      <c r="C214" s="26" t="s">
        <v>417</v>
      </c>
    </row>
    <row r="215" spans="3:12" ht="15.5" hidden="1" outlineLevel="1">
      <c r="C215" s="39" t="s">
        <v>42</v>
      </c>
      <c r="D215" s="111" t="s">
        <v>57</v>
      </c>
      <c r="E215" s="39" t="s">
        <v>56</v>
      </c>
      <c r="F215" s="39" t="s">
        <v>286</v>
      </c>
      <c r="G215" s="39" t="s">
        <v>288</v>
      </c>
      <c r="H215" s="39" t="s">
        <v>290</v>
      </c>
      <c r="I215" s="38" t="s">
        <v>510</v>
      </c>
      <c r="J215" s="96" t="s">
        <v>512</v>
      </c>
      <c r="K215" s="39" t="s">
        <v>291</v>
      </c>
    </row>
    <row r="216" spans="3:12" hidden="1" outlineLevel="1">
      <c r="C216" s="20" t="s">
        <v>72</v>
      </c>
      <c r="D216" s="20" t="s">
        <v>65</v>
      </c>
      <c r="E216" s="91" t="s">
        <v>128</v>
      </c>
      <c r="F216" s="141" t="str" cm="1">
        <f t="array" ref="F216">IFERROR(INDEX(Input_Usage[[F-PreviousVDO_Input]:[F-PreviousVDO_Input2]],MATCH(1,(Input_Usage[[Usage type]:[Usage type]]=$C216)*(Input_Usage[[Profile name]:[Profile name]]=$D216&amp;" - medium"),0),MATCH(F$215,Input_Usage[[#Headers],[F-PreviousVDO_Input]:[F-PreviousVDO_Input2]],0))/
INDEX(Input_Usage[[F-PreviousVDO_Input]:[F-PreviousVDO_Input2]],MATCH(1,(Input_Usage[[Usage type]:[Usage type]]="Annual")*(Input_Usage[[Profile name]:[Profile name]]=$D216&amp;" - medium"),0),MATCH(F$215,Input_Usage[[#Headers],[F-PreviousVDO_Input]:[F-PreviousVDO_Input2]],0)),"-")</f>
        <v>-</v>
      </c>
      <c r="G216" s="141" cm="1">
        <f t="array" ref="G216">IFERROR(INDEX(Input_Usage[[F-PreviousVDO_Input]:[F-PreviousVDO_Input2]],MATCH(1,(Input_Usage[[Usage type]:[Usage type]]=$C216)*(Input_Usage[[Profile name]:[Profile name]]=$D216&amp;" - medium"),0),MATCH(G$215,Input_Usage[[#Headers],[F-PreviousVDO_Input]:[F-PreviousVDO_Input2]],0))/
INDEX(Input_Usage[[F-PreviousVDO_Input]:[F-PreviousVDO_Input2]],MATCH(1,(Input_Usage[[Usage type]:[Usage type]]="Annual")*(Input_Usage[[Profile name]:[Profile name]]=$D216&amp;" - medium"),0),MATCH(G$215,Input_Usage[[#Headers],[F-PreviousVDO_Input]:[F-PreviousVDO_Input2]],0)),"-")</f>
        <v>0.33</v>
      </c>
      <c r="H216" s="141" cm="1">
        <f t="array" ref="H216">IFERROR(INDEX(Input_Usage[[F-PreviousVDO_Input]:[F-PreviousVDO_Input2]],MATCH(1,(Input_Usage[[Usage type]:[Usage type]]=$C216)*(Input_Usage[[Profile name]:[Profile name]]=$D216&amp;" - medium"),0),MATCH(H$215,Input_Usage[[#Headers],[F-PreviousVDO_Input]:[F-PreviousVDO_Input2]],0))/
INDEX(Input_Usage[[F-PreviousVDO_Input]:[F-PreviousVDO_Input2]],MATCH(1,(Input_Usage[[Usage type]:[Usage type]]="Annual")*(Input_Usage[[Profile name]:[Profile name]]=$D216&amp;" - medium"),0),MATCH(H$215,Input_Usage[[#Headers],[F-PreviousVDO_Input]:[F-PreviousVDO_Input2]],0)),"-")</f>
        <v>0.33</v>
      </c>
      <c r="I216" s="141" cm="1">
        <f t="array" ref="I216">IFERROR(INDEX(Input_Usage[[F-PreviousVDO_Input]:[F-PreviousVDO_Input2]],MATCH(1,(Input_Usage[[Usage type]:[Usage type]]=$C216)*(Input_Usage[[Profile name]:[Profile name]]=$D216&amp;" - medium"),0),MATCH(I$215,Input_Usage[[#Headers],[F-PreviousVDO_Input]:[F-PreviousVDO_Input2]],0))/
INDEX(Input_Usage[[F-PreviousVDO_Input]:[F-PreviousVDO_Input2]],MATCH(1,(Input_Usage[[Usage type]:[Usage type]]="Annual")*(Input_Usage[[Profile name]:[Profile name]]=$D216&amp;" - medium"),0),MATCH(I$215,Input_Usage[[#Headers],[F-PreviousVDO_Input]:[F-PreviousVDO_Input2]],0)),"-")</f>
        <v>0.33</v>
      </c>
      <c r="J216" s="142" cm="1">
        <f t="array" ref="J216">IFERROR(INDEX(Input_Usage[[F-PreviousVDO_Input]:[F-PreviousVDO_Input2]],MATCH(1,(Input_Usage[[Usage type]:[Usage type]]=$C216)*(Input_Usage[[Profile name]:[Profile name]]=$D216&amp;" - medium"),0),MATCH(J$215,Input_Usage[[#Headers],[F-PreviousVDO_Input]:[F-PreviousVDO_Input2]],0))/
INDEX(Input_Usage[[F-PreviousVDO_Input]:[F-PreviousVDO_Input2]],MATCH(1,(Input_Usage[[Usage type]:[Usage type]]="Annual")*(Input_Usage[[Profile name]:[Profile name]]=$D216&amp;" - medium"),0),MATCH(J$215,Input_Usage[[#Headers],[F-PreviousVDO_Input]:[F-PreviousVDO_Input2]],0)),"-")</f>
        <v>0.33</v>
      </c>
      <c r="K216" s="141" t="str" cm="1">
        <f t="array" ref="K216">IFERROR(INDEX(Input_Usage[[F-PreviousVDO_Input]:[F-PreviousVDO_Input2]],MATCH(1,(Input_Usage[[Usage type]:[Usage type]]=$C216)*(Input_Usage[[Profile name]:[Profile name]]=$D216&amp;" - medium"),0),MATCH(K$215,Input_Usage[[#Headers],[F-PreviousVDO_Input]:[F-PreviousVDO_Input2]],0))/
INDEX(Input_Usage[[F-PreviousVDO_Input]:[F-PreviousVDO_Input2]],MATCH(1,(Input_Usage[[Usage type]:[Usage type]]="Annual")*(Input_Usage[[Profile name]:[Profile name]]=$D216&amp;" - medium"),0),MATCH(K$215,Input_Usage[[#Headers],[F-PreviousVDO_Input]:[F-PreviousVDO_Input2]],0)),"-")</f>
        <v>-</v>
      </c>
    </row>
    <row r="217" spans="3:12" hidden="1" outlineLevel="1">
      <c r="C217" s="20" t="s">
        <v>73</v>
      </c>
      <c r="D217" s="20" t="s">
        <v>65</v>
      </c>
      <c r="E217" s="91" t="s">
        <v>128</v>
      </c>
      <c r="F217" s="141" t="str" cm="1">
        <f t="array" ref="F217">IFERROR(INDEX(Input_Usage[[F-PreviousVDO_Input]:[F-PreviousVDO_Input2]],MATCH(1,(Input_Usage[[Usage type]:[Usage type]]=$C217)*(Input_Usage[[Profile name]:[Profile name]]=$D217&amp;" - medium"),0),MATCH(F$215,Input_Usage[[#Headers],[F-PreviousVDO_Input]:[F-PreviousVDO_Input2]],0))/
INDEX(Input_Usage[[F-PreviousVDO_Input]:[F-PreviousVDO_Input2]],MATCH(1,(Input_Usage[[Usage type]:[Usage type]]="Annual")*(Input_Usage[[Profile name]:[Profile name]]=$D217&amp;" - medium"),0),MATCH(F$215,Input_Usage[[#Headers],[F-PreviousVDO_Input]:[F-PreviousVDO_Input2]],0)),"-")</f>
        <v>-</v>
      </c>
      <c r="G217" s="141" cm="1">
        <f t="array" ref="G217">IFERROR(INDEX(Input_Usage[[F-PreviousVDO_Input]:[F-PreviousVDO_Input2]],MATCH(1,(Input_Usage[[Usage type]:[Usage type]]=$C217)*(Input_Usage[[Profile name]:[Profile name]]=$D217&amp;" - medium"),0),MATCH(G$215,Input_Usage[[#Headers],[F-PreviousVDO_Input]:[F-PreviousVDO_Input2]],0))/
INDEX(Input_Usage[[F-PreviousVDO_Input]:[F-PreviousVDO_Input2]],MATCH(1,(Input_Usage[[Usage type]:[Usage type]]="Annual")*(Input_Usage[[Profile name]:[Profile name]]=$D217&amp;" - medium"),0),MATCH(G$215,Input_Usage[[#Headers],[F-PreviousVDO_Input]:[F-PreviousVDO_Input2]],0)),"-")</f>
        <v>0.67</v>
      </c>
      <c r="H217" s="141" cm="1">
        <f t="array" ref="H217">IFERROR(INDEX(Input_Usage[[F-PreviousVDO_Input]:[F-PreviousVDO_Input2]],MATCH(1,(Input_Usage[[Usage type]:[Usage type]]=$C217)*(Input_Usage[[Profile name]:[Profile name]]=$D217&amp;" - medium"),0),MATCH(H$215,Input_Usage[[#Headers],[F-PreviousVDO_Input]:[F-PreviousVDO_Input2]],0))/
INDEX(Input_Usage[[F-PreviousVDO_Input]:[F-PreviousVDO_Input2]],MATCH(1,(Input_Usage[[Usage type]:[Usage type]]="Annual")*(Input_Usage[[Profile name]:[Profile name]]=$D217&amp;" - medium"),0),MATCH(H$215,Input_Usage[[#Headers],[F-PreviousVDO_Input]:[F-PreviousVDO_Input2]],0)),"-")</f>
        <v>0.67</v>
      </c>
      <c r="I217" s="141" cm="1">
        <f t="array" ref="I217">IFERROR(INDEX(Input_Usage[[F-PreviousVDO_Input]:[F-PreviousVDO_Input2]],MATCH(1,(Input_Usage[[Usage type]:[Usage type]]=$C217)*(Input_Usage[[Profile name]:[Profile name]]=$D217&amp;" - medium"),0),MATCH(I$215,Input_Usage[[#Headers],[F-PreviousVDO_Input]:[F-PreviousVDO_Input2]],0))/
INDEX(Input_Usage[[F-PreviousVDO_Input]:[F-PreviousVDO_Input2]],MATCH(1,(Input_Usage[[Usage type]:[Usage type]]="Annual")*(Input_Usage[[Profile name]:[Profile name]]=$D217&amp;" - medium"),0),MATCH(I$215,Input_Usage[[#Headers],[F-PreviousVDO_Input]:[F-PreviousVDO_Input2]],0)),"-")</f>
        <v>0.67</v>
      </c>
      <c r="J217" s="142" cm="1">
        <f t="array" ref="J217">IFERROR(INDEX(Input_Usage[[F-PreviousVDO_Input]:[F-PreviousVDO_Input2]],MATCH(1,(Input_Usage[[Usage type]:[Usage type]]=$C217)*(Input_Usage[[Profile name]:[Profile name]]=$D217&amp;" - medium"),0),MATCH(J$215,Input_Usage[[#Headers],[F-PreviousVDO_Input]:[F-PreviousVDO_Input2]],0))/
INDEX(Input_Usage[[F-PreviousVDO_Input]:[F-PreviousVDO_Input2]],MATCH(1,(Input_Usage[[Usage type]:[Usage type]]="Annual")*(Input_Usage[[Profile name]:[Profile name]]=$D217&amp;" - medium"),0),MATCH(J$215,Input_Usage[[#Headers],[F-PreviousVDO_Input]:[F-PreviousVDO_Input2]],0)),"-")</f>
        <v>0.67</v>
      </c>
      <c r="K217" s="141" t="str" cm="1">
        <f t="array" ref="K217">IFERROR(INDEX(Input_Usage[[F-PreviousVDO_Input]:[F-PreviousVDO_Input2]],MATCH(1,(Input_Usage[[Usage type]:[Usage type]]=$C217)*(Input_Usage[[Profile name]:[Profile name]]=$D217&amp;" - medium"),0),MATCH(K$215,Input_Usage[[#Headers],[F-PreviousVDO_Input]:[F-PreviousVDO_Input2]],0))/
INDEX(Input_Usage[[F-PreviousVDO_Input]:[F-PreviousVDO_Input2]],MATCH(1,(Input_Usage[[Usage type]:[Usage type]]="Annual")*(Input_Usage[[Profile name]:[Profile name]]=$D217&amp;" - medium"),0),MATCH(K$215,Input_Usage[[#Headers],[F-PreviousVDO_Input]:[F-PreviousVDO_Input2]],0)),"-")</f>
        <v>-</v>
      </c>
    </row>
    <row r="218" spans="3:12" hidden="1" outlineLevel="1">
      <c r="C218" s="20" t="s">
        <v>67</v>
      </c>
      <c r="D218" s="20" t="s">
        <v>65</v>
      </c>
      <c r="E218" s="91" t="s">
        <v>128</v>
      </c>
      <c r="F218" s="141" cm="1">
        <f t="array" ref="F218">IFERROR(INDEX(Input_Usage[[F-PreviousVDO_Input]:[F-PreviousVDO_Input2]],MATCH(1,(Input_Usage[[Usage type]:[Usage type]]=$C218)*(Input_Usage[[Profile name]:[Profile name]]=$D218&amp;" - medium"),0),MATCH(F$215,Input_Usage[[#Headers],[F-PreviousVDO_Input]:[F-PreviousVDO_Input2]],0))/
INDEX(Input_Usage[[F-PreviousVDO_Input]:[F-PreviousVDO_Input2]],MATCH(1,(Input_Usage[[Usage type]:[Usage type]]="Annual")*(Input_Usage[[Profile name]:[Profile name]]=$D218&amp;" - medium"),0),MATCH(F$215,Input_Usage[[#Headers],[F-PreviousVDO_Input]:[F-PreviousVDO_Input2]],0)),"-")</f>
        <v>1</v>
      </c>
      <c r="G218" s="141" cm="1">
        <f t="array" ref="G218">IFERROR(INDEX(Input_Usage[[F-PreviousVDO_Input]:[F-PreviousVDO_Input2]],MATCH(1,(Input_Usage[[Usage type]:[Usage type]]=$C218)*(Input_Usage[[Profile name]:[Profile name]]=$D218&amp;" - medium"),0),MATCH(G$215,Input_Usage[[#Headers],[F-PreviousVDO_Input]:[F-PreviousVDO_Input2]],0))/
INDEX(Input_Usage[[F-PreviousVDO_Input]:[F-PreviousVDO_Input2]],MATCH(1,(Input_Usage[[Usage type]:[Usage type]]="Annual")*(Input_Usage[[Profile name]:[Profile name]]=$D218&amp;" - medium"),0),MATCH(G$215,Input_Usage[[#Headers],[F-PreviousVDO_Input]:[F-PreviousVDO_Input2]],0)),"-")</f>
        <v>1</v>
      </c>
      <c r="H218" s="141" cm="1">
        <f t="array" ref="H218">IFERROR(INDEX(Input_Usage[[F-PreviousVDO_Input]:[F-PreviousVDO_Input2]],MATCH(1,(Input_Usage[[Usage type]:[Usage type]]=$C218)*(Input_Usage[[Profile name]:[Profile name]]=$D218&amp;" - medium"),0),MATCH(H$215,Input_Usage[[#Headers],[F-PreviousVDO_Input]:[F-PreviousVDO_Input2]],0))/
INDEX(Input_Usage[[F-PreviousVDO_Input]:[F-PreviousVDO_Input2]],MATCH(1,(Input_Usage[[Usage type]:[Usage type]]="Annual")*(Input_Usage[[Profile name]:[Profile name]]=$D218&amp;" - medium"),0),MATCH(H$215,Input_Usage[[#Headers],[F-PreviousVDO_Input]:[F-PreviousVDO_Input2]],0)),"-")</f>
        <v>1</v>
      </c>
      <c r="I218" s="141" cm="1">
        <f t="array" ref="I218">IFERROR(INDEX(Input_Usage[[F-PreviousVDO_Input]:[F-PreviousVDO_Input2]],MATCH(1,(Input_Usage[[Usage type]:[Usage type]]=$C218)*(Input_Usage[[Profile name]:[Profile name]]=$D218&amp;" - medium"),0),MATCH(I$215,Input_Usage[[#Headers],[F-PreviousVDO_Input]:[F-PreviousVDO_Input2]],0))/
INDEX(Input_Usage[[F-PreviousVDO_Input]:[F-PreviousVDO_Input2]],MATCH(1,(Input_Usage[[Usage type]:[Usage type]]="Annual")*(Input_Usage[[Profile name]:[Profile name]]=$D218&amp;" - medium"),0),MATCH(I$215,Input_Usage[[#Headers],[F-PreviousVDO_Input]:[F-PreviousVDO_Input2]],0)),"-")</f>
        <v>1</v>
      </c>
      <c r="J218" s="142" cm="1">
        <f t="array" ref="J218">IFERROR(INDEX(Input_Usage[[F-PreviousVDO_Input]:[F-PreviousVDO_Input2]],MATCH(1,(Input_Usage[[Usage type]:[Usage type]]=$C218)*(Input_Usage[[Profile name]:[Profile name]]=$D218&amp;" - medium"),0),MATCH(J$215,Input_Usage[[#Headers],[F-PreviousVDO_Input]:[F-PreviousVDO_Input2]],0))/
INDEX(Input_Usage[[F-PreviousVDO_Input]:[F-PreviousVDO_Input2]],MATCH(1,(Input_Usage[[Usage type]:[Usage type]]="Annual")*(Input_Usage[[Profile name]:[Profile name]]=$D218&amp;" - medium"),0),MATCH(J$215,Input_Usage[[#Headers],[F-PreviousVDO_Input]:[F-PreviousVDO_Input2]],0)),"-")</f>
        <v>1</v>
      </c>
      <c r="K218" s="141" t="str" cm="1">
        <f t="array" ref="K218">IFERROR(INDEX(Input_Usage[[F-PreviousVDO_Input]:[F-PreviousVDO_Input2]],MATCH(1,(Input_Usage[[Usage type]:[Usage type]]=$C218)*(Input_Usage[[Profile name]:[Profile name]]=$D218&amp;" - medium"),0),MATCH(K$215,Input_Usage[[#Headers],[F-PreviousVDO_Input]:[F-PreviousVDO_Input2]],0))/
INDEX(Input_Usage[[F-PreviousVDO_Input]:[F-PreviousVDO_Input2]],MATCH(1,(Input_Usage[[Usage type]:[Usage type]]="Annual")*(Input_Usage[[Profile name]:[Profile name]]=$D218&amp;" - medium"),0),MATCH(K$215,Input_Usage[[#Headers],[F-PreviousVDO_Input]:[F-PreviousVDO_Input2]],0)),"-")</f>
        <v>-</v>
      </c>
    </row>
    <row r="219" spans="3:12" hidden="1" outlineLevel="1">
      <c r="C219" s="20" t="s">
        <v>69</v>
      </c>
      <c r="D219" s="20" t="s">
        <v>65</v>
      </c>
      <c r="E219" s="91" t="s">
        <v>128</v>
      </c>
      <c r="F219" s="141" cm="1">
        <f t="array" ref="F219">IFERROR(INDEX(Input_Usage[[F-PreviousVDO_Input]:[F-PreviousVDO_Input2]],MATCH(1,(Input_Usage[[Usage type]:[Usage type]]=$C219)*(Input_Usage[[Profile name]:[Profile name]]=$D219&amp;" - medium"),0),MATCH(F$215,Input_Usage[[#Headers],[F-PreviousVDO_Input]:[F-PreviousVDO_Input2]],0))/
INDEX(Input_Usage[[F-PreviousVDO_Input]:[F-PreviousVDO_Input2]],MATCH(1,(Input_Usage[[Usage type]:[Usage type]]="Annual")*(Input_Usage[[Profile name]:[Profile name]]=$D219&amp;" - medium"),0),MATCH(F$215,Input_Usage[[#Headers],[F-PreviousVDO_Input]:[F-PreviousVDO_Input2]],0)),"-")</f>
        <v>0</v>
      </c>
      <c r="G219" s="141" cm="1">
        <f t="array" ref="G219">IFERROR(INDEX(Input_Usage[[F-PreviousVDO_Input]:[F-PreviousVDO_Input2]],MATCH(1,(Input_Usage[[Usage type]:[Usage type]]=$C219)*(Input_Usage[[Profile name]:[Profile name]]=$D219&amp;" - medium"),0),MATCH(G$215,Input_Usage[[#Headers],[F-PreviousVDO_Input]:[F-PreviousVDO_Input2]],0))/
INDEX(Input_Usage[[F-PreviousVDO_Input]:[F-PreviousVDO_Input2]],MATCH(1,(Input_Usage[[Usage type]:[Usage type]]="Annual")*(Input_Usage[[Profile name]:[Profile name]]=$D219&amp;" - medium"),0),MATCH(G$215,Input_Usage[[#Headers],[F-PreviousVDO_Input]:[F-PreviousVDO_Input2]],0)),"-")</f>
        <v>0</v>
      </c>
      <c r="H219" s="141" cm="1">
        <f t="array" ref="H219">IFERROR(INDEX(Input_Usage[[F-PreviousVDO_Input]:[F-PreviousVDO_Input2]],MATCH(1,(Input_Usage[[Usage type]:[Usage type]]=$C219)*(Input_Usage[[Profile name]:[Profile name]]=$D219&amp;" - medium"),0),MATCH(H$215,Input_Usage[[#Headers],[F-PreviousVDO_Input]:[F-PreviousVDO_Input2]],0))/
INDEX(Input_Usage[[F-PreviousVDO_Input]:[F-PreviousVDO_Input2]],MATCH(1,(Input_Usage[[Usage type]:[Usage type]]="Annual")*(Input_Usage[[Profile name]:[Profile name]]=$D219&amp;" - medium"),0),MATCH(H$215,Input_Usage[[#Headers],[F-PreviousVDO_Input]:[F-PreviousVDO_Input2]],0)),"-")</f>
        <v>0</v>
      </c>
      <c r="I219" s="141" cm="1">
        <f t="array" ref="I219">IFERROR(INDEX(Input_Usage[[F-PreviousVDO_Input]:[F-PreviousVDO_Input2]],MATCH(1,(Input_Usage[[Usage type]:[Usage type]]=$C219)*(Input_Usage[[Profile name]:[Profile name]]=$D219&amp;" - medium"),0),MATCH(I$215,Input_Usage[[#Headers],[F-PreviousVDO_Input]:[F-PreviousVDO_Input2]],0))/
INDEX(Input_Usage[[F-PreviousVDO_Input]:[F-PreviousVDO_Input2]],MATCH(1,(Input_Usage[[Usage type]:[Usage type]]="Annual")*(Input_Usage[[Profile name]:[Profile name]]=$D219&amp;" - medium"),0),MATCH(I$215,Input_Usage[[#Headers],[F-PreviousVDO_Input]:[F-PreviousVDO_Input2]],0)),"-")</f>
        <v>0</v>
      </c>
      <c r="J219" s="142" cm="1">
        <f t="array" ref="J219">IFERROR(INDEX(Input_Usage[[F-PreviousVDO_Input]:[F-PreviousVDO_Input2]],MATCH(1,(Input_Usage[[Usage type]:[Usage type]]=$C219)*(Input_Usage[[Profile name]:[Profile name]]=$D219&amp;" - medium"),0),MATCH(J$215,Input_Usage[[#Headers],[F-PreviousVDO_Input]:[F-PreviousVDO_Input2]],0))/
INDEX(Input_Usage[[F-PreviousVDO_Input]:[F-PreviousVDO_Input2]],MATCH(1,(Input_Usage[[Usage type]:[Usage type]]="Annual")*(Input_Usage[[Profile name]:[Profile name]]=$D219&amp;" - medium"),0),MATCH(J$215,Input_Usage[[#Headers],[F-PreviousVDO_Input]:[F-PreviousVDO_Input2]],0)),"-")</f>
        <v>0</v>
      </c>
      <c r="K219" s="141" t="str" cm="1">
        <f t="array" ref="K219">IFERROR(INDEX(Input_Usage[[F-PreviousVDO_Input]:[F-PreviousVDO_Input2]],MATCH(1,(Input_Usage[[Usage type]:[Usage type]]=$C219)*(Input_Usage[[Profile name]:[Profile name]]=$D219&amp;" - medium"),0),MATCH(K$215,Input_Usage[[#Headers],[F-PreviousVDO_Input]:[F-PreviousVDO_Input2]],0))/
INDEX(Input_Usage[[F-PreviousVDO_Input]:[F-PreviousVDO_Input2]],MATCH(1,(Input_Usage[[Usage type]:[Usage type]]="Annual")*(Input_Usage[[Profile name]:[Profile name]]=$D219&amp;" - medium"),0),MATCH(K$215,Input_Usage[[#Headers],[F-PreviousVDO_Input]:[F-PreviousVDO_Input2]],0)),"-")</f>
        <v>-</v>
      </c>
    </row>
    <row r="220" spans="3:12" hidden="1" outlineLevel="1">
      <c r="C220" s="20" t="s">
        <v>70</v>
      </c>
      <c r="D220" s="20" t="s">
        <v>65</v>
      </c>
      <c r="E220" s="91" t="s">
        <v>128</v>
      </c>
      <c r="F220" s="141" cm="1">
        <f t="array" ref="F220">IFERROR(INDEX(Input_Usage[[F-PreviousVDO_Input]:[F-PreviousVDO_Input2]],MATCH(1,(Input_Usage[[Usage type]:[Usage type]]=$C220)*(Input_Usage[[Profile name]:[Profile name]]=$D220&amp;" - medium"),0),MATCH(F$215,Input_Usage[[#Headers],[F-PreviousVDO_Input]:[F-PreviousVDO_Input2]],0))/
INDEX(Input_Usage[[F-PreviousVDO_Input]:[F-PreviousVDO_Input2]],MATCH(1,(Input_Usage[[Usage type]:[Usage type]]="Annual")*(Input_Usage[[Profile name]:[Profile name]]=$D220&amp;" - medium"),0),MATCH(F$215,Input_Usage[[#Headers],[F-PreviousVDO_Input]:[F-PreviousVDO_Input2]],0)),"-")</f>
        <v>1</v>
      </c>
      <c r="G220" s="141" cm="1">
        <f t="array" ref="G220">IFERROR(INDEX(Input_Usage[[F-PreviousVDO_Input]:[F-PreviousVDO_Input2]],MATCH(1,(Input_Usage[[Usage type]:[Usage type]]=$C220)*(Input_Usage[[Profile name]:[Profile name]]=$D220&amp;" - medium"),0),MATCH(G$215,Input_Usage[[#Headers],[F-PreviousVDO_Input]:[F-PreviousVDO_Input2]],0))/
INDEX(Input_Usage[[F-PreviousVDO_Input]:[F-PreviousVDO_Input2]],MATCH(1,(Input_Usage[[Usage type]:[Usage type]]="Annual")*(Input_Usage[[Profile name]:[Profile name]]=$D220&amp;" - medium"),0),MATCH(G$215,Input_Usage[[#Headers],[F-PreviousVDO_Input]:[F-PreviousVDO_Input2]],0)),"-")</f>
        <v>1</v>
      </c>
      <c r="H220" s="141" cm="1">
        <f t="array" ref="H220">IFERROR(INDEX(Input_Usage[[F-PreviousVDO_Input]:[F-PreviousVDO_Input2]],MATCH(1,(Input_Usage[[Usage type]:[Usage type]]=$C220)*(Input_Usage[[Profile name]:[Profile name]]=$D220&amp;" - medium"),0),MATCH(H$215,Input_Usage[[#Headers],[F-PreviousVDO_Input]:[F-PreviousVDO_Input2]],0))/
INDEX(Input_Usage[[F-PreviousVDO_Input]:[F-PreviousVDO_Input2]],MATCH(1,(Input_Usage[[Usage type]:[Usage type]]="Annual")*(Input_Usage[[Profile name]:[Profile name]]=$D220&amp;" - medium"),0),MATCH(H$215,Input_Usage[[#Headers],[F-PreviousVDO_Input]:[F-PreviousVDO_Input2]],0)),"-")</f>
        <v>1</v>
      </c>
      <c r="I220" s="141" cm="1">
        <f t="array" ref="I220">IFERROR(INDEX(Input_Usage[[F-PreviousVDO_Input]:[F-PreviousVDO_Input2]],MATCH(1,(Input_Usage[[Usage type]:[Usage type]]=$C220)*(Input_Usage[[Profile name]:[Profile name]]=$D220&amp;" - medium"),0),MATCH(I$215,Input_Usage[[#Headers],[F-PreviousVDO_Input]:[F-PreviousVDO_Input2]],0))/
INDEX(Input_Usage[[F-PreviousVDO_Input]:[F-PreviousVDO_Input2]],MATCH(1,(Input_Usage[[Usage type]:[Usage type]]="Annual")*(Input_Usage[[Profile name]:[Profile name]]=$D220&amp;" - medium"),0),MATCH(I$215,Input_Usage[[#Headers],[F-PreviousVDO_Input]:[F-PreviousVDO_Input2]],0)),"-")</f>
        <v>1</v>
      </c>
      <c r="J220" s="142" cm="1">
        <f t="array" ref="J220">IFERROR(INDEX(Input_Usage[[F-PreviousVDO_Input]:[F-PreviousVDO_Input2]],MATCH(1,(Input_Usage[[Usage type]:[Usage type]]=$C220)*(Input_Usage[[Profile name]:[Profile name]]=$D220&amp;" - medium"),0),MATCH(J$215,Input_Usage[[#Headers],[F-PreviousVDO_Input]:[F-PreviousVDO_Input2]],0))/
INDEX(Input_Usage[[F-PreviousVDO_Input]:[F-PreviousVDO_Input2]],MATCH(1,(Input_Usage[[Usage type]:[Usage type]]="Annual")*(Input_Usage[[Profile name]:[Profile name]]=$D220&amp;" - medium"),0),MATCH(J$215,Input_Usage[[#Headers],[F-PreviousVDO_Input]:[F-PreviousVDO_Input2]],0)),"-")</f>
        <v>1</v>
      </c>
      <c r="K220" s="141" t="str" cm="1">
        <f t="array" ref="K220">IFERROR(INDEX(Input_Usage[[F-PreviousVDO_Input]:[F-PreviousVDO_Input2]],MATCH(1,(Input_Usage[[Usage type]:[Usage type]]=$C220)*(Input_Usage[[Profile name]:[Profile name]]=$D220&amp;" - medium"),0),MATCH(K$215,Input_Usage[[#Headers],[F-PreviousVDO_Input]:[F-PreviousVDO_Input2]],0))/
INDEX(Input_Usage[[F-PreviousVDO_Input]:[F-PreviousVDO_Input2]],MATCH(1,(Input_Usage[[Usage type]:[Usage type]]="Annual")*(Input_Usage[[Profile name]:[Profile name]]=$D220&amp;" - medium"),0),MATCH(K$215,Input_Usage[[#Headers],[F-PreviousVDO_Input]:[F-PreviousVDO_Input2]],0)),"-")</f>
        <v>-</v>
      </c>
    </row>
    <row r="221" spans="3:12" hidden="1" outlineLevel="1">
      <c r="C221" s="20" t="s">
        <v>72</v>
      </c>
      <c r="D221" s="20" t="s">
        <v>66</v>
      </c>
      <c r="E221" s="91" t="s">
        <v>128</v>
      </c>
      <c r="F221" s="141" t="str" cm="1">
        <f t="array" ref="F221">IFERROR(INDEX(Input_Usage[[F-PreviousVDO_Input]:[F-PreviousVDO_Input2]],MATCH(1,(Input_Usage[[Usage type]:[Usage type]]=$C221)*(Input_Usage[[Profile name]:[Profile name]]=$D221&amp;" - medium"),0),MATCH(F$215,Input_Usage[[#Headers],[F-PreviousVDO_Input]:[F-PreviousVDO_Input2]],0))/
INDEX(Input_Usage[[F-PreviousVDO_Input]:[F-PreviousVDO_Input2]],MATCH(1,(Input_Usage[[Usage type]:[Usage type]]="Annual")*(Input_Usage[[Profile name]:[Profile name]]=$D221&amp;" - medium"),0),MATCH(F$215,Input_Usage[[#Headers],[F-PreviousVDO_Input]:[F-PreviousVDO_Input2]],0)),"-")</f>
        <v>-</v>
      </c>
      <c r="G221" s="141" cm="1">
        <f t="array" ref="G221">IFERROR(INDEX(Input_Usage[[F-PreviousVDO_Input]:[F-PreviousVDO_Input2]],MATCH(1,(Input_Usage[[Usage type]:[Usage type]]=$C221)*(Input_Usage[[Profile name]:[Profile name]]=$D221&amp;" - medium"),0),MATCH(G$215,Input_Usage[[#Headers],[F-PreviousVDO_Input]:[F-PreviousVDO_Input2]],0))/
INDEX(Input_Usage[[F-PreviousVDO_Input]:[F-PreviousVDO_Input2]],MATCH(1,(Input_Usage[[Usage type]:[Usage type]]="Annual")*(Input_Usage[[Profile name]:[Profile name]]=$D221&amp;" - medium"),0),MATCH(G$215,Input_Usage[[#Headers],[F-PreviousVDO_Input]:[F-PreviousVDO_Input2]],0)),"-")</f>
        <v>0.49</v>
      </c>
      <c r="H221" s="141" cm="1">
        <f t="array" ref="H221">IFERROR(INDEX(Input_Usage[[F-PreviousVDO_Input]:[F-PreviousVDO_Input2]],MATCH(1,(Input_Usage[[Usage type]:[Usage type]]=$C221)*(Input_Usage[[Profile name]:[Profile name]]=$D221&amp;" - medium"),0),MATCH(H$215,Input_Usage[[#Headers],[F-PreviousVDO_Input]:[F-PreviousVDO_Input2]],0))/
INDEX(Input_Usage[[F-PreviousVDO_Input]:[F-PreviousVDO_Input2]],MATCH(1,(Input_Usage[[Usage type]:[Usage type]]="Annual")*(Input_Usage[[Profile name]:[Profile name]]=$D221&amp;" - medium"),0),MATCH(H$215,Input_Usage[[#Headers],[F-PreviousVDO_Input]:[F-PreviousVDO_Input2]],0)),"-")</f>
        <v>0.49</v>
      </c>
      <c r="I221" s="141" cm="1">
        <f t="array" ref="I221">IFERROR(INDEX(Input_Usage[[F-PreviousVDO_Input]:[F-PreviousVDO_Input2]],MATCH(1,(Input_Usage[[Usage type]:[Usage type]]=$C221)*(Input_Usage[[Profile name]:[Profile name]]=$D221&amp;" - medium"),0),MATCH(I$215,Input_Usage[[#Headers],[F-PreviousVDO_Input]:[F-PreviousVDO_Input2]],0))/
INDEX(Input_Usage[[F-PreviousVDO_Input]:[F-PreviousVDO_Input2]],MATCH(1,(Input_Usage[[Usage type]:[Usage type]]="Annual")*(Input_Usage[[Profile name]:[Profile name]]=$D221&amp;" - medium"),0),MATCH(I$215,Input_Usage[[#Headers],[F-PreviousVDO_Input]:[F-PreviousVDO_Input2]],0)),"-")</f>
        <v>0.49</v>
      </c>
      <c r="J221" s="142" cm="1">
        <f t="array" ref="J221">IFERROR(INDEX(Input_Usage[[F-PreviousVDO_Input]:[F-PreviousVDO_Input2]],MATCH(1,(Input_Usage[[Usage type]:[Usage type]]=$C221)*(Input_Usage[[Profile name]:[Profile name]]=$D221&amp;" - medium"),0),MATCH(J$215,Input_Usage[[#Headers],[F-PreviousVDO_Input]:[F-PreviousVDO_Input2]],0))/
INDEX(Input_Usage[[F-PreviousVDO_Input]:[F-PreviousVDO_Input2]],MATCH(1,(Input_Usage[[Usage type]:[Usage type]]="Annual")*(Input_Usage[[Profile name]:[Profile name]]=$D221&amp;" - medium"),0),MATCH(J$215,Input_Usage[[#Headers],[F-PreviousVDO_Input]:[F-PreviousVDO_Input2]],0)),"-")</f>
        <v>0.49</v>
      </c>
      <c r="K221" s="141" t="str" cm="1">
        <f t="array" ref="K221">IFERROR(INDEX(Input_Usage[[F-PreviousVDO_Input]:[F-PreviousVDO_Input2]],MATCH(1,(Input_Usage[[Usage type]:[Usage type]]=$C221)*(Input_Usage[[Profile name]:[Profile name]]=$D221&amp;" - medium"),0),MATCH(K$215,Input_Usage[[#Headers],[F-PreviousVDO_Input]:[F-PreviousVDO_Input2]],0))/
INDEX(Input_Usage[[F-PreviousVDO_Input]:[F-PreviousVDO_Input2]],MATCH(1,(Input_Usage[[Usage type]:[Usage type]]="Annual")*(Input_Usage[[Profile name]:[Profile name]]=$D221&amp;" - medium"),0),MATCH(K$215,Input_Usage[[#Headers],[F-PreviousVDO_Input]:[F-PreviousVDO_Input2]],0)),"-")</f>
        <v>-</v>
      </c>
    </row>
    <row r="222" spans="3:12" hidden="1" outlineLevel="1">
      <c r="C222" s="20" t="s">
        <v>73</v>
      </c>
      <c r="D222" s="20" t="s">
        <v>66</v>
      </c>
      <c r="E222" s="91" t="s">
        <v>128</v>
      </c>
      <c r="F222" s="141" t="str" cm="1">
        <f t="array" ref="F222">IFERROR(INDEX(Input_Usage[[F-PreviousVDO_Input]:[F-PreviousVDO_Input2]],MATCH(1,(Input_Usage[[Usage type]:[Usage type]]=$C222)*(Input_Usage[[Profile name]:[Profile name]]=$D222&amp;" - medium"),0),MATCH(F$215,Input_Usage[[#Headers],[F-PreviousVDO_Input]:[F-PreviousVDO_Input2]],0))/
INDEX(Input_Usage[[F-PreviousVDO_Input]:[F-PreviousVDO_Input2]],MATCH(1,(Input_Usage[[Usage type]:[Usage type]]="Annual")*(Input_Usage[[Profile name]:[Profile name]]=$D222&amp;" - medium"),0),MATCH(F$215,Input_Usage[[#Headers],[F-PreviousVDO_Input]:[F-PreviousVDO_Input2]],0)),"-")</f>
        <v>-</v>
      </c>
      <c r="G222" s="141" cm="1">
        <f t="array" ref="G222">IFERROR(INDEX(Input_Usage[[F-PreviousVDO_Input]:[F-PreviousVDO_Input2]],MATCH(1,(Input_Usage[[Usage type]:[Usage type]]=$C222)*(Input_Usage[[Profile name]:[Profile name]]=$D222&amp;" - medium"),0),MATCH(G$215,Input_Usage[[#Headers],[F-PreviousVDO_Input]:[F-PreviousVDO_Input2]],0))/
INDEX(Input_Usage[[F-PreviousVDO_Input]:[F-PreviousVDO_Input2]],MATCH(1,(Input_Usage[[Usage type]:[Usage type]]="Annual")*(Input_Usage[[Profile name]:[Profile name]]=$D222&amp;" - medium"),0),MATCH(G$215,Input_Usage[[#Headers],[F-PreviousVDO_Input]:[F-PreviousVDO_Input2]],0)),"-")</f>
        <v>0.51</v>
      </c>
      <c r="H222" s="141" cm="1">
        <f t="array" ref="H222">IFERROR(INDEX(Input_Usage[[F-PreviousVDO_Input]:[F-PreviousVDO_Input2]],MATCH(1,(Input_Usage[[Usage type]:[Usage type]]=$C222)*(Input_Usage[[Profile name]:[Profile name]]=$D222&amp;" - medium"),0),MATCH(H$215,Input_Usage[[#Headers],[F-PreviousVDO_Input]:[F-PreviousVDO_Input2]],0))/
INDEX(Input_Usage[[F-PreviousVDO_Input]:[F-PreviousVDO_Input2]],MATCH(1,(Input_Usage[[Usage type]:[Usage type]]="Annual")*(Input_Usage[[Profile name]:[Profile name]]=$D222&amp;" - medium"),0),MATCH(H$215,Input_Usage[[#Headers],[F-PreviousVDO_Input]:[F-PreviousVDO_Input2]],0)),"-")</f>
        <v>0.51</v>
      </c>
      <c r="I222" s="141" cm="1">
        <f t="array" ref="I222">IFERROR(INDEX(Input_Usage[[F-PreviousVDO_Input]:[F-PreviousVDO_Input2]],MATCH(1,(Input_Usage[[Usage type]:[Usage type]]=$C222)*(Input_Usage[[Profile name]:[Profile name]]=$D222&amp;" - medium"),0),MATCH(I$215,Input_Usage[[#Headers],[F-PreviousVDO_Input]:[F-PreviousVDO_Input2]],0))/
INDEX(Input_Usage[[F-PreviousVDO_Input]:[F-PreviousVDO_Input2]],MATCH(1,(Input_Usage[[Usage type]:[Usage type]]="Annual")*(Input_Usage[[Profile name]:[Profile name]]=$D222&amp;" - medium"),0),MATCH(I$215,Input_Usage[[#Headers],[F-PreviousVDO_Input]:[F-PreviousVDO_Input2]],0)),"-")</f>
        <v>0.51</v>
      </c>
      <c r="J222" s="142" cm="1">
        <f t="array" ref="J222">IFERROR(INDEX(Input_Usage[[F-PreviousVDO_Input]:[F-PreviousVDO_Input2]],MATCH(1,(Input_Usage[[Usage type]:[Usage type]]=$C222)*(Input_Usage[[Profile name]:[Profile name]]=$D222&amp;" - medium"),0),MATCH(J$215,Input_Usage[[#Headers],[F-PreviousVDO_Input]:[F-PreviousVDO_Input2]],0))/
INDEX(Input_Usage[[F-PreviousVDO_Input]:[F-PreviousVDO_Input2]],MATCH(1,(Input_Usage[[Usage type]:[Usage type]]="Annual")*(Input_Usage[[Profile name]:[Profile name]]=$D222&amp;" - medium"),0),MATCH(J$215,Input_Usage[[#Headers],[F-PreviousVDO_Input]:[F-PreviousVDO_Input2]],0)),"-")</f>
        <v>0.51</v>
      </c>
      <c r="K222" s="141" t="str" cm="1">
        <f t="array" ref="K222">IFERROR(INDEX(Input_Usage[[F-PreviousVDO_Input]:[F-PreviousVDO_Input2]],MATCH(1,(Input_Usage[[Usage type]:[Usage type]]=$C222)*(Input_Usage[[Profile name]:[Profile name]]=$D222&amp;" - medium"),0),MATCH(K$215,Input_Usage[[#Headers],[F-PreviousVDO_Input]:[F-PreviousVDO_Input2]],0))/
INDEX(Input_Usage[[F-PreviousVDO_Input]:[F-PreviousVDO_Input2]],MATCH(1,(Input_Usage[[Usage type]:[Usage type]]="Annual")*(Input_Usage[[Profile name]:[Profile name]]=$D222&amp;" - medium"),0),MATCH(K$215,Input_Usage[[#Headers],[F-PreviousVDO_Input]:[F-PreviousVDO_Input2]],0)),"-")</f>
        <v>-</v>
      </c>
    </row>
    <row r="223" spans="3:12" hidden="1" outlineLevel="1">
      <c r="C223" s="20" t="s">
        <v>67</v>
      </c>
      <c r="D223" s="20" t="s">
        <v>66</v>
      </c>
      <c r="E223" s="91" t="s">
        <v>128</v>
      </c>
      <c r="F223" s="141" cm="1">
        <f t="array" ref="F223">IFERROR(INDEX(Input_Usage[[F-PreviousVDO_Input]:[F-PreviousVDO_Input2]],MATCH(1,(Input_Usage[[Usage type]:[Usage type]]=$C223)*(Input_Usage[[Profile name]:[Profile name]]=$D223&amp;" - medium"),0),MATCH(F$215,Input_Usage[[#Headers],[F-PreviousVDO_Input]:[F-PreviousVDO_Input2]],0))/
INDEX(Input_Usage[[F-PreviousVDO_Input]:[F-PreviousVDO_Input2]],MATCH(1,(Input_Usage[[Usage type]:[Usage type]]="Annual")*(Input_Usage[[Profile name]:[Profile name]]=$D223&amp;" - medium"),0),MATCH(F$215,Input_Usage[[#Headers],[F-PreviousVDO_Input]:[F-PreviousVDO_Input2]],0)),"-")</f>
        <v>0.20399999999999999</v>
      </c>
      <c r="G223" s="141" cm="1">
        <f t="array" ref="G223">IFERROR(INDEX(Input_Usage[[F-PreviousVDO_Input]:[F-PreviousVDO_Input2]],MATCH(1,(Input_Usage[[Usage type]:[Usage type]]=$C223)*(Input_Usage[[Profile name]:[Profile name]]=$D223&amp;" - medium"),0),MATCH(G$215,Input_Usage[[#Headers],[F-PreviousVDO_Input]:[F-PreviousVDO_Input2]],0))/
INDEX(Input_Usage[[F-PreviousVDO_Input]:[F-PreviousVDO_Input2]],MATCH(1,(Input_Usage[[Usage type]:[Usage type]]="Annual")*(Input_Usage[[Profile name]:[Profile name]]=$D223&amp;" - medium"),0),MATCH(G$215,Input_Usage[[#Headers],[F-PreviousVDO_Input]:[F-PreviousVDO_Input2]],0)),"-")</f>
        <v>0.20399999999999999</v>
      </c>
      <c r="H223" s="141" cm="1">
        <f t="array" ref="H223">IFERROR(INDEX(Input_Usage[[F-PreviousVDO_Input]:[F-PreviousVDO_Input2]],MATCH(1,(Input_Usage[[Usage type]:[Usage type]]=$C223)*(Input_Usage[[Profile name]:[Profile name]]=$D223&amp;" - medium"),0),MATCH(H$215,Input_Usage[[#Headers],[F-PreviousVDO_Input]:[F-PreviousVDO_Input2]],0))/
INDEX(Input_Usage[[F-PreviousVDO_Input]:[F-PreviousVDO_Input2]],MATCH(1,(Input_Usage[[Usage type]:[Usage type]]="Annual")*(Input_Usage[[Profile name]:[Profile name]]=$D223&amp;" - medium"),0),MATCH(H$215,Input_Usage[[#Headers],[F-PreviousVDO_Input]:[F-PreviousVDO_Input2]],0)),"-")</f>
        <v>0.20399999999999999</v>
      </c>
      <c r="I223" s="141" cm="1">
        <f t="array" ref="I223">IFERROR(INDEX(Input_Usage[[F-PreviousVDO_Input]:[F-PreviousVDO_Input2]],MATCH(1,(Input_Usage[[Usage type]:[Usage type]]=$C223)*(Input_Usage[[Profile name]:[Profile name]]=$D223&amp;" - medium"),0),MATCH(I$215,Input_Usage[[#Headers],[F-PreviousVDO_Input]:[F-PreviousVDO_Input2]],0))/
INDEX(Input_Usage[[F-PreviousVDO_Input]:[F-PreviousVDO_Input2]],MATCH(1,(Input_Usage[[Usage type]:[Usage type]]="Annual")*(Input_Usage[[Profile name]:[Profile name]]=$D223&amp;" - medium"),0),MATCH(I$215,Input_Usage[[#Headers],[F-PreviousVDO_Input]:[F-PreviousVDO_Input2]],0)),"-")</f>
        <v>0.20399999999999999</v>
      </c>
      <c r="J223" s="142" cm="1">
        <f t="array" ref="J223">IFERROR(INDEX(Input_Usage[[F-PreviousVDO_Input]:[F-PreviousVDO_Input2]],MATCH(1,(Input_Usage[[Usage type]:[Usage type]]=$C223)*(Input_Usage[[Profile name]:[Profile name]]=$D223&amp;" - medium"),0),MATCH(J$215,Input_Usage[[#Headers],[F-PreviousVDO_Input]:[F-PreviousVDO_Input2]],0))/
INDEX(Input_Usage[[F-PreviousVDO_Input]:[F-PreviousVDO_Input2]],MATCH(1,(Input_Usage[[Usage type]:[Usage type]]="Annual")*(Input_Usage[[Profile name]:[Profile name]]=$D223&amp;" - medium"),0),MATCH(J$215,Input_Usage[[#Headers],[F-PreviousVDO_Input]:[F-PreviousVDO_Input2]],0)),"-")</f>
        <v>0.20399999999999999</v>
      </c>
      <c r="K223" s="141" t="str" cm="1">
        <f t="array" ref="K223">IFERROR(INDEX(Input_Usage[[F-PreviousVDO_Input]:[F-PreviousVDO_Input2]],MATCH(1,(Input_Usage[[Usage type]:[Usage type]]=$C223)*(Input_Usage[[Profile name]:[Profile name]]=$D223&amp;" - medium"),0),MATCH(K$215,Input_Usage[[#Headers],[F-PreviousVDO_Input]:[F-PreviousVDO_Input2]],0))/
INDEX(Input_Usage[[F-PreviousVDO_Input]:[F-PreviousVDO_Input2]],MATCH(1,(Input_Usage[[Usage type]:[Usage type]]="Annual")*(Input_Usage[[Profile name]:[Profile name]]=$D223&amp;" - medium"),0),MATCH(K$215,Input_Usage[[#Headers],[F-PreviousVDO_Input]:[F-PreviousVDO_Input2]],0)),"-")</f>
        <v>-</v>
      </c>
    </row>
    <row r="224" spans="3:12" hidden="1" outlineLevel="1">
      <c r="C224" s="20" t="s">
        <v>69</v>
      </c>
      <c r="D224" s="20" t="s">
        <v>66</v>
      </c>
      <c r="E224" s="91" t="s">
        <v>128</v>
      </c>
      <c r="F224" s="141" cm="1">
        <f t="array" ref="F224">IFERROR(INDEX(Input_Usage[[F-PreviousVDO_Input]:[F-PreviousVDO_Input2]],MATCH(1,(Input_Usage[[Usage type]:[Usage type]]=$C224)*(Input_Usage[[Profile name]:[Profile name]]=$D224&amp;" - medium"),0),MATCH(F$215,Input_Usage[[#Headers],[F-PreviousVDO_Input]:[F-PreviousVDO_Input2]],0))/
INDEX(Input_Usage[[F-PreviousVDO_Input]:[F-PreviousVDO_Input2]],MATCH(1,(Input_Usage[[Usage type]:[Usage type]]="Annual")*(Input_Usage[[Profile name]:[Profile name]]=$D224&amp;" - medium"),0),MATCH(F$215,Input_Usage[[#Headers],[F-PreviousVDO_Input]:[F-PreviousVDO_Input2]],0)),"-")</f>
        <v>0.79600000000000004</v>
      </c>
      <c r="G224" s="141" cm="1">
        <f t="array" ref="G224">IFERROR(INDEX(Input_Usage[[F-PreviousVDO_Input]:[F-PreviousVDO_Input2]],MATCH(1,(Input_Usage[[Usage type]:[Usage type]]=$C224)*(Input_Usage[[Profile name]:[Profile name]]=$D224&amp;" - medium"),0),MATCH(G$215,Input_Usage[[#Headers],[F-PreviousVDO_Input]:[F-PreviousVDO_Input2]],0))/
INDEX(Input_Usage[[F-PreviousVDO_Input]:[F-PreviousVDO_Input2]],MATCH(1,(Input_Usage[[Usage type]:[Usage type]]="Annual")*(Input_Usage[[Profile name]:[Profile name]]=$D224&amp;" - medium"),0),MATCH(G$215,Input_Usage[[#Headers],[F-PreviousVDO_Input]:[F-PreviousVDO_Input2]],0)),"-")</f>
        <v>0.79600000000000004</v>
      </c>
      <c r="H224" s="141" cm="1">
        <f t="array" ref="H224">IFERROR(INDEX(Input_Usage[[F-PreviousVDO_Input]:[F-PreviousVDO_Input2]],MATCH(1,(Input_Usage[[Usage type]:[Usage type]]=$C224)*(Input_Usage[[Profile name]:[Profile name]]=$D224&amp;" - medium"),0),MATCH(H$215,Input_Usage[[#Headers],[F-PreviousVDO_Input]:[F-PreviousVDO_Input2]],0))/
INDEX(Input_Usage[[F-PreviousVDO_Input]:[F-PreviousVDO_Input2]],MATCH(1,(Input_Usage[[Usage type]:[Usage type]]="Annual")*(Input_Usage[[Profile name]:[Profile name]]=$D224&amp;" - medium"),0),MATCH(H$215,Input_Usage[[#Headers],[F-PreviousVDO_Input]:[F-PreviousVDO_Input2]],0)),"-")</f>
        <v>0.79600000000000004</v>
      </c>
      <c r="I224" s="141" cm="1">
        <f t="array" ref="I224">IFERROR(INDEX(Input_Usage[[F-PreviousVDO_Input]:[F-PreviousVDO_Input2]],MATCH(1,(Input_Usage[[Usage type]:[Usage type]]=$C224)*(Input_Usage[[Profile name]:[Profile name]]=$D224&amp;" - medium"),0),MATCH(I$215,Input_Usage[[#Headers],[F-PreviousVDO_Input]:[F-PreviousVDO_Input2]],0))/
INDEX(Input_Usage[[F-PreviousVDO_Input]:[F-PreviousVDO_Input2]],MATCH(1,(Input_Usage[[Usage type]:[Usage type]]="Annual")*(Input_Usage[[Profile name]:[Profile name]]=$D224&amp;" - medium"),0),MATCH(I$215,Input_Usage[[#Headers],[F-PreviousVDO_Input]:[F-PreviousVDO_Input2]],0)),"-")</f>
        <v>0.79600000000000004</v>
      </c>
      <c r="J224" s="142" cm="1">
        <f t="array" ref="J224">IFERROR(INDEX(Input_Usage[[F-PreviousVDO_Input]:[F-PreviousVDO_Input2]],MATCH(1,(Input_Usage[[Usage type]:[Usage type]]=$C224)*(Input_Usage[[Profile name]:[Profile name]]=$D224&amp;" - medium"),0),MATCH(J$215,Input_Usage[[#Headers],[F-PreviousVDO_Input]:[F-PreviousVDO_Input2]],0))/
INDEX(Input_Usage[[F-PreviousVDO_Input]:[F-PreviousVDO_Input2]],MATCH(1,(Input_Usage[[Usage type]:[Usage type]]="Annual")*(Input_Usage[[Profile name]:[Profile name]]=$D224&amp;" - medium"),0),MATCH(J$215,Input_Usage[[#Headers],[F-PreviousVDO_Input]:[F-PreviousVDO_Input2]],0)),"-")</f>
        <v>0.79600000000000004</v>
      </c>
      <c r="K224" s="141" t="str" cm="1">
        <f t="array" ref="K224">IFERROR(INDEX(Input_Usage[[F-PreviousVDO_Input]:[F-PreviousVDO_Input2]],MATCH(1,(Input_Usage[[Usage type]:[Usage type]]=$C224)*(Input_Usage[[Profile name]:[Profile name]]=$D224&amp;" - medium"),0),MATCH(K$215,Input_Usage[[#Headers],[F-PreviousVDO_Input]:[F-PreviousVDO_Input2]],0))/
INDEX(Input_Usage[[F-PreviousVDO_Input]:[F-PreviousVDO_Input2]],MATCH(1,(Input_Usage[[Usage type]:[Usage type]]="Annual")*(Input_Usage[[Profile name]:[Profile name]]=$D224&amp;" - medium"),0),MATCH(K$215,Input_Usage[[#Headers],[F-PreviousVDO_Input]:[F-PreviousVDO_Input2]],0)),"-")</f>
        <v>-</v>
      </c>
    </row>
    <row r="225" spans="3:11" hidden="1" outlineLevel="1">
      <c r="C225" s="20" t="s">
        <v>70</v>
      </c>
      <c r="D225" s="20" t="s">
        <v>66</v>
      </c>
      <c r="E225" s="91" t="s">
        <v>128</v>
      </c>
      <c r="F225" s="141" cm="1">
        <f t="array" ref="F225">IFERROR(INDEX(Input_Usage[[F-PreviousVDO_Input]:[F-PreviousVDO_Input2]],MATCH(1,(Input_Usage[[Usage type]:[Usage type]]=$C225)*(Input_Usage[[Profile name]:[Profile name]]=$D225&amp;" - medium"),0),MATCH(F$215,Input_Usage[[#Headers],[F-PreviousVDO_Input]:[F-PreviousVDO_Input2]],0))/
INDEX(Input_Usage[[F-PreviousVDO_Input]:[F-PreviousVDO_Input2]],MATCH(1,(Input_Usage[[Usage type]:[Usage type]]="Annual")*(Input_Usage[[Profile name]:[Profile name]]=$D225&amp;" - medium"),0),MATCH(F$215,Input_Usage[[#Headers],[F-PreviousVDO_Input]:[F-PreviousVDO_Input2]],0)),"-")</f>
        <v>1</v>
      </c>
      <c r="G225" s="141" cm="1">
        <f t="array" ref="G225">IFERROR(INDEX(Input_Usage[[F-PreviousVDO_Input]:[F-PreviousVDO_Input2]],MATCH(1,(Input_Usage[[Usage type]:[Usage type]]=$C225)*(Input_Usage[[Profile name]:[Profile name]]=$D225&amp;" - medium"),0),MATCH(G$215,Input_Usage[[#Headers],[F-PreviousVDO_Input]:[F-PreviousVDO_Input2]],0))/
INDEX(Input_Usage[[F-PreviousVDO_Input]:[F-PreviousVDO_Input2]],MATCH(1,(Input_Usage[[Usage type]:[Usage type]]="Annual")*(Input_Usage[[Profile name]:[Profile name]]=$D225&amp;" - medium"),0),MATCH(G$215,Input_Usage[[#Headers],[F-PreviousVDO_Input]:[F-PreviousVDO_Input2]],0)),"-")</f>
        <v>1</v>
      </c>
      <c r="H225" s="141" cm="1">
        <f t="array" ref="H225">IFERROR(INDEX(Input_Usage[[F-PreviousVDO_Input]:[F-PreviousVDO_Input2]],MATCH(1,(Input_Usage[[Usage type]:[Usage type]]=$C225)*(Input_Usage[[Profile name]:[Profile name]]=$D225&amp;" - medium"),0),MATCH(H$215,Input_Usage[[#Headers],[F-PreviousVDO_Input]:[F-PreviousVDO_Input2]],0))/
INDEX(Input_Usage[[F-PreviousVDO_Input]:[F-PreviousVDO_Input2]],MATCH(1,(Input_Usage[[Usage type]:[Usage type]]="Annual")*(Input_Usage[[Profile name]:[Profile name]]=$D225&amp;" - medium"),0),MATCH(H$215,Input_Usage[[#Headers],[F-PreviousVDO_Input]:[F-PreviousVDO_Input2]],0)),"-")</f>
        <v>1</v>
      </c>
      <c r="I225" s="141" cm="1">
        <f t="array" ref="I225">IFERROR(INDEX(Input_Usage[[F-PreviousVDO_Input]:[F-PreviousVDO_Input2]],MATCH(1,(Input_Usage[[Usage type]:[Usage type]]=$C225)*(Input_Usage[[Profile name]:[Profile name]]=$D225&amp;" - medium"),0),MATCH(I$215,Input_Usage[[#Headers],[F-PreviousVDO_Input]:[F-PreviousVDO_Input2]],0))/
INDEX(Input_Usage[[F-PreviousVDO_Input]:[F-PreviousVDO_Input2]],MATCH(1,(Input_Usage[[Usage type]:[Usage type]]="Annual")*(Input_Usage[[Profile name]:[Profile name]]=$D225&amp;" - medium"),0),MATCH(I$215,Input_Usage[[#Headers],[F-PreviousVDO_Input]:[F-PreviousVDO_Input2]],0)),"-")</f>
        <v>1</v>
      </c>
      <c r="J225" s="142" cm="1">
        <f t="array" ref="J225">IFERROR(INDEX(Input_Usage[[F-PreviousVDO_Input]:[F-PreviousVDO_Input2]],MATCH(1,(Input_Usage[[Usage type]:[Usage type]]=$C225)*(Input_Usage[[Profile name]:[Profile name]]=$D225&amp;" - medium"),0),MATCH(J$215,Input_Usage[[#Headers],[F-PreviousVDO_Input]:[F-PreviousVDO_Input2]],0))/
INDEX(Input_Usage[[F-PreviousVDO_Input]:[F-PreviousVDO_Input2]],MATCH(1,(Input_Usage[[Usage type]:[Usage type]]="Annual")*(Input_Usage[[Profile name]:[Profile name]]=$D225&amp;" - medium"),0),MATCH(J$215,Input_Usage[[#Headers],[F-PreviousVDO_Input]:[F-PreviousVDO_Input2]],0)),"-")</f>
        <v>1</v>
      </c>
      <c r="K225" s="141" t="str" cm="1">
        <f t="array" ref="K225">IFERROR(INDEX(Input_Usage[[F-PreviousVDO_Input]:[F-PreviousVDO_Input2]],MATCH(1,(Input_Usage[[Usage type]:[Usage type]]=$C225)*(Input_Usage[[Profile name]:[Profile name]]=$D225&amp;" - medium"),0),MATCH(K$215,Input_Usage[[#Headers],[F-PreviousVDO_Input]:[F-PreviousVDO_Input2]],0))/
INDEX(Input_Usage[[F-PreviousVDO_Input]:[F-PreviousVDO_Input2]],MATCH(1,(Input_Usage[[Usage type]:[Usage type]]="Annual")*(Input_Usage[[Profile name]:[Profile name]]=$D225&amp;" - medium"),0),MATCH(K$215,Input_Usage[[#Headers],[F-PreviousVDO_Input]:[F-PreviousVDO_Input2]],0)),"-")</f>
        <v>-</v>
      </c>
    </row>
    <row r="226" spans="3:11" hidden="1" outlineLevel="1"/>
    <row r="227" spans="3:11" ht="15.5" hidden="1" outlineLevel="1">
      <c r="E227" s="26" t="s">
        <v>418</v>
      </c>
      <c r="F227" s="143" t="str">
        <f>IF(INDEX(Input_TUNet_Props[F-PreviousVDO_Input],MATCH("Peak",Input_TUNet_Props[[Usage type]:[Usage type]],0),1)="-","-",
IF(AND(
SUMIFS(Input_TUNet_Props[F-PreviousVDO_Input],Input_TUNet_Props[[Customer type]:[Customer type]],"Residential",Input_TUNet_Props[[Usage type]:[Usage type]],"Peak")+
SUMIFS(Input_TUNet_Props[F-PreviousVDO_Input],Input_TUNet_Props[[Customer type]:[Customer type]],"Residential",Input_TUNet_Props[[Usage type]:[Usage type]],"Off peak")=1,
SUMIFS(Input_TUNet_Props[F-PreviousVDO_Input],Input_TUNet_Props[[Customer type]:[Customer type]],"Small business",Input_TUNet_Props[[Usage type]:[Usage type]],"Peak")+
SUMIFS(Input_TUNet_Props[F-PreviousVDO_Input],Input_TUNet_Props[[Customer type]:[Customer type]],"Small business",Input_TUNet_Props[[Usage type]:[Usage type]],"Off peak")=1),0,1))</f>
        <v>-</v>
      </c>
      <c r="G227" s="143">
        <f>IF(INDEX(Input_TUNet_Props[VD-PreviousVDO_Input],MATCH("Peak",Input_TUNet_Props[[Usage type]:[Usage type]],0),1)="-","-",
IF(AND(
SUMIFS(Input_TUNet_Props[VD-PreviousVDO_Input],Input_TUNet_Props[[Customer type]:[Customer type]],"Residential",Input_TUNet_Props[[Usage type]:[Usage type]],"Peak")+
SUMIFS(Input_TUNet_Props[VD-PreviousVDO_Input],Input_TUNet_Props[[Customer type]:[Customer type]],"Residential",Input_TUNet_Props[[Usage type]:[Usage type]],"Off peak")=1,
SUMIFS(Input_TUNet_Props[VD-PreviousVDO_Input],Input_TUNet_Props[[Customer type]:[Customer type]],"Small business",Input_TUNet_Props[[Usage type]:[Usage type]],"Peak")+
SUMIFS(Input_TUNet_Props[VD-PreviousVDO_Input],Input_TUNet_Props[[Customer type]:[Customer type]],"Small business",Input_TUNet_Props[[Usage type]:[Usage type]],"Off peak")=1),0,1))</f>
        <v>0</v>
      </c>
      <c r="H227" s="143">
        <f>IF(INDEX(Input_TUNet_Props[VF-PreviousVDO_Input],MATCH("Peak",Input_TUNet_Props[[Usage type]:[Usage type]],0),1)="-","-",
IF(AND(
SUMIFS(Input_TUNet_Props[VF-PreviousVDO_Input],Input_TUNet_Props[[Customer type]:[Customer type]],"Residential",Input_TUNet_Props[[Usage type]:[Usage type]],"Peak")+
SUMIFS(Input_TUNet_Props[VF-PreviousVDO_Input],Input_TUNet_Props[[Customer type]:[Customer type]],"Residential",Input_TUNet_Props[[Usage type]:[Usage type]],"Off peak")=1,
SUMIFS(Input_TUNet_Props[VF-PreviousVDO_Input],Input_TUNet_Props[[Customer type]:[Customer type]],"Small business",Input_TUNet_Props[[Usage type]:[Usage type]],"Peak")+
SUMIFS(Input_TUNet_Props[VF-PreviousVDO_Input],Input_TUNet_Props[[Customer type]:[Customer type]],"Small business",Input_TUNet_Props[[Usage type]:[Usage type]],"Off peak")=1),0,1))</f>
        <v>0</v>
      </c>
      <c r="I227" s="143">
        <f>IF(INDEX(Input_TUNet_Props[D-PreviousVDO_Input],MATCH("Peak",Input_TUNet_Props[[Usage type]:[Usage type]],0),1)="-","-",
IF(AND(
SUMIFS(Input_TUNet_Props[D-PreviousVDO_Input],Input_TUNet_Props[[Customer type]:[Customer type]],"Residential",Input_TUNet_Props[[Usage type]:[Usage type]],"Peak")+
SUMIFS(Input_TUNet_Props[D-PreviousVDO_Input],Input_TUNet_Props[[Customer type]:[Customer type]],"Residential",Input_TUNet_Props[[Usage type]:[Usage type]],"Off peak")=1,
SUMIFS(Input_TUNet_Props[D-PreviousVDO_Input],Input_TUNet_Props[[Customer type]:[Customer type]],"Small business",Input_TUNet_Props[[Usage type]:[Usage type]],"Peak")+
SUMIFS(Input_TUNet_Props[D-PreviousVDO_Input],Input_TUNet_Props[[Customer type]:[Customer type]],"Small business",Input_TUNet_Props[[Usage type]:[Usage type]],"Off peak")=1),0,1))</f>
        <v>0</v>
      </c>
      <c r="J227" s="143">
        <f>IF(INDEX(Input_TUNet_Props[F-PreviousVDO_Input2],MATCH("Peak",Input_TUNet_Props[[Usage type]:[Usage type]],0),1)="-","-",
IF(AND(
SUMIFS(Input_TUNet_Props[F-PreviousVDO_Input2],Input_TUNet_Props[[Customer type]:[Customer type]],"Residential",Input_TUNet_Props[[Usage type]:[Usage type]],"Peak")+
SUMIFS(Input_TUNet_Props[F-PreviousVDO_Input2],Input_TUNet_Props[[Customer type]:[Customer type]],"Residential",Input_TUNet_Props[[Usage type]:[Usage type]],"Off peak")=1,
SUMIFS(Input_TUNet_Props[F-PreviousVDO_Input2],Input_TUNet_Props[[Customer type]:[Customer type]],"Small business",Input_TUNet_Props[[Usage type]:[Usage type]],"Peak")+
SUMIFS(Input_TUNet_Props[F-PreviousVDO_Input2],Input_TUNet_Props[[Customer type]:[Customer type]],"Small business",Input_TUNet_Props[[Usage type]:[Usage type]],"Off peak")=1),0,1))</f>
        <v>0</v>
      </c>
      <c r="K227" s="143">
        <f>IF(INDEX(Input_TUNet_Props[D-PreviousVDO_Input],MATCH("Peak",Input_TUNet_Props[[Usage type]:[Usage type]],0),1)="-","-",
IF(AND(
SUMIFS(Input_TUNet_Props[D-PreviousVDO_Input],Input_TUNet_Props[[Customer type]:[Customer type]],"Residential",Input_TUNet_Props[[Usage type]:[Usage type]],"Peak")+
SUMIFS(Input_TUNet_Props[D-PreviousVDO_Input],Input_TUNet_Props[[Customer type]:[Customer type]],"Residential",Input_TUNet_Props[[Usage type]:[Usage type]],"Off peak")=1,
SUMIFS(Input_TUNet_Props[D-PreviousVDO_Input],Input_TUNet_Props[[Customer type]:[Customer type]],"Small business",Input_TUNet_Props[[Usage type]:[Usage type]],"Peak")+
SUMIFS(Input_TUNet_Props[D-PreviousVDO_Input],Input_TUNet_Props[[Customer type]:[Customer type]],"Small business",Input_TUNet_Props[[Usage type]:[Usage type]],"Off peak")=1),0,1))</f>
        <v>0</v>
      </c>
    </row>
    <row r="228" spans="3:11" ht="15.5" hidden="1" outlineLevel="1">
      <c r="E228" s="26" t="s">
        <v>419</v>
      </c>
      <c r="F228" s="143">
        <f>IF(INDEX(Input_TUNet_Props[F-PreviousVDO_Input],MATCH("Block 1",Input_TUNet_Props[[Usage type]:[Usage type]],0),1)="-","-",
IF(AND(
SUMIFS(Input_TUNet_Props[F-PreviousVDO_Input],Input_TUNet_Props[[Customer type]:[Customer type]],"Residential",Input_TUNet_Props[[Usage type]:[Usage type]],"Block 1")+
SUMIFS(Input_TUNet_Props[F-PreviousVDO_Input],Input_TUNet_Props[[Customer type]:[Customer type]],"Residential",Input_TUNet_Props[[Usage type]:[Usage type]],"Balance")=1,
SUMIFS(Input_TUNet_Props[F-PreviousVDO_Input],Input_TUNet_Props[[Customer type]:[Customer type]],"Small business",Input_TUNet_Props[[Usage type]:[Usage type]],"Block 1")+
SUMIFS(Input_TUNet_Props[F-PreviousVDO_Input],Input_TUNet_Props[[Customer type]:[Customer type]],"Small business",Input_TUNet_Props[[Usage type]:[Usage type]],"Balance")=1),0,1))</f>
        <v>0</v>
      </c>
      <c r="G228" s="143">
        <f>IF(INDEX(Input_TUNet_Props[VD-PreviousVDO_Input],MATCH("Block 1",Input_TUNet_Props[[Usage type]:[Usage type]],0),1)="-","-",
IF(AND(
SUMIFS(Input_TUNet_Props[VD-PreviousVDO_Input],Input_TUNet_Props[[Customer type]:[Customer type]],"Residential",Input_TUNet_Props[[Usage type]:[Usage type]],"Block 1")+
SUMIFS(Input_TUNet_Props[VD-PreviousVDO_Input],Input_TUNet_Props[[Customer type]:[Customer type]],"Residential",Input_TUNet_Props[[Usage type]:[Usage type]],"Balance")=1,
SUMIFS(Input_TUNet_Props[VD-PreviousVDO_Input],Input_TUNet_Props[[Customer type]:[Customer type]],"Small business",Input_TUNet_Props[[Usage type]:[Usage type]],"Block 1")+
SUMIFS(Input_TUNet_Props[VD-PreviousVDO_Input],Input_TUNet_Props[[Customer type]:[Customer type]],"Small business",Input_TUNet_Props[[Usage type]:[Usage type]],"Balance")=1),0,1))</f>
        <v>0</v>
      </c>
      <c r="H228" s="143">
        <f>IF(INDEX(Input_TUNet_Props[VF-PreviousVDO_Input],MATCH("Block 1",Input_TUNet_Props[[Usage type]:[Usage type]],0),1)="-","-",
IF(AND(
SUMIFS(Input_TUNet_Props[VF-PreviousVDO_Input],Input_TUNet_Props[[Customer type]:[Customer type]],"Residential",Input_TUNet_Props[[Usage type]:[Usage type]],"Block 1")+
SUMIFS(Input_TUNet_Props[VF-PreviousVDO_Input],Input_TUNet_Props[[Customer type]:[Customer type]],"Residential",Input_TUNet_Props[[Usage type]:[Usage type]],"Balance")=1,
SUMIFS(Input_TUNet_Props[VF-PreviousVDO_Input],Input_TUNet_Props[[Customer type]:[Customer type]],"Small business",Input_TUNet_Props[[Usage type]:[Usage type]],"Block 1")+
SUMIFS(Input_TUNet_Props[VF-PreviousVDO_Input],Input_TUNet_Props[[Customer type]:[Customer type]],"Small business",Input_TUNet_Props[[Usage type]:[Usage type]],"Balance")=1),0,1))</f>
        <v>0</v>
      </c>
      <c r="I228" s="143">
        <f>IF(INDEX(Input_TUNet_Props[D-PreviousVDO_Input],MATCH("Block 1",Input_TUNet_Props[[Usage type]:[Usage type]],0),1)="-","-",
IF(AND(
SUMIFS(Input_TUNet_Props[D-PreviousVDO_Input],Input_TUNet_Props[[Customer type]:[Customer type]],"Residential",Input_TUNet_Props[[Usage type]:[Usage type]],"Block 1")+
SUMIFS(Input_TUNet_Props[D-PreviousVDO_Input],Input_TUNet_Props[[Customer type]:[Customer type]],"Residential",Input_TUNet_Props[[Usage type]:[Usage type]],"Balance")=1,
SUMIFS(Input_TUNet_Props[D-PreviousVDO_Input],Input_TUNet_Props[[Customer type]:[Customer type]],"Small business",Input_TUNet_Props[[Usage type]:[Usage type]],"Block 1")+
SUMIFS(Input_TUNet_Props[D-PreviousVDO_Input],Input_TUNet_Props[[Customer type]:[Customer type]],"Small business",Input_TUNet_Props[[Usage type]:[Usage type]],"Balance")=1),0,1))</f>
        <v>0</v>
      </c>
      <c r="J228" s="143">
        <f>IF(INDEX(Input_TUNet_Props[F-PreviousVDO_Input2],MATCH("Block 1",Input_TUNet_Props[[Usage type]:[Usage type]],0),1)="-","-",
IF(AND(
SUMIFS(Input_TUNet_Props[F-PreviousVDO_Input2],Input_TUNet_Props[[Customer type]:[Customer type]],"Residential",Input_TUNet_Props[[Usage type]:[Usage type]],"Block 1")+
SUMIFS(Input_TUNet_Props[F-PreviousVDO_Input2],Input_TUNet_Props[[Customer type]:[Customer type]],"Residential",Input_TUNet_Props[[Usage type]:[Usage type]],"Balance")=1,
SUMIFS(Input_TUNet_Props[F-PreviousVDO_Input2],Input_TUNet_Props[[Customer type]:[Customer type]],"Small business",Input_TUNet_Props[[Usage type]:[Usage type]],"Block 1")+
SUMIFS(Input_TUNet_Props[F-PreviousVDO_Input2],Input_TUNet_Props[[Customer type]:[Customer type]],"Small business",Input_TUNet_Props[[Usage type]:[Usage type]],"Balance")=1),0,1))</f>
        <v>0</v>
      </c>
      <c r="K228" s="143">
        <f>IF(INDEX(Input_TUNet_Props[D-PreviousVDO_Input],MATCH("Block 1",Input_TUNet_Props[[Usage type]:[Usage type]],0),1)="-","-",
IF(AND(
SUMIFS(Input_TUNet_Props[D-PreviousVDO_Input],Input_TUNet_Props[[Customer type]:[Customer type]],"Residential",Input_TUNet_Props[[Usage type]:[Usage type]],"Block 1")+
SUMIFS(Input_TUNet_Props[D-PreviousVDO_Input],Input_TUNet_Props[[Customer type]:[Customer type]],"Residential",Input_TUNet_Props[[Usage type]:[Usage type]],"Balance")=1,
SUMIFS(Input_TUNet_Props[D-PreviousVDO_Input],Input_TUNet_Props[[Customer type]:[Customer type]],"Small business",Input_TUNet_Props[[Usage type]:[Usage type]],"Block 1")+
SUMIFS(Input_TUNet_Props[D-PreviousVDO_Input],Input_TUNet_Props[[Customer type]:[Customer type]],"Small business",Input_TUNet_Props[[Usage type]:[Usage type]],"Balance")=1),0,1))</f>
        <v>0</v>
      </c>
    </row>
    <row r="229" spans="3:11" ht="15.5" hidden="1" outlineLevel="1">
      <c r="E229" s="26" t="s">
        <v>420</v>
      </c>
      <c r="F229" s="143">
        <f>IF(INDEX(Input_TUNet_Props[F-PreviousVDO_Input],MATCH("Block 1",Input_TUNet_Props[[Usage type]:[Usage type]],0),1)="-","-",
IF(AND(
SUMIFS(Input_TUNet_Props[F-PreviousVDO_Input],Input_TUNet_Props[[Customer type]:[Customer type]],"Residential",Input_TUNet_Props[[Usage type]:[Usage type]],"Single rate")=1,
SUMIFS(Input_TUNet_Props[F-PreviousVDO_Input],Input_TUNet_Props[[Customer type]:[Customer type]],"Small business",Input_TUNet_Props[[Usage type]:[Usage type]],"Single rate")=1),0,1))</f>
        <v>0</v>
      </c>
      <c r="G229" s="143">
        <f>IF(INDEX(Input_TUNet_Props[VD-PreviousVDO_Input],MATCH("Block 1",Input_TUNet_Props[[Usage type]:[Usage type]],0),1)="-","-",
IF(AND(
SUMIFS(Input_TUNet_Props[VD-PreviousVDO_Input],Input_TUNet_Props[[Customer type]:[Customer type]],"Residential",Input_TUNet_Props[[Usage type]:[Usage type]],"Single rate")=1,
SUMIFS(Input_TUNet_Props[VD-PreviousVDO_Input],Input_TUNet_Props[[Customer type]:[Customer type]],"Small business",Input_TUNet_Props[[Usage type]:[Usage type]],"Single rate")=1),0,1))</f>
        <v>0</v>
      </c>
      <c r="H229" s="143">
        <f>IF(INDEX(Input_TUNet_Props[VF-PreviousVDO_Input],MATCH("Block 1",Input_TUNet_Props[[Usage type]:[Usage type]],0),1)="-","-",
IF(AND(
SUMIFS(Input_TUNet_Props[VF-PreviousVDO_Input],Input_TUNet_Props[[Customer type]:[Customer type]],"Residential",Input_TUNet_Props[[Usage type]:[Usage type]],"Single rate")=1,
SUMIFS(Input_TUNet_Props[VF-PreviousVDO_Input],Input_TUNet_Props[[Customer type]:[Customer type]],"Small business",Input_TUNet_Props[[Usage type]:[Usage type]],"Single rate")=1),0,1))</f>
        <v>0</v>
      </c>
      <c r="I229" s="143">
        <f>IF(INDEX(Input_TUNet_Props[D-PreviousVDO_Input],MATCH("Block 1",Input_TUNet_Props[[Usage type]:[Usage type]],0),1)="-","-",
IF(AND(
SUMIFS(Input_TUNet_Props[D-PreviousVDO_Input],Input_TUNet_Props[[Customer type]:[Customer type]],"Residential",Input_TUNet_Props[[Usage type]:[Usage type]],"Single rate")=1,
SUMIFS(Input_TUNet_Props[D-PreviousVDO_Input],Input_TUNet_Props[[Customer type]:[Customer type]],"Small business",Input_TUNet_Props[[Usage type]:[Usage type]],"Single rate")=1),0,1))</f>
        <v>0</v>
      </c>
      <c r="J229" s="143">
        <f>IF(INDEX(Input_TUNet_Props[F-PreviousVDO_Input2],MATCH("Block 1",Input_TUNet_Props[[Usage type]:[Usage type]],0),1)="-","-",
IF(AND(
SUMIFS(Input_TUNet_Props[F-PreviousVDO_Input2],Input_TUNet_Props[[Customer type]:[Customer type]],"Residential",Input_TUNet_Props[[Usage type]:[Usage type]],"Single rate")=1,
SUMIFS(Input_TUNet_Props[F-PreviousVDO_Input2],Input_TUNet_Props[[Customer type]:[Customer type]],"Small business",Input_TUNet_Props[[Usage type]:[Usage type]],"Single rate")=1),0,1))</f>
        <v>0</v>
      </c>
      <c r="K229" s="143">
        <f>IF(INDEX(Input_TUNet_Props[D-PreviousVDO_Input],MATCH("Block 1",Input_TUNet_Props[[Usage type]:[Usage type]],0),1)="-","-",
IF(AND(
SUMIFS(Input_TUNet_Props[D-PreviousVDO_Input],Input_TUNet_Props[[Customer type]:[Customer type]],"Residential",Input_TUNet_Props[[Usage type]:[Usage type]],"Single rate")=1,
SUMIFS(Input_TUNet_Props[D-PreviousVDO_Input],Input_TUNet_Props[[Customer type]:[Customer type]],"Small business",Input_TUNet_Props[[Usage type]:[Usage type]],"Single rate")=1),0,1))</f>
        <v>0</v>
      </c>
    </row>
    <row r="230" spans="3:11" hidden="1" outlineLevel="1"/>
    <row r="231" spans="3:11" hidden="1" outlineLevel="1"/>
    <row r="232" spans="3:11" ht="15.5" hidden="1" outlineLevel="1">
      <c r="E232" s="36" t="s">
        <v>30</v>
      </c>
      <c r="F232" s="2">
        <v>2021</v>
      </c>
      <c r="G232" s="2">
        <v>2021</v>
      </c>
      <c r="H232" s="2">
        <v>2021</v>
      </c>
      <c r="I232" s="2">
        <v>2022</v>
      </c>
      <c r="J232" s="2">
        <v>2022</v>
      </c>
    </row>
    <row r="233" spans="3:11" ht="15.5" hidden="1" outlineLevel="1">
      <c r="E233" s="36" t="s">
        <v>31</v>
      </c>
      <c r="F233" s="37" t="str">
        <f>"VDO "&amp;F232&amp;" - "&amp;IF(LEFT(F235,1)="F","Final",IF(LEFT(F235,1)="D","Draft",IF(LEFT(F235,2)="VD","Variation draft",IF(LEFT(F235,2)="VF","Variation final"))))</f>
        <v>VDO 2021 - Final</v>
      </c>
      <c r="G233" s="37" t="str">
        <f>"VDO "&amp;G232&amp;" - "&amp;IF(LEFT(G235,1)="F","Final",IF(LEFT(G235,1)="D","Draft",IF(LEFT(G235,2)="VD","Variation draft",IF(LEFT(G235,2)="VF","Variation final"))))</f>
        <v>VDO 2021 - Variation draft</v>
      </c>
      <c r="H233" s="37" t="str">
        <f>"VDO "&amp;H232&amp;" - "&amp;IF(LEFT(H235,1)="F","Final",IF(LEFT(H235,1)="D","Draft",IF(LEFT(H235,2)="VD","Variation draft",IF(LEFT(H235,2)="VF","Variation final"))))</f>
        <v>VDO 2021 - Variation final</v>
      </c>
      <c r="I233" s="37" t="str">
        <f>"VDO "&amp;I232&amp;" - "&amp;IF(LEFT(I235,1)="F","Final",IF(LEFT(I235,1)="D","Draft",IF(LEFT(I235,2)="VD","Variation draft",IF(LEFT(I235,2)="VF","Variation final"))))</f>
        <v>VDO 2022 - Draft</v>
      </c>
      <c r="J233" s="37" t="str">
        <f>"VDO "&amp;J232&amp;" - "&amp;IF(LEFT(J235,1)="F","Final",IF(LEFT(J235,1)="D","Draft",IF(LEFT(J235,2)="VD","Variation draft",IF(LEFT(J235,2)="VF","Variation final"))))</f>
        <v>VDO 2022 - Final</v>
      </c>
    </row>
    <row r="234" spans="3:11" ht="15.5" hidden="1" outlineLevel="1">
      <c r="C234" s="26" t="s">
        <v>421</v>
      </c>
    </row>
    <row r="235" spans="3:11" ht="15.5" hidden="1" outlineLevel="1">
      <c r="C235" s="39" t="s">
        <v>32</v>
      </c>
      <c r="D235" s="39" t="s">
        <v>406</v>
      </c>
      <c r="E235" s="39" t="s">
        <v>56</v>
      </c>
      <c r="F235" s="39" t="s">
        <v>286</v>
      </c>
      <c r="G235" s="39" t="s">
        <v>288</v>
      </c>
      <c r="H235" s="39" t="s">
        <v>290</v>
      </c>
      <c r="I235" s="38" t="s">
        <v>510</v>
      </c>
      <c r="J235" s="96" t="s">
        <v>512</v>
      </c>
    </row>
    <row r="236" spans="3:11" hidden="1" outlineLevel="1">
      <c r="C236" s="20" t="s">
        <v>80</v>
      </c>
      <c r="D236" s="20" t="s">
        <v>207</v>
      </c>
      <c r="E236" s="91" t="s">
        <v>51</v>
      </c>
      <c r="F236" s="12" t="s">
        <v>7</v>
      </c>
      <c r="G236" s="12" t="s">
        <v>7</v>
      </c>
      <c r="H236" s="12" t="s">
        <v>7</v>
      </c>
      <c r="I236" s="12">
        <v>44378</v>
      </c>
      <c r="J236" s="12">
        <v>44378</v>
      </c>
    </row>
    <row r="237" spans="3:11" hidden="1" outlineLevel="1">
      <c r="C237" s="20" t="s">
        <v>80</v>
      </c>
      <c r="D237" s="20" t="s">
        <v>208</v>
      </c>
      <c r="E237" s="91" t="s">
        <v>51</v>
      </c>
      <c r="F237" s="12" t="s">
        <v>7</v>
      </c>
      <c r="G237" s="12" t="s">
        <v>7</v>
      </c>
      <c r="H237" s="12" t="s">
        <v>7</v>
      </c>
      <c r="I237" s="12">
        <v>44439</v>
      </c>
      <c r="J237" s="12">
        <v>44439</v>
      </c>
    </row>
    <row r="238" spans="3:11" hidden="1" outlineLevel="1">
      <c r="C238" s="20" t="s">
        <v>80</v>
      </c>
      <c r="D238" s="20" t="s">
        <v>258</v>
      </c>
      <c r="E238" s="91" t="s">
        <v>51</v>
      </c>
      <c r="F238" s="12" t="s">
        <v>7</v>
      </c>
      <c r="G238" s="12" t="s">
        <v>7</v>
      </c>
      <c r="H238" s="12" t="s">
        <v>7</v>
      </c>
      <c r="I238" s="12">
        <v>44562</v>
      </c>
      <c r="J238" s="12">
        <v>44562</v>
      </c>
    </row>
    <row r="239" spans="3:11" hidden="1" outlineLevel="1">
      <c r="C239" s="20" t="s">
        <v>80</v>
      </c>
      <c r="D239" s="20" t="s">
        <v>259</v>
      </c>
      <c r="E239" s="91" t="s">
        <v>51</v>
      </c>
      <c r="F239" s="12" t="s">
        <v>7</v>
      </c>
      <c r="G239" s="12" t="s">
        <v>7</v>
      </c>
      <c r="H239" s="12" t="s">
        <v>7</v>
      </c>
      <c r="I239" s="12">
        <v>44742</v>
      </c>
      <c r="J239" s="12">
        <v>44742</v>
      </c>
    </row>
    <row r="240" spans="3:11" hidden="1" outlineLevel="1"/>
    <row r="241" spans="3:14" hidden="1" outlineLevel="1"/>
    <row r="242" spans="3:14" outlineLevel="1"/>
    <row r="243" spans="3:14" ht="15.5" outlineLevel="1">
      <c r="E243" s="36" t="s">
        <v>30</v>
      </c>
      <c r="F243" s="2">
        <v>2021</v>
      </c>
      <c r="G243" s="2">
        <v>2021</v>
      </c>
      <c r="H243" s="2">
        <v>2021</v>
      </c>
      <c r="I243" s="2">
        <v>2022</v>
      </c>
      <c r="J243" s="2">
        <v>2022</v>
      </c>
      <c r="K243" s="2" t="s">
        <v>283</v>
      </c>
      <c r="L243" s="2" t="s">
        <v>283</v>
      </c>
      <c r="M243" s="2" t="s">
        <v>506</v>
      </c>
      <c r="N243" s="2" t="s">
        <v>506</v>
      </c>
    </row>
    <row r="244" spans="3:14" ht="15.5" outlineLevel="1">
      <c r="E244" s="36" t="s">
        <v>31</v>
      </c>
      <c r="F244" s="37" t="str">
        <f t="shared" ref="F244:N244" si="6">"VDO "&amp;F243&amp;" - "&amp;IF(LEFT(F246,1)="F","Final",IF(LEFT(F246,1)="D","Draft",IF(LEFT(F246,2)="VD","Variation draft",IF(LEFT(F246,2)="VF","Variation final"))))</f>
        <v>VDO 2021 - Final</v>
      </c>
      <c r="G244" s="37" t="str">
        <f t="shared" si="6"/>
        <v>VDO 2021 - Variation draft</v>
      </c>
      <c r="H244" s="37" t="str">
        <f t="shared" si="6"/>
        <v>VDO 2021 - Variation final</v>
      </c>
      <c r="I244" s="37" t="str">
        <f t="shared" si="6"/>
        <v>VDO 2022 - Draft</v>
      </c>
      <c r="J244" s="37" t="str">
        <f t="shared" si="6"/>
        <v>VDO 2022 - Final</v>
      </c>
      <c r="K244" s="37" t="str">
        <f t="shared" si="6"/>
        <v>VDO 2022-23 - Draft</v>
      </c>
      <c r="L244" s="37" t="str">
        <f t="shared" si="6"/>
        <v>VDO 2022-23 - Final</v>
      </c>
      <c r="M244" s="37" t="str">
        <f t="shared" si="6"/>
        <v>VDO 2023-24 - Draft</v>
      </c>
      <c r="N244" s="37" t="str">
        <f t="shared" si="6"/>
        <v>VDO 2023-24 - Final</v>
      </c>
    </row>
    <row r="245" spans="3:14" outlineLevel="1"/>
    <row r="246" spans="3:14" ht="15.5" outlineLevel="1">
      <c r="C246" s="39" t="s">
        <v>406</v>
      </c>
      <c r="D246" s="111" t="s">
        <v>514</v>
      </c>
      <c r="E246" s="39" t="s">
        <v>56</v>
      </c>
      <c r="F246" s="39" t="s">
        <v>286</v>
      </c>
      <c r="G246" s="39" t="s">
        <v>288</v>
      </c>
      <c r="H246" s="39" t="s">
        <v>290</v>
      </c>
      <c r="I246" s="96" t="s">
        <v>510</v>
      </c>
      <c r="J246" s="96" t="s">
        <v>512</v>
      </c>
      <c r="K246" s="38" t="s">
        <v>291</v>
      </c>
      <c r="L246" s="39" t="s">
        <v>34</v>
      </c>
      <c r="M246" s="39" t="s">
        <v>37</v>
      </c>
      <c r="N246" s="39" t="s">
        <v>38</v>
      </c>
    </row>
    <row r="247" spans="3:14" outlineLevel="1">
      <c r="C247" s="88" t="s">
        <v>422</v>
      </c>
      <c r="D247" s="88" t="s">
        <v>501</v>
      </c>
      <c r="E247" s="91"/>
      <c r="F247" s="2">
        <v>365</v>
      </c>
      <c r="G247" s="2">
        <v>365</v>
      </c>
      <c r="H247" s="2">
        <v>365</v>
      </c>
      <c r="I247" s="2">
        <v>365</v>
      </c>
      <c r="J247" s="2">
        <v>365</v>
      </c>
      <c r="K247" s="2">
        <v>365</v>
      </c>
      <c r="L247" s="2">
        <v>365</v>
      </c>
      <c r="M247" s="2">
        <v>365</v>
      </c>
      <c r="N247" s="2">
        <v>365</v>
      </c>
    </row>
    <row r="248" spans="3:14" outlineLevel="1">
      <c r="C248" s="88" t="s">
        <v>422</v>
      </c>
      <c r="D248" s="88" t="s">
        <v>500</v>
      </c>
      <c r="E248" s="91" t="s">
        <v>423</v>
      </c>
      <c r="F248" s="2">
        <v>365</v>
      </c>
      <c r="G248" s="2">
        <v>62</v>
      </c>
      <c r="H248" s="2">
        <v>62</v>
      </c>
      <c r="I248" s="2">
        <v>181</v>
      </c>
      <c r="J248" s="2">
        <v>181</v>
      </c>
      <c r="K248" s="2">
        <v>365</v>
      </c>
      <c r="L248" s="2">
        <v>365</v>
      </c>
      <c r="M248" s="2">
        <v>365</v>
      </c>
      <c r="N248" s="2">
        <v>366</v>
      </c>
    </row>
    <row r="249" spans="3:14" outlineLevel="1"/>
    <row r="250" spans="3:14" outlineLevel="1"/>
    <row r="251" spans="3:14" outlineLevel="1"/>
    <row r="252" spans="3:14" ht="15.5" hidden="1" outlineLevel="1">
      <c r="C252" s="38" t="s">
        <v>424</v>
      </c>
      <c r="D252" s="50">
        <v>6.5500000000000003E-2</v>
      </c>
    </row>
    <row r="253" spans="3:14" outlineLevel="1"/>
    <row r="254" spans="3:14" outlineLevel="1"/>
    <row r="255" spans="3:14" ht="15.5" outlineLevel="1">
      <c r="C255" s="26" t="s">
        <v>425</v>
      </c>
    </row>
    <row r="256" spans="3:14" ht="15.5" outlineLevel="1">
      <c r="C256" s="138" t="s">
        <v>426</v>
      </c>
      <c r="D256" s="39" t="s">
        <v>190</v>
      </c>
      <c r="E256" s="43" t="s">
        <v>192</v>
      </c>
    </row>
    <row r="257" spans="3:5" outlineLevel="1">
      <c r="C257" s="136" t="s">
        <v>427</v>
      </c>
      <c r="D257" s="107" t="s">
        <v>427</v>
      </c>
      <c r="E257" s="137" t="s">
        <v>7</v>
      </c>
    </row>
    <row r="258" spans="3:5" outlineLevel="1">
      <c r="C258" s="136" t="s">
        <v>428</v>
      </c>
      <c r="D258" s="107" t="s">
        <v>428</v>
      </c>
      <c r="E258" s="137" t="s">
        <v>427</v>
      </c>
    </row>
    <row r="259" spans="3:5" outlineLevel="1">
      <c r="C259" s="136" t="s">
        <v>429</v>
      </c>
      <c r="D259" s="107" t="s">
        <v>429</v>
      </c>
      <c r="E259" s="137" t="s">
        <v>427</v>
      </c>
    </row>
    <row r="260" spans="3:5" outlineLevel="1">
      <c r="C260" s="136" t="s">
        <v>430</v>
      </c>
      <c r="D260" s="107" t="s">
        <v>430</v>
      </c>
      <c r="E260" s="137" t="s">
        <v>427</v>
      </c>
    </row>
    <row r="261" spans="3:5" outlineLevel="1">
      <c r="C261" s="139" t="s">
        <v>163</v>
      </c>
      <c r="D261" s="140" t="s">
        <v>163</v>
      </c>
      <c r="E261" s="137" t="s">
        <v>427</v>
      </c>
    </row>
    <row r="262" spans="3:5" outlineLevel="1">
      <c r="C262" s="136" t="s">
        <v>431</v>
      </c>
      <c r="D262" s="107" t="s">
        <v>431</v>
      </c>
      <c r="E262" s="137" t="s">
        <v>163</v>
      </c>
    </row>
    <row r="263" spans="3:5" outlineLevel="1">
      <c r="C263" s="136" t="s">
        <v>85</v>
      </c>
      <c r="D263" s="140" t="s">
        <v>85</v>
      </c>
      <c r="E263" s="191" t="s">
        <v>163</v>
      </c>
    </row>
    <row r="264" spans="3:5" outlineLevel="1">
      <c r="C264" s="136" t="s">
        <v>507</v>
      </c>
      <c r="D264" s="140" t="s">
        <v>507</v>
      </c>
      <c r="E264" s="191" t="s">
        <v>85</v>
      </c>
    </row>
    <row r="265" spans="3:5" outlineLevel="1">
      <c r="C265" s="136" t="s">
        <v>508</v>
      </c>
      <c r="D265" s="140" t="s">
        <v>508</v>
      </c>
      <c r="E265" s="191" t="s">
        <v>85</v>
      </c>
    </row>
    <row r="266" spans="3:5" outlineLevel="1"/>
    <row r="267" spans="3:5" outlineLevel="1"/>
    <row r="268" spans="3:5" outlineLevel="1"/>
    <row r="269" spans="3:5" outlineLevel="1"/>
  </sheetData>
  <sheetProtection algorithmName="SHA-512" hashValue="bTW3Ag8Bmgm9X/SA+mGLBmRrm4qL4vXZpfbkpc3N8Pa9fgnBUfv7NnA2GBDAzqF1aEpr0g9AfFcMtCUvSYu9SA==" saltValue="b3mN3RrpABEsjP3AG2oYaQ==" spinCount="100000" sheet="1" objects="1" scenarios="1"/>
  <autoFilter ref="A10:B134" xr:uid="{98E7AA2C-AE0E-470D-92B2-A7ADC3EE59F8}"/>
  <mergeCells count="1">
    <mergeCell ref="A2:A3"/>
  </mergeCells>
  <phoneticPr fontId="30" type="noConversion"/>
  <hyperlinks>
    <hyperlink ref="B1" location="Contents!A1" display="&lt;&lt; Back to contents" xr:uid="{2A8BA45E-ADD7-40CD-A168-98760FC3658C}"/>
  </hyperlinks>
  <pageMargins left="0.7" right="0.7" top="0.75" bottom="0.75" header="0.3" footer="0.3"/>
  <pageSetup paperSize="9" orientation="portrait" r:id="rId1"/>
  <headerFooter>
    <oddHeader>&amp;C&amp;B&amp;"Arial"&amp;12&amp;Kff0000​‌OFFICIAL‌​</oddHeader>
  </headerFooter>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91387222-6A44-4153-A021-02393A24BC27}">
          <x14:formula1>
            <xm:f>'Lookup refs'!$C$8:$C$10</xm:f>
          </x14:formula1>
          <xm:sqref>E11:E134</xm:sqref>
        </x14:dataValidation>
        <x14:dataValidation type="list" allowBlank="1" showInputMessage="1" showErrorMessage="1" xr:uid="{6E9DAD93-16AF-4726-A2A9-3D3AE290FDD5}">
          <x14:formula1>
            <xm:f>'Lookup refs'!$E$8:$E$20</xm:f>
          </x14:formula1>
          <xm:sqref>G199:G209 E216:E225 E236:E239 F187:F192 F143:F179 F11:F134</xm:sqref>
        </x14:dataValidation>
        <x14:dataValidation type="list" allowBlank="1" showInputMessage="1" showErrorMessage="1" xr:uid="{DB7F5277-E0C5-4ABC-A2EC-0899E5776FE1}">
          <x14:formula1>
            <xm:f>'Lookup refs'!$G$8:$G$10</xm:f>
          </x14:formula1>
          <xm:sqref>F199:F209 G187:G192 G143:G179 D216:D225 G11:G134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DB55-A1B8-4BF5-ACF4-AC560D0EC1E6}">
  <sheetPr codeName="Sheet12">
    <tabColor rgb="FFD3DFE9"/>
    <pageSetUpPr autoPageBreaks="0"/>
  </sheetPr>
  <dimension ref="A1:Z29"/>
  <sheetViews>
    <sheetView showGridLines="0" topLeftCell="B1" zoomScale="90" zoomScaleNormal="90" workbookViewId="0">
      <pane ySplit="3" topLeftCell="A4" activePane="bottomLeft" state="frozen"/>
      <selection activeCell="B33" sqref="B33"/>
      <selection pane="bottomLeft" activeCell="B1" sqref="B1"/>
    </sheetView>
  </sheetViews>
  <sheetFormatPr defaultColWidth="9.453125" defaultRowHeight="14.5" outlineLevelCol="1"/>
  <cols>
    <col min="1" max="1" width="100.54296875" hidden="1" customWidth="1" outlineLevel="1"/>
    <col min="2" max="2" width="10.54296875" style="6" customWidth="1" collapsed="1"/>
    <col min="3" max="3" width="50.54296875" customWidth="1"/>
    <col min="4" max="26" width="25.54296875" customWidth="1"/>
  </cols>
  <sheetData>
    <row r="1" spans="1:26" ht="15" customHeight="1">
      <c r="A1" s="1" t="s">
        <v>15</v>
      </c>
      <c r="B1" s="231" t="s">
        <v>569</v>
      </c>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c r="A2" s="236" t="s">
        <v>16</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c r="A3" s="237"/>
      <c r="B3" s="24">
        <f ca="1">_xlfn.SHEET()</f>
        <v>11</v>
      </c>
      <c r="C3" s="23" t="s">
        <v>47</v>
      </c>
      <c r="D3" s="23"/>
      <c r="E3" s="23"/>
      <c r="F3" s="23"/>
      <c r="G3" s="23"/>
      <c r="H3" s="23"/>
      <c r="I3" s="23"/>
      <c r="J3" s="23"/>
      <c r="K3" s="23"/>
      <c r="L3" s="23"/>
      <c r="M3" s="23"/>
      <c r="N3" s="23"/>
      <c r="O3" s="23"/>
      <c r="P3" s="23"/>
      <c r="Q3" s="23"/>
      <c r="R3" s="23"/>
      <c r="S3" s="23"/>
      <c r="T3" s="23"/>
      <c r="U3" s="23"/>
      <c r="V3" s="23"/>
      <c r="W3" s="23"/>
      <c r="X3" s="23"/>
      <c r="Y3" s="23"/>
      <c r="Z3" s="23"/>
    </row>
    <row r="4" spans="1:26">
      <c r="B4"/>
    </row>
    <row r="5" spans="1:26" ht="16" thickBot="1">
      <c r="A5" s="1" t="s">
        <v>18</v>
      </c>
      <c r="B5" s="216">
        <f ca="1">MAX(B$3:B4)+0.01</f>
        <v>11.01</v>
      </c>
      <c r="C5" s="25" t="s">
        <v>432</v>
      </c>
      <c r="D5" s="25"/>
      <c r="E5" s="25"/>
    </row>
    <row r="7" spans="1:26">
      <c r="C7" t="s">
        <v>433</v>
      </c>
      <c r="D7" s="2">
        <v>365</v>
      </c>
      <c r="E7" s="14" t="s">
        <v>434</v>
      </c>
    </row>
    <row r="8" spans="1:26">
      <c r="C8" t="s">
        <v>523</v>
      </c>
      <c r="D8" s="2">
        <v>366</v>
      </c>
      <c r="E8" s="14" t="s">
        <v>524</v>
      </c>
    </row>
    <row r="9" spans="1:26">
      <c r="C9" t="s">
        <v>435</v>
      </c>
      <c r="D9" s="2">
        <v>12</v>
      </c>
      <c r="E9" s="14" t="s">
        <v>436</v>
      </c>
    </row>
    <row r="10" spans="1:26">
      <c r="C10" t="s">
        <v>437</v>
      </c>
      <c r="D10" s="2">
        <v>3</v>
      </c>
      <c r="E10" s="14" t="s">
        <v>438</v>
      </c>
    </row>
    <row r="11" spans="1:26">
      <c r="C11" t="s">
        <v>439</v>
      </c>
      <c r="D11" s="2">
        <v>52</v>
      </c>
      <c r="E11" s="14" t="s">
        <v>440</v>
      </c>
    </row>
    <row r="12" spans="1:26">
      <c r="C12" t="s">
        <v>525</v>
      </c>
      <c r="D12" s="213">
        <f>DiLY/7</f>
        <v>52.285714285714285</v>
      </c>
      <c r="E12" s="14" t="s">
        <v>526</v>
      </c>
    </row>
    <row r="14" spans="1:26">
      <c r="C14" s="8" t="s">
        <v>441</v>
      </c>
      <c r="D14" s="13" t="s">
        <v>442</v>
      </c>
      <c r="E14" s="14" t="s">
        <v>443</v>
      </c>
    </row>
    <row r="15" spans="1:26">
      <c r="C15" s="8" t="s">
        <v>444</v>
      </c>
      <c r="D15" s="2">
        <v>6</v>
      </c>
      <c r="E15" s="31" t="s">
        <v>445</v>
      </c>
    </row>
    <row r="17" spans="1:5">
      <c r="C17" t="s">
        <v>446</v>
      </c>
      <c r="D17" s="63">
        <v>0.1</v>
      </c>
      <c r="E17" s="14" t="s">
        <v>447</v>
      </c>
    </row>
    <row r="21" spans="1:5" ht="16" thickBot="1">
      <c r="A21" s="1" t="s">
        <v>18</v>
      </c>
      <c r="B21" s="216">
        <f ca="1">MAX(B$3:B20)+0.01</f>
        <v>11.02</v>
      </c>
      <c r="C21" s="25" t="s">
        <v>448</v>
      </c>
      <c r="D21" s="25"/>
      <c r="E21" s="25"/>
    </row>
    <row r="24" spans="1:5">
      <c r="C24" t="s">
        <v>31</v>
      </c>
      <c r="D24" t="s">
        <v>449</v>
      </c>
    </row>
    <row r="25" spans="1:5">
      <c r="C25" s="75" t="s">
        <v>34</v>
      </c>
      <c r="D25" s="75">
        <v>1</v>
      </c>
    </row>
    <row r="26" spans="1:5">
      <c r="C26" s="75" t="s">
        <v>35</v>
      </c>
      <c r="D26" s="75">
        <v>2</v>
      </c>
    </row>
    <row r="27" spans="1:5">
      <c r="C27" s="75" t="s">
        <v>36</v>
      </c>
      <c r="D27" s="75">
        <v>3</v>
      </c>
    </row>
    <row r="28" spans="1:5">
      <c r="C28" s="75" t="s">
        <v>37</v>
      </c>
      <c r="D28" s="75">
        <v>4</v>
      </c>
    </row>
    <row r="29" spans="1:5">
      <c r="C29" s="75" t="s">
        <v>38</v>
      </c>
      <c r="D29" s="75">
        <v>5</v>
      </c>
    </row>
  </sheetData>
  <sheetProtection algorithmName="SHA-512" hashValue="U/MWqlti9erG/Qgb3Nv5Z52GEk+ipXFhGNITS80gk7Z20pwZDSeFoCS0DZ+5VU/U8MXxc76eN0yajkZ+FqFHYA==" saltValue="pUYPRw0hxHHxbrgVAjj8hA==" spinCount="100000" sheet="1" objects="1" scenarios="1"/>
  <mergeCells count="1">
    <mergeCell ref="A2:A3"/>
  </mergeCells>
  <hyperlinks>
    <hyperlink ref="B1" location="Contents!A1" display="&lt;&lt; Back to contents" xr:uid="{16FBED79-BD8B-4592-A913-5AD14EDEEB12}"/>
  </hyperlinks>
  <pageMargins left="0.7" right="0.7" top="0.75" bottom="0.75" header="0.3" footer="0.3"/>
  <pageSetup paperSize="9" orientation="portrait" r:id="rId1"/>
  <headerFooter>
    <oddHeader>&amp;C&amp;B&amp;"Arial"&amp;12&amp;Kff0000​‌OFFICIAL‌​</oddHeader>
  </headerFooter>
  <ignoredErrors>
    <ignoredError sqref="D12" unlockedFormula="1"/>
  </ignoredError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701-190F-4971-BB2B-9D28766803C5}">
  <sheetPr>
    <tabColor theme="4" tint="0.79998168889431442"/>
    <pageSetUpPr autoPageBreaks="0"/>
  </sheetPr>
  <dimension ref="A1:Z93"/>
  <sheetViews>
    <sheetView showGridLines="0" topLeftCell="B1" zoomScale="90" zoomScaleNormal="90" workbookViewId="0">
      <pane ySplit="3" topLeftCell="A4" activePane="bottomLeft" state="frozen"/>
      <selection activeCell="B33" sqref="B33"/>
      <selection pane="bottomLeft" activeCell="B4" sqref="B4"/>
    </sheetView>
  </sheetViews>
  <sheetFormatPr defaultColWidth="9.453125" defaultRowHeight="14.5" outlineLevelCol="1"/>
  <cols>
    <col min="1" max="1" width="100.54296875" hidden="1" customWidth="1" outlineLevel="1"/>
    <col min="2" max="2" width="10.54296875" style="6" customWidth="1" collapsed="1"/>
    <col min="3" max="3" width="52.1796875" bestFit="1" customWidth="1"/>
    <col min="4" max="26" width="25.54296875" customWidth="1"/>
  </cols>
  <sheetData>
    <row r="1" spans="1:26" ht="15" customHeight="1">
      <c r="A1" s="1" t="s">
        <v>15</v>
      </c>
      <c r="B1" s="231" t="s">
        <v>569</v>
      </c>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c r="A2" s="236" t="s">
        <v>450</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c r="A3" s="237"/>
      <c r="B3" s="24">
        <f ca="1">_xlfn.SHEET()</f>
        <v>12</v>
      </c>
      <c r="C3" s="23" t="s">
        <v>48</v>
      </c>
      <c r="D3" s="23"/>
      <c r="E3" s="23"/>
      <c r="F3" s="23"/>
      <c r="G3" s="23"/>
      <c r="H3" s="23"/>
      <c r="I3" s="23"/>
      <c r="J3" s="23"/>
      <c r="K3" s="23"/>
      <c r="L3" s="23"/>
      <c r="M3" s="23"/>
      <c r="N3" s="23"/>
      <c r="O3" s="23"/>
      <c r="P3" s="23"/>
      <c r="Q3" s="23"/>
      <c r="R3" s="23"/>
      <c r="S3" s="23"/>
      <c r="T3" s="23"/>
      <c r="U3" s="23"/>
      <c r="V3" s="23"/>
      <c r="W3" s="23"/>
      <c r="X3" s="23"/>
      <c r="Y3" s="23"/>
      <c r="Z3" s="23"/>
    </row>
    <row r="4" spans="1:26">
      <c r="B4"/>
    </row>
    <row r="5" spans="1:26" ht="16" thickBot="1">
      <c r="A5" s="1" t="s">
        <v>18</v>
      </c>
      <c r="B5" s="216">
        <f ca="1">MAX(B$3:B4)+0.01</f>
        <v>12.01</v>
      </c>
      <c r="C5" s="25" t="s">
        <v>451</v>
      </c>
      <c r="D5" s="25"/>
      <c r="E5" s="25"/>
      <c r="F5" s="25"/>
      <c r="G5" s="25"/>
      <c r="H5" s="25"/>
      <c r="I5" s="25"/>
    </row>
    <row r="7" spans="1:26" ht="15.5">
      <c r="C7" s="39" t="s">
        <v>452</v>
      </c>
      <c r="D7" s="39" t="s">
        <v>51</v>
      </c>
      <c r="E7" s="43" t="s">
        <v>453</v>
      </c>
    </row>
    <row r="8" spans="1:26">
      <c r="C8" s="20" t="s">
        <v>454</v>
      </c>
      <c r="D8" s="44">
        <v>43465</v>
      </c>
      <c r="E8" s="68">
        <f>IFERROR(INDEX(CPI[Indice],MATCH(D8,CPI[Period],0),1),"-")</f>
        <v>114.1</v>
      </c>
    </row>
    <row r="9" spans="1:26">
      <c r="C9" s="20" t="s">
        <v>455</v>
      </c>
      <c r="D9" s="44">
        <v>43738</v>
      </c>
      <c r="E9" s="68">
        <f>IFERROR(INDEX(CPI[Indice],MATCH(D9,CPI[Period],0),1),"-")</f>
        <v>115.4</v>
      </c>
    </row>
    <row r="10" spans="1:26">
      <c r="C10" s="20" t="s">
        <v>456</v>
      </c>
      <c r="D10" s="44">
        <v>44012</v>
      </c>
      <c r="E10" s="68">
        <f>IFERROR(INDEX(CPI[Indice],MATCH(D10,CPI[Period],0),1),"-")</f>
        <v>114.4</v>
      </c>
    </row>
    <row r="11" spans="1:26">
      <c r="C11" s="20" t="s">
        <v>427</v>
      </c>
      <c r="D11" s="44">
        <v>44104</v>
      </c>
      <c r="E11" s="68">
        <f>IFERROR(INDEX(CPI[Indice],MATCH(D11,CPI[Period],0),1),"-")</f>
        <v>116.2</v>
      </c>
    </row>
    <row r="12" spans="1:26">
      <c r="C12" s="20" t="s">
        <v>428</v>
      </c>
      <c r="D12" s="44">
        <v>44104</v>
      </c>
      <c r="E12" s="68">
        <f>IFERROR(INDEX(CPI[Indice],MATCH(D12,CPI[Period],0),1),"-")</f>
        <v>116.2</v>
      </c>
    </row>
    <row r="13" spans="1:26">
      <c r="C13" s="20" t="s">
        <v>429</v>
      </c>
      <c r="D13" s="44">
        <v>44104</v>
      </c>
      <c r="E13" s="68">
        <f>IFERROR(INDEX(CPI[Indice],MATCH(D13,CPI[Period],0),1),"-")</f>
        <v>116.2</v>
      </c>
    </row>
    <row r="14" spans="1:26">
      <c r="C14" s="20" t="s">
        <v>430</v>
      </c>
      <c r="D14" s="44">
        <v>44377</v>
      </c>
      <c r="E14" s="68">
        <f>IFERROR(INDEX(CPI[Indice],MATCH(D14,CPI[Period],0),1),"-")</f>
        <v>118.8</v>
      </c>
    </row>
    <row r="15" spans="1:26">
      <c r="C15" s="20" t="s">
        <v>163</v>
      </c>
      <c r="D15" s="44">
        <v>44469</v>
      </c>
      <c r="E15" s="68">
        <f>IFERROR(INDEX(CPI[Indice],MATCH(D15,CPI[Period],0),1),"-")</f>
        <v>119.7</v>
      </c>
    </row>
    <row r="16" spans="1:26">
      <c r="C16" s="20" t="s">
        <v>431</v>
      </c>
      <c r="D16" s="44">
        <v>44561</v>
      </c>
      <c r="E16" s="68">
        <f>IFERROR(INDEX(CPI[Indice],MATCH(D16,CPI[Period],0),1),"-")</f>
        <v>121.3</v>
      </c>
    </row>
    <row r="17" spans="1:9">
      <c r="C17" s="20" t="s">
        <v>85</v>
      </c>
      <c r="D17" s="187">
        <v>44651</v>
      </c>
      <c r="E17" s="188">
        <f>IFERROR(INDEX(CPI[Indice],MATCH(D17,CPI[Period],0),1),"-")</f>
        <v>123.9</v>
      </c>
    </row>
    <row r="18" spans="1:9">
      <c r="C18" s="20" t="s">
        <v>507</v>
      </c>
      <c r="D18" s="187">
        <v>44926</v>
      </c>
      <c r="E18" s="188">
        <f>IFERROR(INDEX(CPI[Indice],MATCH(D18,CPI[Period],0),1),"-")</f>
        <v>130.80000000000001</v>
      </c>
    </row>
    <row r="19" spans="1:9">
      <c r="C19" s="20" t="s">
        <v>508</v>
      </c>
      <c r="D19" s="187">
        <v>45016</v>
      </c>
      <c r="E19" s="212">
        <f>IFERROR(INDEX(CPI[Indice],MATCH(D19,CPI[Period],0),1),"-")</f>
        <v>132.6</v>
      </c>
    </row>
    <row r="21" spans="1:9" ht="16" thickBot="1">
      <c r="A21" s="1" t="s">
        <v>18</v>
      </c>
      <c r="B21" s="216">
        <f ca="1">MAX(B$3:B20)+0.01</f>
        <v>12.02</v>
      </c>
      <c r="C21" s="25" t="s">
        <v>457</v>
      </c>
      <c r="D21" s="25"/>
      <c r="E21" s="25"/>
      <c r="F21" s="25"/>
      <c r="G21" s="25"/>
      <c r="H21" s="25"/>
      <c r="I21" s="25"/>
    </row>
    <row r="23" spans="1:9" ht="15.5">
      <c r="C23" s="26" t="s">
        <v>458</v>
      </c>
    </row>
    <row r="24" spans="1:9" ht="15.5">
      <c r="C24" s="26" t="s">
        <v>459</v>
      </c>
    </row>
    <row r="26" spans="1:9" ht="15.5">
      <c r="C26" s="49" t="s">
        <v>460</v>
      </c>
      <c r="D26" s="217">
        <v>45017</v>
      </c>
    </row>
    <row r="28" spans="1:9" ht="15.5">
      <c r="C28" s="39" t="s">
        <v>461</v>
      </c>
      <c r="D28" s="43" t="s">
        <v>453</v>
      </c>
      <c r="E28" s="193"/>
    </row>
    <row r="29" spans="1:9">
      <c r="C29" s="41">
        <v>41090</v>
      </c>
      <c r="D29" s="42">
        <v>100.4</v>
      </c>
    </row>
    <row r="30" spans="1:9">
      <c r="C30" s="41">
        <v>41182</v>
      </c>
      <c r="D30" s="42">
        <v>101.8</v>
      </c>
    </row>
    <row r="31" spans="1:9">
      <c r="C31" s="41">
        <v>41274</v>
      </c>
      <c r="D31" s="42">
        <v>102</v>
      </c>
    </row>
    <row r="32" spans="1:9">
      <c r="C32" s="41">
        <v>41364</v>
      </c>
      <c r="D32" s="42">
        <v>102.4</v>
      </c>
    </row>
    <row r="33" spans="3:4">
      <c r="C33" s="41">
        <v>41455</v>
      </c>
      <c r="D33" s="42">
        <v>102.8</v>
      </c>
    </row>
    <row r="34" spans="3:4">
      <c r="C34" s="41">
        <v>41547</v>
      </c>
      <c r="D34" s="42">
        <v>104</v>
      </c>
    </row>
    <row r="35" spans="3:4">
      <c r="C35" s="41">
        <v>41639</v>
      </c>
      <c r="D35" s="42">
        <v>104.8</v>
      </c>
    </row>
    <row r="36" spans="3:4">
      <c r="C36" s="41">
        <v>41729</v>
      </c>
      <c r="D36" s="42">
        <v>105.4</v>
      </c>
    </row>
    <row r="37" spans="3:4">
      <c r="C37" s="41">
        <v>41820</v>
      </c>
      <c r="D37" s="42">
        <v>105.9</v>
      </c>
    </row>
    <row r="38" spans="3:4">
      <c r="C38" s="41">
        <v>41912</v>
      </c>
      <c r="D38" s="42">
        <v>106.4</v>
      </c>
    </row>
    <row r="39" spans="3:4">
      <c r="C39" s="41">
        <v>42004</v>
      </c>
      <c r="D39" s="42">
        <v>106.6</v>
      </c>
    </row>
    <row r="40" spans="3:4">
      <c r="C40" s="41">
        <v>42094</v>
      </c>
      <c r="D40" s="42">
        <v>106.8</v>
      </c>
    </row>
    <row r="41" spans="3:4">
      <c r="C41" s="41">
        <v>42185</v>
      </c>
      <c r="D41" s="42">
        <v>107.5</v>
      </c>
    </row>
    <row r="42" spans="3:4">
      <c r="C42" s="41">
        <v>42277</v>
      </c>
      <c r="D42" s="42">
        <v>108</v>
      </c>
    </row>
    <row r="43" spans="3:4">
      <c r="C43" s="41">
        <v>42369</v>
      </c>
      <c r="D43" s="42">
        <v>108.4</v>
      </c>
    </row>
    <row r="44" spans="3:4">
      <c r="C44" s="41">
        <v>42460</v>
      </c>
      <c r="D44" s="42">
        <v>108.2</v>
      </c>
    </row>
    <row r="45" spans="3:4">
      <c r="C45" s="41">
        <v>42551</v>
      </c>
      <c r="D45" s="42">
        <v>108.6</v>
      </c>
    </row>
    <row r="46" spans="3:4">
      <c r="C46" s="41">
        <v>42643</v>
      </c>
      <c r="D46" s="42">
        <v>109.4</v>
      </c>
    </row>
    <row r="47" spans="3:4">
      <c r="C47" s="41">
        <v>42735</v>
      </c>
      <c r="D47" s="42">
        <v>110</v>
      </c>
    </row>
    <row r="48" spans="3:4">
      <c r="C48" s="41">
        <v>42825</v>
      </c>
      <c r="D48" s="42">
        <v>110.5</v>
      </c>
    </row>
    <row r="49" spans="3:4">
      <c r="C49" s="41">
        <v>42916</v>
      </c>
      <c r="D49" s="42">
        <v>110.7</v>
      </c>
    </row>
    <row r="50" spans="3:4">
      <c r="C50" s="41">
        <v>43008</v>
      </c>
      <c r="D50" s="42">
        <v>111.4</v>
      </c>
    </row>
    <row r="51" spans="3:4">
      <c r="C51" s="41">
        <v>43100</v>
      </c>
      <c r="D51" s="42">
        <v>112.1</v>
      </c>
    </row>
    <row r="52" spans="3:4">
      <c r="C52" s="41">
        <v>43190</v>
      </c>
      <c r="D52" s="42">
        <v>112.6</v>
      </c>
    </row>
    <row r="53" spans="3:4">
      <c r="C53" s="41">
        <v>43281</v>
      </c>
      <c r="D53" s="42">
        <v>113</v>
      </c>
    </row>
    <row r="54" spans="3:4">
      <c r="C54" s="41">
        <v>43373</v>
      </c>
      <c r="D54" s="42">
        <v>113.5</v>
      </c>
    </row>
    <row r="55" spans="3:4">
      <c r="C55" s="41">
        <v>43465</v>
      </c>
      <c r="D55" s="42">
        <v>114.1</v>
      </c>
    </row>
    <row r="56" spans="3:4">
      <c r="C56" s="41">
        <v>43555</v>
      </c>
      <c r="D56" s="42">
        <v>114.1</v>
      </c>
    </row>
    <row r="57" spans="3:4">
      <c r="C57" s="41">
        <v>43646</v>
      </c>
      <c r="D57" s="42">
        <v>114.8</v>
      </c>
    </row>
    <row r="58" spans="3:4">
      <c r="C58" s="41">
        <v>43738</v>
      </c>
      <c r="D58" s="42">
        <v>115.4</v>
      </c>
    </row>
    <row r="59" spans="3:4">
      <c r="C59" s="41">
        <v>43830</v>
      </c>
      <c r="D59" s="42">
        <v>116.2</v>
      </c>
    </row>
    <row r="60" spans="3:4">
      <c r="C60" s="41">
        <v>43921</v>
      </c>
      <c r="D60" s="42">
        <v>116.6</v>
      </c>
    </row>
    <row r="61" spans="3:4">
      <c r="C61" s="41">
        <v>44012</v>
      </c>
      <c r="D61" s="42">
        <v>114.4</v>
      </c>
    </row>
    <row r="62" spans="3:4">
      <c r="C62" s="41">
        <v>44104</v>
      </c>
      <c r="D62" s="42">
        <v>116.2</v>
      </c>
    </row>
    <row r="63" spans="3:4">
      <c r="C63" s="41">
        <v>44196</v>
      </c>
      <c r="D63" s="42">
        <v>117.2</v>
      </c>
    </row>
    <row r="64" spans="3:4">
      <c r="C64" s="41">
        <v>44286</v>
      </c>
      <c r="D64" s="42">
        <v>117.9</v>
      </c>
    </row>
    <row r="65" spans="1:12">
      <c r="C65" s="41">
        <v>44377</v>
      </c>
      <c r="D65" s="42">
        <v>118.8</v>
      </c>
    </row>
    <row r="66" spans="1:12">
      <c r="C66" s="41">
        <v>44469</v>
      </c>
      <c r="D66" s="42">
        <v>119.7</v>
      </c>
    </row>
    <row r="67" spans="1:12">
      <c r="C67" s="41">
        <v>44561</v>
      </c>
      <c r="D67" s="42">
        <v>121.3</v>
      </c>
    </row>
    <row r="68" spans="1:12">
      <c r="C68" s="41">
        <v>44651</v>
      </c>
      <c r="D68" s="42">
        <v>123.9</v>
      </c>
    </row>
    <row r="69" spans="1:12">
      <c r="C69" s="41">
        <v>44742</v>
      </c>
      <c r="D69" s="42">
        <v>126.1</v>
      </c>
    </row>
    <row r="70" spans="1:12">
      <c r="C70" s="41">
        <v>44834</v>
      </c>
      <c r="D70" s="42">
        <v>128.4</v>
      </c>
    </row>
    <row r="71" spans="1:12">
      <c r="C71" s="41">
        <v>44926</v>
      </c>
      <c r="D71" s="42">
        <v>130.80000000000001</v>
      </c>
    </row>
    <row r="72" spans="1:12">
      <c r="C72" s="41">
        <v>45016</v>
      </c>
      <c r="D72" s="42">
        <v>132.6</v>
      </c>
    </row>
    <row r="75" spans="1:12" ht="16" thickBot="1">
      <c r="A75" s="1" t="s">
        <v>18</v>
      </c>
      <c r="B75" s="216">
        <f ca="1">MAX(B$3:B74)+0.01</f>
        <v>12.03</v>
      </c>
      <c r="C75" s="25" t="s">
        <v>463</v>
      </c>
      <c r="D75" s="25"/>
      <c r="E75" s="25"/>
      <c r="F75" s="25"/>
      <c r="G75" s="25"/>
      <c r="H75" s="25"/>
      <c r="I75" s="25"/>
    </row>
    <row r="77" spans="1:12">
      <c r="C77" t="s">
        <v>33</v>
      </c>
      <c r="D77" t="s">
        <v>427</v>
      </c>
      <c r="E77" t="s">
        <v>428</v>
      </c>
      <c r="F77" t="s">
        <v>429</v>
      </c>
      <c r="G77" t="s">
        <v>430</v>
      </c>
      <c r="H77" t="s">
        <v>163</v>
      </c>
      <c r="I77" t="s">
        <v>431</v>
      </c>
      <c r="J77" t="s">
        <v>85</v>
      </c>
      <c r="K77" t="s">
        <v>507</v>
      </c>
      <c r="L77" t="s">
        <v>508</v>
      </c>
    </row>
    <row r="78" spans="1:12">
      <c r="C78" t="s">
        <v>115</v>
      </c>
      <c r="D78" s="2" t="s">
        <v>121</v>
      </c>
      <c r="E78" s="2" t="s">
        <v>121</v>
      </c>
      <c r="F78" s="2" t="s">
        <v>121</v>
      </c>
      <c r="G78" s="2" t="s">
        <v>121</v>
      </c>
      <c r="H78" s="2" t="s">
        <v>121</v>
      </c>
      <c r="I78" s="2" t="s">
        <v>121</v>
      </c>
      <c r="J78" s="2" t="s">
        <v>121</v>
      </c>
      <c r="K78" s="2" t="s">
        <v>121</v>
      </c>
      <c r="L78" s="2" t="s">
        <v>121</v>
      </c>
    </row>
    <row r="79" spans="1:12">
      <c r="C79" t="s">
        <v>116</v>
      </c>
      <c r="D79" s="2" t="s">
        <v>181</v>
      </c>
      <c r="E79" s="2" t="s">
        <v>181</v>
      </c>
      <c r="F79" s="2" t="s">
        <v>181</v>
      </c>
      <c r="G79" s="2" t="s">
        <v>181</v>
      </c>
      <c r="H79" s="2" t="s">
        <v>181</v>
      </c>
      <c r="I79" s="2" t="s">
        <v>181</v>
      </c>
      <c r="J79" s="2" t="s">
        <v>181</v>
      </c>
      <c r="K79" s="2" t="s">
        <v>181</v>
      </c>
      <c r="L79" s="2" t="s">
        <v>181</v>
      </c>
    </row>
    <row r="80" spans="1:12">
      <c r="C80" t="s">
        <v>118</v>
      </c>
      <c r="D80" s="2" t="s">
        <v>121</v>
      </c>
      <c r="E80" s="2" t="s">
        <v>121</v>
      </c>
      <c r="F80" s="2" t="s">
        <v>121</v>
      </c>
      <c r="G80" s="2" t="s">
        <v>121</v>
      </c>
      <c r="H80" s="2" t="s">
        <v>121</v>
      </c>
      <c r="I80" s="2" t="s">
        <v>121</v>
      </c>
      <c r="J80" s="2" t="s">
        <v>121</v>
      </c>
      <c r="K80" s="2" t="s">
        <v>121</v>
      </c>
      <c r="L80" s="2" t="s">
        <v>121</v>
      </c>
    </row>
    <row r="81" spans="3:12">
      <c r="C81" t="s">
        <v>119</v>
      </c>
      <c r="D81" s="2" t="s">
        <v>121</v>
      </c>
      <c r="E81" s="2" t="s">
        <v>121</v>
      </c>
      <c r="F81" s="2" t="s">
        <v>121</v>
      </c>
      <c r="G81" s="2" t="s">
        <v>121</v>
      </c>
      <c r="H81" s="2" t="s">
        <v>181</v>
      </c>
      <c r="I81" s="2" t="s">
        <v>181</v>
      </c>
      <c r="J81" s="2" t="s">
        <v>181</v>
      </c>
      <c r="K81" s="2" t="s">
        <v>181</v>
      </c>
      <c r="L81" s="2" t="s">
        <v>181</v>
      </c>
    </row>
    <row r="82" spans="3:12">
      <c r="C82" t="s">
        <v>120</v>
      </c>
      <c r="D82" s="2" t="s">
        <v>121</v>
      </c>
      <c r="E82" s="2" t="s">
        <v>121</v>
      </c>
      <c r="F82" s="2" t="s">
        <v>121</v>
      </c>
      <c r="G82" s="2" t="s">
        <v>121</v>
      </c>
      <c r="H82" s="2" t="s">
        <v>121</v>
      </c>
      <c r="I82" s="2" t="s">
        <v>121</v>
      </c>
      <c r="J82" s="2" t="s">
        <v>121</v>
      </c>
      <c r="K82" s="2" t="s">
        <v>121</v>
      </c>
      <c r="L82" s="2" t="s">
        <v>121</v>
      </c>
    </row>
    <row r="83" spans="3:12">
      <c r="C83" t="s">
        <v>122</v>
      </c>
      <c r="D83" s="2" t="s">
        <v>121</v>
      </c>
      <c r="E83" s="2" t="s">
        <v>121</v>
      </c>
      <c r="F83" s="2" t="s">
        <v>121</v>
      </c>
      <c r="G83" s="2" t="s">
        <v>181</v>
      </c>
      <c r="H83" s="2" t="s">
        <v>181</v>
      </c>
      <c r="I83" s="2" t="s">
        <v>121</v>
      </c>
      <c r="J83" s="2" t="s">
        <v>181</v>
      </c>
      <c r="K83" s="2" t="s">
        <v>181</v>
      </c>
      <c r="L83" s="2" t="s">
        <v>181</v>
      </c>
    </row>
    <row r="84" spans="3:12">
      <c r="C84" t="s">
        <v>123</v>
      </c>
      <c r="D84" s="2" t="s">
        <v>121</v>
      </c>
      <c r="E84" s="2" t="s">
        <v>121</v>
      </c>
      <c r="F84" s="2" t="s">
        <v>121</v>
      </c>
      <c r="G84" s="2" t="s">
        <v>181</v>
      </c>
      <c r="H84" s="2" t="s">
        <v>181</v>
      </c>
      <c r="I84" s="2" t="s">
        <v>121</v>
      </c>
      <c r="J84" s="2" t="s">
        <v>181</v>
      </c>
      <c r="K84" s="2" t="s">
        <v>181</v>
      </c>
      <c r="L84" s="2" t="s">
        <v>181</v>
      </c>
    </row>
    <row r="85" spans="3:12">
      <c r="C85" t="s">
        <v>124</v>
      </c>
      <c r="D85" s="2" t="s">
        <v>121</v>
      </c>
      <c r="E85" s="2" t="s">
        <v>121</v>
      </c>
      <c r="F85" s="2" t="s">
        <v>121</v>
      </c>
      <c r="G85" s="2" t="s">
        <v>181</v>
      </c>
      <c r="H85" s="2" t="s">
        <v>181</v>
      </c>
      <c r="I85" s="2" t="s">
        <v>121</v>
      </c>
      <c r="J85" s="2" t="s">
        <v>181</v>
      </c>
      <c r="K85" s="2" t="s">
        <v>181</v>
      </c>
      <c r="L85" s="2" t="s">
        <v>181</v>
      </c>
    </row>
    <row r="86" spans="3:12">
      <c r="C86" t="s">
        <v>125</v>
      </c>
      <c r="D86" s="2" t="s">
        <v>181</v>
      </c>
      <c r="E86" s="2" t="s">
        <v>181</v>
      </c>
      <c r="F86" s="2" t="s">
        <v>181</v>
      </c>
      <c r="G86" s="2" t="s">
        <v>181</v>
      </c>
      <c r="H86" s="2" t="s">
        <v>181</v>
      </c>
      <c r="I86" s="2" t="s">
        <v>121</v>
      </c>
      <c r="J86" s="2" t="s">
        <v>181</v>
      </c>
      <c r="K86" s="2" t="s">
        <v>181</v>
      </c>
      <c r="L86" s="2" t="s">
        <v>181</v>
      </c>
    </row>
    <row r="87" spans="3:12">
      <c r="C87" t="s">
        <v>126</v>
      </c>
      <c r="D87" s="194" t="s">
        <v>181</v>
      </c>
      <c r="E87" s="194" t="s">
        <v>181</v>
      </c>
      <c r="F87" s="194" t="s">
        <v>181</v>
      </c>
      <c r="G87" s="194" t="s">
        <v>181</v>
      </c>
      <c r="H87" s="194" t="s">
        <v>181</v>
      </c>
      <c r="I87" s="194" t="s">
        <v>121</v>
      </c>
      <c r="J87" s="2" t="s">
        <v>181</v>
      </c>
      <c r="K87" s="2" t="s">
        <v>181</v>
      </c>
      <c r="L87" s="2" t="s">
        <v>181</v>
      </c>
    </row>
    <row r="88" spans="3:12">
      <c r="C88" t="s">
        <v>521</v>
      </c>
      <c r="D88" s="194" t="s">
        <v>181</v>
      </c>
      <c r="E88" s="194" t="s">
        <v>181</v>
      </c>
      <c r="F88" s="194" t="s">
        <v>181</v>
      </c>
      <c r="G88" s="194" t="s">
        <v>181</v>
      </c>
      <c r="H88" s="194" t="s">
        <v>181</v>
      </c>
      <c r="I88" s="194" t="s">
        <v>181</v>
      </c>
      <c r="J88" s="194" t="s">
        <v>181</v>
      </c>
      <c r="K88" s="194" t="s">
        <v>181</v>
      </c>
      <c r="L88" s="194" t="s">
        <v>181</v>
      </c>
    </row>
    <row r="89" spans="3:12">
      <c r="C89" t="s">
        <v>522</v>
      </c>
      <c r="D89" s="194" t="s">
        <v>181</v>
      </c>
      <c r="E89" s="194" t="s">
        <v>181</v>
      </c>
      <c r="F89" s="194" t="s">
        <v>181</v>
      </c>
      <c r="G89" s="194" t="s">
        <v>181</v>
      </c>
      <c r="H89" s="194" t="s">
        <v>181</v>
      </c>
      <c r="I89" s="194" t="s">
        <v>181</v>
      </c>
      <c r="J89" s="194" t="s">
        <v>181</v>
      </c>
      <c r="K89" s="194" t="s">
        <v>181</v>
      </c>
      <c r="L89" s="194" t="s">
        <v>181</v>
      </c>
    </row>
    <row r="90" spans="3:12">
      <c r="C90" t="s">
        <v>527</v>
      </c>
      <c r="D90" s="194" t="s">
        <v>181</v>
      </c>
      <c r="E90" s="194" t="s">
        <v>181</v>
      </c>
      <c r="F90" s="194" t="s">
        <v>181</v>
      </c>
      <c r="G90" s="194" t="s">
        <v>181</v>
      </c>
      <c r="H90" s="194" t="s">
        <v>181</v>
      </c>
      <c r="I90" s="194" t="s">
        <v>181</v>
      </c>
      <c r="J90" s="194" t="s">
        <v>181</v>
      </c>
      <c r="K90" s="194" t="s">
        <v>181</v>
      </c>
      <c r="L90" s="194" t="s">
        <v>181</v>
      </c>
    </row>
    <row r="91" spans="3:12">
      <c r="C91" t="s">
        <v>515</v>
      </c>
      <c r="D91" s="194" t="s">
        <v>181</v>
      </c>
      <c r="E91" s="194" t="s">
        <v>181</v>
      </c>
      <c r="F91" s="194" t="s">
        <v>181</v>
      </c>
      <c r="G91" s="194" t="s">
        <v>181</v>
      </c>
      <c r="H91" s="194" t="s">
        <v>181</v>
      </c>
      <c r="I91" s="194" t="s">
        <v>181</v>
      </c>
      <c r="J91" s="194" t="s">
        <v>181</v>
      </c>
      <c r="K91" s="194" t="s">
        <v>181</v>
      </c>
      <c r="L91" s="194" t="s">
        <v>181</v>
      </c>
    </row>
    <row r="92" spans="3:12">
      <c r="C92" t="s">
        <v>516</v>
      </c>
      <c r="D92" s="194" t="s">
        <v>181</v>
      </c>
      <c r="E92" s="194" t="s">
        <v>181</v>
      </c>
      <c r="F92" s="194" t="s">
        <v>181</v>
      </c>
      <c r="G92" s="194" t="s">
        <v>181</v>
      </c>
      <c r="H92" s="194" t="s">
        <v>181</v>
      </c>
      <c r="I92" s="194" t="s">
        <v>181</v>
      </c>
      <c r="J92" s="194" t="s">
        <v>181</v>
      </c>
      <c r="K92" s="194" t="s">
        <v>181</v>
      </c>
      <c r="L92" s="194" t="s">
        <v>181</v>
      </c>
    </row>
    <row r="93" spans="3:12">
      <c r="C93" t="s">
        <v>517</v>
      </c>
      <c r="D93" s="194" t="s">
        <v>181</v>
      </c>
      <c r="E93" s="194" t="s">
        <v>181</v>
      </c>
      <c r="F93" s="194" t="s">
        <v>181</v>
      </c>
      <c r="G93" s="194" t="s">
        <v>181</v>
      </c>
      <c r="H93" s="194" t="s">
        <v>181</v>
      </c>
      <c r="I93" s="194" t="s">
        <v>181</v>
      </c>
      <c r="J93" s="194" t="s">
        <v>181</v>
      </c>
      <c r="K93" s="194" t="s">
        <v>181</v>
      </c>
      <c r="L93" s="194" t="s">
        <v>181</v>
      </c>
    </row>
  </sheetData>
  <sheetProtection algorithmName="SHA-512" hashValue="XqL5SmQJNr3o/d8DWSPTQxwsNqnTQZDQd/uwnxxFUdYQFkL52ntBVxRS0e7G0+Ubuy+Xd5poV3hMKMaH0wOFHg==" saltValue="+tBZcA7kMlcZe3NopPlPdw==" spinCount="100000" sheet="1" objects="1" scenarios="1"/>
  <mergeCells count="1">
    <mergeCell ref="A2:A3"/>
  </mergeCells>
  <phoneticPr fontId="30" type="noConversion"/>
  <hyperlinks>
    <hyperlink ref="B1" location="Contents!A1" display="&lt;&lt; Back to contents" xr:uid="{6A7D032A-33E1-4B62-9894-DFC8B75C9E86}"/>
  </hyperlinks>
  <pageMargins left="0.7" right="0.7" top="0.75" bottom="0.75" header="0.3" footer="0.3"/>
  <pageSetup paperSize="9" orientation="portrait" r:id="rId1"/>
  <headerFooter>
    <oddHeader>&amp;C&amp;B&amp;"Arial"&amp;12&amp;Kff0000​‌OFFICIAL‌​</oddHeader>
  </headerFooter>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0750735-AC25-4CD6-90CF-6D1FD29F38AF}">
          <x14:formula1>
            <xm:f>'Lookup refs'!$M$8:$M$9</xm:f>
          </x14:formula1>
          <xm:sqref>D78:J93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185-BE6B-4916-A39F-BB308B95FEDF}">
  <sheetPr codeName="Sheet19">
    <tabColor rgb="FF236192"/>
    <outlinePr summaryBelow="0"/>
    <pageSetUpPr autoPageBreaks="0"/>
  </sheetPr>
  <dimension ref="A1:S534"/>
  <sheetViews>
    <sheetView showGridLines="0" topLeftCell="B1" zoomScale="90" zoomScaleNormal="90" workbookViewId="0">
      <pane ySplit="3" topLeftCell="A4" activePane="bottomLeft" state="frozen"/>
      <selection activeCell="B33" sqref="B33"/>
      <selection pane="bottomLeft" activeCell="B1" sqref="B1"/>
    </sheetView>
  </sheetViews>
  <sheetFormatPr defaultColWidth="9.453125" defaultRowHeight="14.5" outlineLevelRow="1" outlineLevelCol="1"/>
  <cols>
    <col min="1" max="1" width="100.54296875" hidden="1" customWidth="1" outlineLevel="1" collapsed="1"/>
    <col min="2" max="2" width="10.54296875" style="6" customWidth="1" collapsed="1"/>
    <col min="3" max="3" width="50.54296875" customWidth="1"/>
    <col min="4" max="6" width="20.54296875" customWidth="1"/>
    <col min="7" max="11" width="20.7265625" customWidth="1"/>
  </cols>
  <sheetData>
    <row r="1" spans="1:11" ht="15" customHeight="1">
      <c r="A1" s="1" t="s">
        <v>15</v>
      </c>
      <c r="B1" s="231" t="s">
        <v>569</v>
      </c>
      <c r="C1" s="19"/>
      <c r="D1" s="102" t="s">
        <v>83</v>
      </c>
      <c r="E1" s="87"/>
      <c r="F1" s="19"/>
      <c r="G1" s="19"/>
      <c r="H1" s="19"/>
      <c r="I1" s="19"/>
      <c r="J1" s="19"/>
      <c r="K1" s="19"/>
    </row>
    <row r="2" spans="1:11" s="4" customFormat="1" ht="50.15" customHeight="1">
      <c r="A2" s="236" t="s">
        <v>16</v>
      </c>
      <c r="B2" s="22"/>
      <c r="C2" s="22" t="str">
        <f>Disclaimer!$B$1</f>
        <v>VDO calculation model</v>
      </c>
      <c r="D2" s="156" t="str">
        <f>$D$5</f>
        <v>VDO 2023-24 - Final</v>
      </c>
      <c r="E2" s="156" t="str">
        <f>$D$266</f>
        <v>VDO 2022-23 - Final</v>
      </c>
      <c r="F2" s="22"/>
      <c r="G2" s="22"/>
      <c r="H2" s="22"/>
      <c r="I2" s="22"/>
      <c r="J2" s="22"/>
      <c r="K2" s="22"/>
    </row>
    <row r="3" spans="1:11" s="4" customFormat="1" ht="30" customHeight="1">
      <c r="A3" s="237"/>
      <c r="B3" s="24">
        <f ca="1">_xlfn.SHEET()</f>
        <v>13</v>
      </c>
      <c r="C3" s="23" t="s">
        <v>84</v>
      </c>
      <c r="D3" s="86">
        <f>SUM($G$23:$K$23,$G$48:$K$48,$G$66:$K$66,$G$73:$K$73,$G$80:$K$80,$G$88:$K$88,$G$102:$K$102,$G$111:$K$111,$G$118:$K$118,$G$125:$K$125,$G$133:$K$133,$G$140:$K$140,$G$95:$K$95)</f>
        <v>0</v>
      </c>
      <c r="E3" s="86">
        <f>SUM($G$284:$K$284,$G$309:$K$309,$G$327:$K$327,$G$334:$K$334,$G$341:$K$341,$G$349:$K$349,$G$356:$K$356,$G$363:$K$363,$G$372:$K$372,$G$379:$K$379,$G$386:$K$386,$G$394:$K$394,$G$401:$K$401)</f>
        <v>0</v>
      </c>
      <c r="F3" s="23"/>
      <c r="G3" s="23"/>
      <c r="H3" s="23"/>
      <c r="I3" s="23"/>
      <c r="J3" s="23"/>
      <c r="K3" s="23"/>
    </row>
    <row r="4" spans="1:11">
      <c r="B4"/>
    </row>
    <row r="5" spans="1:11" ht="15.5">
      <c r="B5"/>
      <c r="C5" s="49" t="s">
        <v>31</v>
      </c>
      <c r="D5" s="88" t="s">
        <v>508</v>
      </c>
    </row>
    <row r="6" spans="1:11">
      <c r="B6"/>
    </row>
    <row r="7" spans="1:11" ht="16" thickBot="1">
      <c r="A7" s="1" t="s">
        <v>18</v>
      </c>
      <c r="B7" s="216">
        <f ca="1">MAX(B$3:B6)+0.01</f>
        <v>13.01</v>
      </c>
      <c r="C7" s="25" t="s">
        <v>86</v>
      </c>
      <c r="D7" s="25"/>
      <c r="E7" s="25"/>
      <c r="F7" s="25"/>
      <c r="G7" s="25"/>
      <c r="H7" s="25"/>
      <c r="I7" s="25"/>
      <c r="J7" s="25"/>
      <c r="K7" s="25"/>
    </row>
    <row r="8" spans="1:11">
      <c r="B8"/>
      <c r="I8" s="78"/>
    </row>
    <row r="9" spans="1:11" ht="15.5">
      <c r="B9"/>
      <c r="C9" s="39" t="s">
        <v>87</v>
      </c>
      <c r="D9" s="39" t="s">
        <v>88</v>
      </c>
      <c r="E9" s="39" t="s">
        <v>56</v>
      </c>
      <c r="F9" s="39" t="s">
        <v>57</v>
      </c>
      <c r="G9" s="54" t="s">
        <v>58</v>
      </c>
      <c r="H9" s="54" t="s">
        <v>59</v>
      </c>
      <c r="I9" s="54" t="s">
        <v>60</v>
      </c>
      <c r="J9" s="54" t="s">
        <v>61</v>
      </c>
      <c r="K9" s="54" t="s">
        <v>62</v>
      </c>
    </row>
    <row r="10" spans="1:11">
      <c r="B10"/>
      <c r="C10" s="20" t="s">
        <v>89</v>
      </c>
      <c r="D10" s="20" t="s">
        <v>90</v>
      </c>
      <c r="E10" s="20" t="s">
        <v>64</v>
      </c>
      <c r="F10" s="20" t="s">
        <v>91</v>
      </c>
      <c r="G10" s="66">
        <f>SUMIFS(Calc_Retail_1[Ausnet],Calc_Retail_1[[Fixed/Variable]:[Fixed/Variable]],$D10,Calc_Retail_1[[Customer type]:[Customer type]],$F10)</f>
        <v>175.92415101117138</v>
      </c>
      <c r="H10" s="66">
        <f>SUMIFS(Calc_Retail_1[Citipower],Calc_Retail_1[[Fixed/Variable]:[Fixed/Variable]],$D10,Calc_Retail_1[[Customer type]:[Customer type]],$F10)</f>
        <v>175.92415101117138</v>
      </c>
      <c r="I10" s="66">
        <f>SUMIFS(Calc_Retail_1[Jemena],Calc_Retail_1[[Fixed/Variable]:[Fixed/Variable]],$D10,Calc_Retail_1[[Customer type]:[Customer type]],$F10)</f>
        <v>175.92415101117138</v>
      </c>
      <c r="J10" s="66">
        <f>SUMIFS(Calc_Retail_1[Powercor],Calc_Retail_1[[Fixed/Variable]:[Fixed/Variable]],$D10,Calc_Retail_1[[Customer type]:[Customer type]],$F10)</f>
        <v>175.92415101117138</v>
      </c>
      <c r="K10" s="66">
        <f>SUMIFS(Calc_Retail_1[United Energy],Calc_Retail_1[[Fixed/Variable]:[Fixed/Variable]],$D10,Calc_Retail_1[[Customer type]:[Customer type]],$F10)</f>
        <v>175.92415101117138</v>
      </c>
    </row>
    <row r="11" spans="1:11">
      <c r="B11"/>
      <c r="C11" s="20" t="s">
        <v>92</v>
      </c>
      <c r="D11" s="20" t="s">
        <v>90</v>
      </c>
      <c r="E11" s="20" t="s">
        <v>64</v>
      </c>
      <c r="F11" s="20" t="s">
        <v>91</v>
      </c>
      <c r="G11" s="70">
        <f>SUMIFS(Calc_OtherCosts_1[Ausnet],Calc_OtherCosts_1[[Fixed/Variable]:[Fixed/Variable]],$D11,Calc_OtherCosts_1[[Customer type]:[Customer type]],$F11)</f>
        <v>10.663924892904003</v>
      </c>
      <c r="H11" s="66">
        <f>SUMIFS(Calc_OtherCosts_1[Citipower],Calc_OtherCosts_1[[Fixed/Variable]:[Fixed/Variable]],$D11,Calc_OtherCosts_1[[Customer type]:[Customer type]],$F11)</f>
        <v>10.663924892904003</v>
      </c>
      <c r="I11" s="66">
        <f>SUMIFS(Calc_OtherCosts_1[Jemena],Calc_OtherCosts_1[[Fixed/Variable]:[Fixed/Variable]],$D11,Calc_OtherCosts_1[[Customer type]:[Customer type]],$F11)</f>
        <v>10.663924892904003</v>
      </c>
      <c r="J11" s="66">
        <f>SUMIFS(Calc_OtherCosts_1[Powercor],Calc_OtherCosts_1[[Fixed/Variable]:[Fixed/Variable]],$D11,Calc_OtherCosts_1[[Customer type]:[Customer type]],$F11)</f>
        <v>10.663924892904003</v>
      </c>
      <c r="K11" s="66">
        <f>SUMIFS(Calc_OtherCosts_1[United Energy],Calc_OtherCosts_1[[Fixed/Variable]:[Fixed/Variable]],$D11,Calc_OtherCosts_1[[Customer type]:[Customer type]],$F11)</f>
        <v>10.663924892904003</v>
      </c>
    </row>
    <row r="12" spans="1:11">
      <c r="B12"/>
      <c r="C12" s="20" t="s">
        <v>93</v>
      </c>
      <c r="D12" s="20" t="s">
        <v>90</v>
      </c>
      <c r="E12" s="20" t="s">
        <v>64</v>
      </c>
      <c r="F12" s="20" t="s">
        <v>91</v>
      </c>
      <c r="G12" s="66">
        <f>SUMIFS(Calc_FiT_1[Ausnet],Calc_FiT_1[[Fixed/Variable]:[Fixed/Variable]],$D12,Calc_FiT_1[[Customer type]:[Customer type]],$F12)</f>
        <v>16.945572514842485</v>
      </c>
      <c r="H12" s="66">
        <f>SUMIFS(Calc_FiT_1[Citipower],Calc_FiT_1[[Fixed/Variable]:[Fixed/Variable]],$D12,Calc_FiT_1[[Customer type]:[Customer type]],$F12)</f>
        <v>16.945572514842485</v>
      </c>
      <c r="I12" s="66">
        <f>SUMIFS(Calc_FiT_1[Jemena],Calc_FiT_1[[Fixed/Variable]:[Fixed/Variable]],$D12,Calc_FiT_1[[Customer type]:[Customer type]],$F12)</f>
        <v>16.945572514842485</v>
      </c>
      <c r="J12" s="66">
        <f>SUMIFS(Calc_FiT_1[Powercor],Calc_FiT_1[[Fixed/Variable]:[Fixed/Variable]],$D12,Calc_FiT_1[[Customer type]:[Customer type]],$F12)</f>
        <v>16.945572514842485</v>
      </c>
      <c r="K12" s="66">
        <f>SUMIFS(Calc_FiT_1[United Energy],Calc_FiT_1[[Fixed/Variable]:[Fixed/Variable]],$D12,Calc_FiT_1[[Customer type]:[Customer type]],$F12)</f>
        <v>16.945572514842485</v>
      </c>
    </row>
    <row r="13" spans="1:11">
      <c r="B13"/>
      <c r="C13" s="20" t="s">
        <v>94</v>
      </c>
      <c r="D13" s="20" t="s">
        <v>90</v>
      </c>
      <c r="E13" s="20" t="s">
        <v>64</v>
      </c>
      <c r="F13" s="20" t="s">
        <v>91</v>
      </c>
      <c r="G13" s="66">
        <f>SUMIFS(Calc_NetworkF_1[Ausnet],Calc_NetworkF_1[[Fixed/Variable]:[Fixed/Variable]],$D13,Calc_NetworkF_1[[Customer type]:[Customer type]],$F13)</f>
        <v>81.098642274190084</v>
      </c>
      <c r="H13" s="66">
        <f>SUMIFS(Calc_NetworkF_1[Citipower],Calc_NetworkF_1[[Fixed/Variable]:[Fixed/Variable]],$D13,Calc_NetworkF_1[[Customer type]:[Customer type]],$F13)</f>
        <v>69.333895686956055</v>
      </c>
      <c r="I13" s="66">
        <f>SUMIFS(Calc_NetworkF_1[Jemena],Calc_NetworkF_1[[Fixed/Variable]:[Fixed/Variable]],$D13,Calc_NetworkF_1[[Customer type]:[Customer type]],$F13)</f>
        <v>60.012342755043747</v>
      </c>
      <c r="J13" s="66">
        <f>SUMIFS(Calc_NetworkF_1[Powercor],Calc_NetworkF_1[[Fixed/Variable]:[Fixed/Variable]],$D13,Calc_NetworkF_1[[Customer type]:[Customer type]],$F13)</f>
        <v>65.762555105520235</v>
      </c>
      <c r="K13" s="66">
        <f>SUMIFS(Calc_NetworkF_1[United Energy],Calc_NetworkF_1[[Fixed/Variable]:[Fixed/Variable]],$D13,Calc_NetworkF_1[[Customer type]:[Customer type]],$F13)</f>
        <v>46.962287631947568</v>
      </c>
    </row>
    <row r="14" spans="1:11">
      <c r="B14"/>
    </row>
    <row r="15" spans="1:11" ht="15.5">
      <c r="B15"/>
      <c r="C15" s="26" t="s">
        <v>95</v>
      </c>
    </row>
    <row r="16" spans="1:11" ht="15.5" outlineLevel="1">
      <c r="B16"/>
      <c r="C16" s="74" t="s">
        <v>63</v>
      </c>
    </row>
    <row r="17" spans="2:11" outlineLevel="1">
      <c r="B17"/>
      <c r="C17" s="20" t="s">
        <v>96</v>
      </c>
      <c r="D17" s="20" t="s">
        <v>7</v>
      </c>
      <c r="E17" s="20" t="s">
        <v>64</v>
      </c>
      <c r="F17" s="20" t="s">
        <v>65</v>
      </c>
      <c r="G17" s="55">
        <f>SUMIFS(Calc_NetworkF_1[Ausnet],Calc_NetworkF_1[[Cost item]:[Cost item]],$C16,Calc_NetworkF_1[[Customer type]:[Customer type]],$F17)</f>
        <v>132.87190000000001</v>
      </c>
      <c r="H17" s="55">
        <f>SUMIFS(Calc_NetworkF_1[Citipower],Calc_NetworkF_1[[Cost item]:[Cost item]],$C16,Calc_NetworkF_1[[Customer type]:[Customer type]],$F17)</f>
        <v>90.255600000000001</v>
      </c>
      <c r="I17" s="55">
        <f>SUMIFS(Calc_NetworkF_1[Jemena],Calc_NetworkF_1[[Cost item]:[Cost item]],$C16,Calc_NetworkF_1[[Customer type]:[Customer type]],$F17)</f>
        <v>96.846999999999994</v>
      </c>
      <c r="J17" s="55">
        <f>SUMIFS(Calc_NetworkF_1[Powercor],Calc_NetworkF_1[[Cost item]:[Cost item]],$C16,Calc_NetworkF_1[[Customer type]:[Customer type]],$F17)</f>
        <v>140.36100000000002</v>
      </c>
      <c r="K17" s="55">
        <f>SUMIFS(Calc_NetworkF_1[United Energy],Calc_NetworkF_1[[Cost item]:[Cost item]],$C16,Calc_NetworkF_1[[Customer type]:[Customer type]],$F17)</f>
        <v>90.218999999999994</v>
      </c>
    </row>
    <row r="18" spans="2:11" outlineLevel="1">
      <c r="B18"/>
      <c r="C18" s="20" t="s">
        <v>87</v>
      </c>
      <c r="D18" s="20" t="s">
        <v>7</v>
      </c>
      <c r="E18" s="20" t="s">
        <v>64</v>
      </c>
      <c r="F18" s="20" t="s">
        <v>65</v>
      </c>
      <c r="G18" s="66">
        <f>IF(G17=0,"-",SUMIFS(Calc_Fixed_1[Ausnet],Calc_Fixed_1[Customer type],"All")+SUMIFS(Calc_Fixed_1[Ausnet],Calc_Fixed_1[Customer type],$F19))</f>
        <v>284.63229069310796</v>
      </c>
      <c r="H18" s="66">
        <f>IF(H17=0,"-",SUMIFS(Calc_Fixed_1[Citipower],Calc_Fixed_1[[Customer type]:[Customer type]],"All")+SUMIFS(Calc_Fixed_1[Citipower],Calc_Fixed_1[[Customer type]:[Customer type]],$F19))</f>
        <v>272.86754410587389</v>
      </c>
      <c r="I18" s="66">
        <f>IF(I17=0,"-",SUMIFS(Calc_Fixed_1[Jemena],Calc_Fixed_1[[Customer type]:[Customer type]],"All")+SUMIFS(Calc_Fixed_1[Jemena],Calc_Fixed_1[[Customer type]:[Customer type]],$F19))</f>
        <v>263.54599117396162</v>
      </c>
      <c r="J18" s="66">
        <f>IF(J17=0,"-",SUMIFS(Calc_Fixed_1[Powercor],Calc_Fixed_1[[Customer type]:[Customer type]],"All")+SUMIFS(Calc_Fixed_1[Powercor],Calc_Fixed_1[[Customer type]:[Customer type]],$F19))</f>
        <v>269.29620352443811</v>
      </c>
      <c r="K18" s="66">
        <f>IF(K17=0,"-",SUMIFS(Calc_Fixed_1[United Energy],Calc_Fixed_1[[Customer type]:[Customer type]],"All")+SUMIFS(Calc_Fixed_1[United Energy],Calc_Fixed_1[[Customer type]:[Customer type]],$F19))</f>
        <v>250.49593605086542</v>
      </c>
    </row>
    <row r="19" spans="2:11" outlineLevel="1">
      <c r="B19"/>
      <c r="C19" s="20" t="s">
        <v>97</v>
      </c>
      <c r="D19" s="20" t="s">
        <v>7</v>
      </c>
      <c r="E19" s="20" t="s">
        <v>64</v>
      </c>
      <c r="F19" s="20" t="s">
        <v>65</v>
      </c>
      <c r="G19" s="66" cm="1">
        <f t="array" ref="G19">IF(G17=0,"-",(G17+G18)*Calc_ROM_1[Ausnet])</f>
        <v>23.380234678814045</v>
      </c>
      <c r="H19" s="66" cm="1">
        <f t="array" ref="H19">IF(H17=0,"-",(H17+H18)*Calc_ROM_1[Citipower])</f>
        <v>20.334896069928938</v>
      </c>
      <c r="I19" s="66" cm="1">
        <f t="array" ref="I19">IF(I17=0,"-",(I17+I18)*Calc_ROM_1[Jemena])</f>
        <v>20.182007505741851</v>
      </c>
      <c r="J19" s="66" cm="1">
        <f t="array" ref="J19">IF(J17=0,"-",(J17+J18)*Calc_ROM_1[Powercor])</f>
        <v>22.940803397368537</v>
      </c>
      <c r="K19" s="66" cm="1">
        <f t="array" ref="K19">IF(K17=0,"-",(K17+K18)*Calc_ROM_1[United Energy])</f>
        <v>19.080036418848461</v>
      </c>
    </row>
    <row r="20" spans="2:11" outlineLevel="1">
      <c r="B20"/>
      <c r="C20" s="20" t="s">
        <v>98</v>
      </c>
      <c r="D20" s="20" t="s">
        <v>7</v>
      </c>
      <c r="E20" s="20" t="s">
        <v>64</v>
      </c>
      <c r="F20" s="20" t="s">
        <v>65</v>
      </c>
      <c r="G20" s="66">
        <f>IF(G17=0,"-",(G17+G18+G19)*GST)</f>
        <v>44.088442537192201</v>
      </c>
      <c r="H20" s="66">
        <f>IF(H17=0,"-",(H17+H18+H19)*GST)</f>
        <v>38.345804017580285</v>
      </c>
      <c r="I20" s="66">
        <f>IF(I17=0,"-",(I17+I18+I19)*GST)</f>
        <v>38.05749986797035</v>
      </c>
      <c r="J20" s="66">
        <f>IF(J17=0,"-",(J17+J18+J19)*GST)</f>
        <v>43.259800692180676</v>
      </c>
      <c r="K20" s="66">
        <f>IF(K17=0,"-",(K17+K18+K19)*GST)</f>
        <v>35.979497246971384</v>
      </c>
    </row>
    <row r="21" spans="2:11" outlineLevel="1">
      <c r="B21"/>
      <c r="C21" s="20" t="s">
        <v>99</v>
      </c>
      <c r="D21" s="20" t="s">
        <v>7</v>
      </c>
      <c r="E21" s="20" t="s">
        <v>64</v>
      </c>
      <c r="F21" s="20" t="s">
        <v>65</v>
      </c>
      <c r="G21" s="66">
        <f>IF(G17=0,"-",G17+G18+G19+G20)</f>
        <v>484.97286790911414</v>
      </c>
      <c r="H21" s="66">
        <f t="shared" ref="H21:K21" si="0">IF(H17=0,"-",H17+H18+H19+H20)</f>
        <v>421.80384419338316</v>
      </c>
      <c r="I21" s="66">
        <f t="shared" si="0"/>
        <v>418.63249854767383</v>
      </c>
      <c r="J21" s="66">
        <f t="shared" si="0"/>
        <v>475.85780761398735</v>
      </c>
      <c r="K21" s="66">
        <f t="shared" si="0"/>
        <v>395.77446971668525</v>
      </c>
    </row>
    <row r="22" spans="2:11" outlineLevel="1">
      <c r="B22"/>
      <c r="C22" s="20" t="str">
        <f>C16</f>
        <v>Anytime - supply</v>
      </c>
      <c r="D22" s="20" t="s">
        <v>7</v>
      </c>
      <c r="E22" s="20" t="s">
        <v>64</v>
      </c>
      <c r="F22" s="20" t="s">
        <v>65</v>
      </c>
      <c r="G22" s="67">
        <f>IF(G17=0,"-",G21/DiLY)</f>
        <v>1.325062480625995</v>
      </c>
      <c r="H22" s="67">
        <f>IF(H17=0,"-",H21/DiLY)</f>
        <v>1.1524695196540524</v>
      </c>
      <c r="I22" s="67">
        <f>IF(I17=0,"-",I21/DiLY)</f>
        <v>1.1438046408406388</v>
      </c>
      <c r="J22" s="67">
        <f>IF(J17=0,"-",J21/DiLY)</f>
        <v>1.3001579443005118</v>
      </c>
      <c r="K22" s="67">
        <f>IF(K17=0,"-",K21/DiLY)</f>
        <v>1.0813510101548778</v>
      </c>
    </row>
    <row r="23" spans="2:11" outlineLevel="1">
      <c r="B23"/>
      <c r="G23" s="94" cm="1">
        <f t="array" ref="G23">IF(ROUND(G22,8)=ROUND((((
SUMIFS(Calc_NetworkF_1[Ausnet],Calc_NetworkF_1[Cost item],$C16,Calc_NetworkF_1[Customer type],$F17)+
SUMIFS(Calc_Fixed_1[Ausnet],Calc_Fixed_1[Customer type],Calc_Rates!$F22)+SUMIFS(Calc_Fixed_1[Ausnet],Calc_Fixed_1[Customer type],"All"))*(1+Calc_ROM_1[Ausnet]))*(1+GST))/DiLY,8),0,1)</f>
        <v>0</v>
      </c>
      <c r="H23" s="94" cm="1">
        <f t="array" ref="H23">IF(ROUND(H22,8)=ROUND((((
SUMIFS(Calc_NetworkF_1[Citipower],Calc_NetworkF_1[Cost item],$C16,Calc_NetworkF_1[Customer type],$F17)+
SUMIFS(Calc_Fixed_1[Citipower],Calc_Fixed_1[Customer type],Calc_Rates!$F22)+SUMIFS(Calc_Fixed_1[Citipower],Calc_Fixed_1[Customer type],"All"))*(1+Calc_ROM_1[Citipower]))*(1+GST))/DiLY,8),0,1)</f>
        <v>0</v>
      </c>
      <c r="I23" s="94" cm="1">
        <f t="array" ref="I23">IF(ROUND(I22,8)=ROUND((((
SUMIFS(Calc_NetworkF_1[Jemena],Calc_NetworkF_1[Cost item],$C16,Calc_NetworkF_1[Customer type],$F17)+
SUMIFS(Calc_Fixed_1[Jemena],Calc_Fixed_1[Customer type],Calc_Rates!$F22)+SUMIFS(Calc_Fixed_1[Jemena],Calc_Fixed_1[Customer type],"All"))*(1+Calc_ROM_1[Jemena]))*(1+GST))/DiLY,8),0,1)</f>
        <v>0</v>
      </c>
      <c r="J23" s="94" cm="1">
        <f t="array" ref="J23">IF(ROUND(J22,8)=ROUND((((
SUMIFS(Calc_NetworkF_1[Powercor],Calc_NetworkF_1[[Cost item]:[Cost item]],$C16,Calc_NetworkF_1[[Customer type]:[Customer type]],$F17)+
SUMIFS(Calc_Fixed_1[Powercor],Calc_Fixed_1[[Customer type]:[Customer type]],Calc_Rates!$F22)+SUMIFS(Calc_Fixed_1[Powercor],Calc_Fixed_1[[Customer type]:[Customer type]],"All"))*(1+Calc_ROM_1[Powercor]))*(1+GST))/DiLY,8),0,1)</f>
        <v>0</v>
      </c>
      <c r="K23" s="94" cm="1">
        <f t="array" ref="K23">IF(ROUND(K22,8)=ROUND((((
SUMIFS(Calc_NetworkF_1[United Energy],Calc_NetworkF_1[[Cost item]:[Cost item]],$C16,Calc_NetworkF_1[[Customer type]:[Customer type]],$F17)+
SUMIFS(Calc_Fixed_1[United Energy],Calc_Fixed_1[[Customer type]:[Customer type]],Calc_Rates!$F22)+SUMIFS(Calc_Fixed_1[United Energy],Calc_Fixed_1[[Customer type]:[Customer type]],"All"))*(1+Calc_ROM_1[United Energy]))*(1+GST))/DiLY,8),0,1)</f>
        <v>0</v>
      </c>
    </row>
    <row r="24" spans="2:11" ht="15.5" outlineLevel="1">
      <c r="B24"/>
      <c r="C24" s="74" t="s">
        <v>71</v>
      </c>
    </row>
    <row r="25" spans="2:11" outlineLevel="1">
      <c r="B25"/>
      <c r="C25" s="20" t="s">
        <v>96</v>
      </c>
      <c r="D25" s="20" t="s">
        <v>7</v>
      </c>
      <c r="E25" s="20" t="s">
        <v>64</v>
      </c>
      <c r="F25" s="20" t="s">
        <v>65</v>
      </c>
      <c r="G25" s="55">
        <f>SUMIFS(Calc_NetworkF_1[Ausnet],Calc_NetworkF_1[[Cost item]:[Cost item]],$C24,Calc_NetworkF_1[[Customer type]:[Customer type]],$F25)</f>
        <v>132.87190000000001</v>
      </c>
      <c r="H25" s="55">
        <f>SUMIFS(Calc_NetworkF_1[Citipower],Calc_NetworkF_1[[Cost item]:[Cost item]],$C24,Calc_NetworkF_1[[Customer type]:[Customer type]],$F25)</f>
        <v>90.255600000000001</v>
      </c>
      <c r="I25" s="55">
        <f>SUMIFS(Calc_NetworkF_1[Jemena],Calc_NetworkF_1[[Cost item]:[Cost item]],$C24,Calc_NetworkF_1[[Customer type]:[Customer type]],$F25)</f>
        <v>96.846999999999994</v>
      </c>
      <c r="J25" s="55">
        <f>SUMIFS(Calc_NetworkF_1[Powercor],Calc_NetworkF_1[[Cost item]:[Cost item]],$C24,Calc_NetworkF_1[[Customer type]:[Customer type]],$F25)</f>
        <v>140.36100000000002</v>
      </c>
      <c r="K25" s="55">
        <f>SUMIFS(Calc_NetworkF_1[United Energy],Calc_NetworkF_1[[Cost item]:[Cost item]],$C24,Calc_NetworkF_1[[Customer type]:[Customer type]],$F25)</f>
        <v>90.218999999999994</v>
      </c>
    </row>
    <row r="26" spans="2:11" outlineLevel="1">
      <c r="B26"/>
      <c r="C26" s="20" t="s">
        <v>87</v>
      </c>
      <c r="D26" s="20" t="s">
        <v>7</v>
      </c>
      <c r="E26" s="20" t="s">
        <v>64</v>
      </c>
      <c r="F26" s="20" t="s">
        <v>65</v>
      </c>
      <c r="G26" s="66">
        <f>IF(G25=0,"-",SUMIFS(Calc_Fixed_1[Ausnet],Calc_Fixed_1[[Customer type]:[Customer type]],"All")+SUMIFS(Calc_Fixed_1[Ausnet],Calc_Fixed_1[[Customer type]:[Customer type]],$F27))</f>
        <v>284.63229069310796</v>
      </c>
      <c r="H26" s="66">
        <f>IF(H25=0,"-",SUMIFS(Calc_Fixed_1[Citipower],Calc_Fixed_1[[Customer type]:[Customer type]],"All")+SUMIFS(Calc_Fixed_1[Citipower],Calc_Fixed_1[[Customer type]:[Customer type]],$F27))</f>
        <v>272.86754410587389</v>
      </c>
      <c r="I26" s="66">
        <f>IF(I25=0,"-",SUMIFS(Calc_Fixed_1[Jemena],Calc_Fixed_1[[Customer type]:[Customer type]],"All")+SUMIFS(Calc_Fixed_1[Jemena],Calc_Fixed_1[[Customer type]:[Customer type]],$F27))</f>
        <v>263.54599117396162</v>
      </c>
      <c r="J26" s="66">
        <f>IF(J25=0,"-",SUMIFS(Calc_Fixed_1[Powercor],Calc_Fixed_1[[Customer type]:[Customer type]],"All")+SUMIFS(Calc_Fixed_1[Powercor],Calc_Fixed_1[[Customer type]:[Customer type]],$F27))</f>
        <v>269.29620352443811</v>
      </c>
      <c r="K26" s="66">
        <f>IF(K25=0,"-",SUMIFS(Calc_Fixed_1[United Energy],Calc_Fixed_1[[Customer type]:[Customer type]],"All")+SUMIFS(Calc_Fixed_1[United Energy],Calc_Fixed_1[[Customer type]:[Customer type]],$F27))</f>
        <v>250.49593605086542</v>
      </c>
    </row>
    <row r="27" spans="2:11" outlineLevel="1">
      <c r="B27"/>
      <c r="C27" s="20" t="s">
        <v>97</v>
      </c>
      <c r="D27" s="20" t="s">
        <v>7</v>
      </c>
      <c r="E27" s="20" t="s">
        <v>64</v>
      </c>
      <c r="F27" s="20" t="s">
        <v>65</v>
      </c>
      <c r="G27" s="66" cm="1">
        <f t="array" ref="G27">IF(G25=0,"-",(G25+G26)*Calc_ROM_1[Ausnet])</f>
        <v>23.380234678814045</v>
      </c>
      <c r="H27" s="66" cm="1">
        <f t="array" ref="H27">IF(H25=0,"-",(H25+H26)*Calc_ROM_1[Citipower])</f>
        <v>20.334896069928938</v>
      </c>
      <c r="I27" s="66" cm="1">
        <f t="array" ref="I27">IF(I25=0,"-",(I25+I26)*Calc_ROM_1[Jemena])</f>
        <v>20.182007505741851</v>
      </c>
      <c r="J27" s="66" cm="1">
        <f t="array" ref="J27">IF(J25=0,"-",(J25+J26)*Calc_ROM_1[Powercor])</f>
        <v>22.940803397368537</v>
      </c>
      <c r="K27" s="66" cm="1">
        <f t="array" ref="K27">IF(K25=0,"-",(K25+K26)*Calc_ROM_1[United Energy])</f>
        <v>19.080036418848461</v>
      </c>
    </row>
    <row r="28" spans="2:11" outlineLevel="1">
      <c r="B28"/>
      <c r="C28" s="20" t="s">
        <v>98</v>
      </c>
      <c r="D28" s="20" t="s">
        <v>7</v>
      </c>
      <c r="E28" s="20" t="s">
        <v>64</v>
      </c>
      <c r="F28" s="20" t="s">
        <v>65</v>
      </c>
      <c r="G28" s="66">
        <f>IF(G25=0,"-",(G25+G26+G27)*GST)</f>
        <v>44.088442537192201</v>
      </c>
      <c r="H28" s="66">
        <f>IF(H25=0,"-",(H25+H26+H27)*GST)</f>
        <v>38.345804017580285</v>
      </c>
      <c r="I28" s="66">
        <f>IF(I25=0,"-",(I25+I26+I27)*GST)</f>
        <v>38.05749986797035</v>
      </c>
      <c r="J28" s="66">
        <f>IF(J25=0,"-",(J25+J26+J27)*GST)</f>
        <v>43.259800692180676</v>
      </c>
      <c r="K28" s="66">
        <f>IF(K25=0,"-",(K25+K26+K27)*GST)</f>
        <v>35.979497246971384</v>
      </c>
    </row>
    <row r="29" spans="2:11" outlineLevel="1">
      <c r="B29"/>
      <c r="C29" s="20" t="s">
        <v>99</v>
      </c>
      <c r="D29" s="20" t="s">
        <v>7</v>
      </c>
      <c r="E29" s="20" t="s">
        <v>64</v>
      </c>
      <c r="F29" s="20" t="s">
        <v>65</v>
      </c>
      <c r="G29" s="66">
        <f>IF(G25=0,"-",G25+G26+G27+G28)</f>
        <v>484.97286790911414</v>
      </c>
      <c r="H29" s="66">
        <f t="shared" ref="H29" si="1">IF(H25=0,"-",H25+H26+H27+H28)</f>
        <v>421.80384419338316</v>
      </c>
      <c r="I29" s="66">
        <f t="shared" ref="I29" si="2">IF(I25=0,"-",I25+I26+I27+I28)</f>
        <v>418.63249854767383</v>
      </c>
      <c r="J29" s="66">
        <f t="shared" ref="J29" si="3">IF(J25=0,"-",J25+J26+J27+J28)</f>
        <v>475.85780761398735</v>
      </c>
      <c r="K29" s="66">
        <f t="shared" ref="K29" si="4">IF(K25=0,"-",K25+K26+K27+K28)</f>
        <v>395.77446971668525</v>
      </c>
    </row>
    <row r="30" spans="2:11" outlineLevel="1">
      <c r="B30"/>
      <c r="C30" s="20" t="str">
        <f>C24</f>
        <v>TOU - supply</v>
      </c>
      <c r="D30" s="20" t="s">
        <v>7</v>
      </c>
      <c r="E30" s="20" t="s">
        <v>64</v>
      </c>
      <c r="F30" s="20" t="s">
        <v>65</v>
      </c>
      <c r="G30" s="67">
        <f>IF(G25=0,"-",G29/DiLY)</f>
        <v>1.325062480625995</v>
      </c>
      <c r="H30" s="67">
        <f>IF(H25=0,"-",H29/DiLY)</f>
        <v>1.1524695196540524</v>
      </c>
      <c r="I30" s="67">
        <f>IF(I25=0,"-",I29/DiLY)</f>
        <v>1.1438046408406388</v>
      </c>
      <c r="J30" s="67">
        <f>IF(J25=0,"-",J29/DiLY)</f>
        <v>1.3001579443005118</v>
      </c>
      <c r="K30" s="67">
        <f>IF(K25=0,"-",K29/DiLY)</f>
        <v>1.0813510101548778</v>
      </c>
    </row>
    <row r="31" spans="2:11" outlineLevel="1">
      <c r="B31"/>
      <c r="G31" s="94" cm="1">
        <f t="array" ref="G31">IF(ROUND(G30,8)=ROUND((((
SUMIFS(Calc_NetworkF_1[Ausnet],Calc_NetworkF_1[Cost item],$C24,Calc_NetworkF_1[Customer type],$F25)+
SUMIFS(Calc_Fixed_1[Ausnet],Calc_Fixed_1[Customer type],Calc_Rates!$F30)+SUMIFS(Calc_Fixed_1[Ausnet],Calc_Fixed_1[Customer type],"All"))*(1+Calc_ROM_1[Ausnet]))*(1+GST))/DiLY,8),0,1)</f>
        <v>0</v>
      </c>
      <c r="H31" s="94" cm="1">
        <f t="array" ref="H31">IF(ROUND(H30,8)=ROUND((((
SUMIFS(Calc_NetworkF_1[Citipower],Calc_NetworkF_1[Cost item],$C24,Calc_NetworkF_1[Customer type],$F25)+
SUMIFS(Calc_Fixed_1[Citipower],Calc_Fixed_1[Customer type],Calc_Rates!$F30)+SUMIFS(Calc_Fixed_1[Citipower],Calc_Fixed_1[Customer type],"All"))*(1+Calc_ROM_1[Citipower]))*(1+GST))/DiLY,8),0,1)</f>
        <v>0</v>
      </c>
      <c r="I31" s="94" cm="1">
        <f t="array" ref="I31">IF(ROUND(I30,8)=ROUND((((
SUMIFS(Calc_NetworkF_1[Jemena],Calc_NetworkF_1[Cost item],$C24,Calc_NetworkF_1[Customer type],$F25)+
SUMIFS(Calc_Fixed_1[Jemena],Calc_Fixed_1[Customer type],Calc_Rates!$F30)+SUMIFS(Calc_Fixed_1[Jemena],Calc_Fixed_1[Customer type],"All"))*(1+Calc_ROM_1[Jemena]))*(1+GST))/DiLY,8),0,1)</f>
        <v>0</v>
      </c>
      <c r="J31" s="94" cm="1">
        <f t="array" ref="J31">IF(ROUND(J30,8)=ROUND((((
SUMIFS(Calc_NetworkF_1[Powercor],Calc_NetworkF_1[[Cost item]:[Cost item]],$C24,Calc_NetworkF_1[[Customer type]:[Customer type]],$F25)+
SUMIFS(Calc_Fixed_1[Powercor],Calc_Fixed_1[[Customer type]:[Customer type]],Calc_Rates!$F30)+SUMIFS(Calc_Fixed_1[Powercor],Calc_Fixed_1[[Customer type]:[Customer type]],"All"))*(1+Calc_ROM_1[Powercor]))*(1+GST))/DiLY,8),0,1)</f>
        <v>0</v>
      </c>
      <c r="K31" s="94" cm="1">
        <f t="array" ref="K31">IF(ROUND(K30,8)=ROUND((((
SUMIFS(Calc_NetworkF_1[United Energy],Calc_NetworkF_1[[Cost item]:[Cost item]],$C24,Calc_NetworkF_1[[Customer type]:[Customer type]],$F25)+
SUMIFS(Calc_Fixed_1[United Energy],Calc_Fixed_1[[Customer type]:[Customer type]],Calc_Rates!$F30)+SUMIFS(Calc_Fixed_1[United Energy],Calc_Fixed_1[[Customer type]:[Customer type]],"All"))*(1+Calc_ROM_1[United Energy]))*(1+GST))/DiLY,8),0,1)</f>
        <v>0</v>
      </c>
    </row>
    <row r="32" spans="2:11" ht="15.5">
      <c r="B32"/>
      <c r="C32" s="26" t="s">
        <v>100</v>
      </c>
    </row>
    <row r="33" spans="2:11" ht="15.5" outlineLevel="1">
      <c r="B33"/>
      <c r="C33" s="74" t="s">
        <v>63</v>
      </c>
    </row>
    <row r="34" spans="2:11" outlineLevel="1">
      <c r="B34"/>
      <c r="C34" s="20" t="s">
        <v>96</v>
      </c>
      <c r="D34" s="20" t="s">
        <v>7</v>
      </c>
      <c r="E34" s="20" t="s">
        <v>64</v>
      </c>
      <c r="F34" s="20" t="s">
        <v>66</v>
      </c>
      <c r="G34" s="55">
        <f>SUMIFS(Calc_NetworkF_1[Ausnet],Calc_NetworkF_1[[Cost item]:[Cost item]],$C33,Calc_NetworkF_1[[Customer type]:[Customer type]],$F34)</f>
        <v>132.87190000000001</v>
      </c>
      <c r="H34" s="55">
        <f>SUMIFS(Calc_NetworkF_1[Citipower],Calc_NetworkF_1[[Cost item]:[Cost item]],$C33,Calc_NetworkF_1[[Customer type]:[Customer type]],$F34)</f>
        <v>150.42600000000002</v>
      </c>
      <c r="I34" s="55">
        <f>SUMIFS(Calc_NetworkF_1[Jemena],Calc_NetworkF_1[[Cost item]:[Cost item]],$C33,Calc_NetworkF_1[[Customer type]:[Customer type]],$F34)</f>
        <v>147.858</v>
      </c>
      <c r="J34" s="55">
        <f>SUMIFS(Calc_NetworkF_1[Powercor],Calc_NetworkF_1[[Cost item]:[Cost item]],$C33,Calc_NetworkF_1[[Customer type]:[Customer type]],$F34)</f>
        <v>180.47460000000001</v>
      </c>
      <c r="K34" s="55">
        <f>SUMIFS(Calc_NetworkF_1[United Energy],Calc_NetworkF_1[[Cost item]:[Cost item]],$C33,Calc_NetworkF_1[[Customer type]:[Customer type]],$F34)</f>
        <v>140.36100000000002</v>
      </c>
    </row>
    <row r="35" spans="2:11" outlineLevel="1">
      <c r="B35"/>
      <c r="C35" s="20" t="s">
        <v>87</v>
      </c>
      <c r="D35" s="20" t="s">
        <v>7</v>
      </c>
      <c r="E35" s="20" t="s">
        <v>64</v>
      </c>
      <c r="F35" s="20" t="s">
        <v>66</v>
      </c>
      <c r="G35" s="66">
        <f>IF(G34=0,"-",SUMIFS(Calc_Fixed_1[Ausnet],Calc_Fixed_1[[Customer type]:[Customer type]],"All")+SUMIFS(Calc_Fixed_1[Ausnet],Calc_Fixed_1[[Customer type]:[Customer type]],$F36))</f>
        <v>284.63229069310796</v>
      </c>
      <c r="H35" s="66">
        <f>IF(H34=0,"-",SUMIFS(Calc_Fixed_1[Citipower],Calc_Fixed_1[[Customer type]:[Customer type]],"All")+SUMIFS(Calc_Fixed_1[Citipower],Calc_Fixed_1[[Customer type]:[Customer type]],$F36))</f>
        <v>272.86754410587389</v>
      </c>
      <c r="I35" s="66">
        <f>IF(I34=0,"-",SUMIFS(Calc_Fixed_1[Jemena],Calc_Fixed_1[[Customer type]:[Customer type]],"All")+SUMIFS(Calc_Fixed_1[Jemena],Calc_Fixed_1[[Customer type]:[Customer type]],$F36))</f>
        <v>263.54599117396162</v>
      </c>
      <c r="J35" s="66">
        <f>IF(J34=0,"-",SUMIFS(Calc_Fixed_1[Powercor],Calc_Fixed_1[[Customer type]:[Customer type]],"All")+SUMIFS(Calc_Fixed_1[Powercor],Calc_Fixed_1[[Customer type]:[Customer type]],$F36))</f>
        <v>269.29620352443811</v>
      </c>
      <c r="K35" s="66">
        <f>IF(K34=0,"-",SUMIFS(Calc_Fixed_1[United Energy],Calc_Fixed_1[[Customer type]:[Customer type]],"All")+SUMIFS(Calc_Fixed_1[United Energy],Calc_Fixed_1[[Customer type]:[Customer type]],$F36))</f>
        <v>250.49593605086542</v>
      </c>
    </row>
    <row r="36" spans="2:11" outlineLevel="1">
      <c r="B36"/>
      <c r="C36" s="20" t="s">
        <v>97</v>
      </c>
      <c r="D36" s="20" t="s">
        <v>7</v>
      </c>
      <c r="E36" s="20" t="s">
        <v>64</v>
      </c>
      <c r="F36" s="20" t="s">
        <v>66</v>
      </c>
      <c r="G36" s="66" cm="1">
        <f t="array" ref="G36">IF(G34=0,"-",(G34+G35)*Calc_ROM_1[Ausnet])</f>
        <v>23.380234678814045</v>
      </c>
      <c r="H36" s="66" cm="1">
        <f t="array" ref="H36">IF(H34=0,"-",(H34+H35)*Calc_ROM_1[Citipower])</f>
        <v>23.704438469928942</v>
      </c>
      <c r="I36" s="66" cm="1">
        <f t="array" ref="I36">IF(I34=0,"-",(I34+I35)*Calc_ROM_1[Jemena])</f>
        <v>23.038623505741853</v>
      </c>
      <c r="J36" s="66" cm="1">
        <f t="array" ref="J36">IF(J34=0,"-",(J34+J35)*Calc_ROM_1[Powercor])</f>
        <v>25.187164997368534</v>
      </c>
      <c r="K36" s="66" cm="1">
        <f t="array" ref="K36">IF(K34=0,"-",(K34+K35)*Calc_ROM_1[United Energy])</f>
        <v>21.887988418848465</v>
      </c>
    </row>
    <row r="37" spans="2:11" outlineLevel="1">
      <c r="B37"/>
      <c r="C37" s="20" t="s">
        <v>98</v>
      </c>
      <c r="D37" s="20" t="s">
        <v>7</v>
      </c>
      <c r="E37" s="20" t="s">
        <v>64</v>
      </c>
      <c r="F37" s="20" t="s">
        <v>66</v>
      </c>
      <c r="G37" s="66">
        <f>IF(G34=0,"-",(G34+G35+G36)*GST)</f>
        <v>44.088442537192201</v>
      </c>
      <c r="H37" s="66">
        <f>IF(H34=0,"-",(H34+H35+H36)*GST)</f>
        <v>44.699798257580291</v>
      </c>
      <c r="I37" s="66">
        <f>IF(I34=0,"-",(I34+I35+I36)*GST)</f>
        <v>43.44426146797035</v>
      </c>
      <c r="J37" s="66">
        <f>IF(J34=0,"-",(J34+J35+J36)*GST)</f>
        <v>47.495796852180668</v>
      </c>
      <c r="K37" s="66">
        <f>IF(K34=0,"-",(K34+K35+K36)*GST)</f>
        <v>41.274492446971394</v>
      </c>
    </row>
    <row r="38" spans="2:11" outlineLevel="1">
      <c r="B38"/>
      <c r="C38" s="20" t="s">
        <v>99</v>
      </c>
      <c r="D38" s="20" t="s">
        <v>7</v>
      </c>
      <c r="E38" s="20" t="s">
        <v>64</v>
      </c>
      <c r="F38" s="20" t="s">
        <v>66</v>
      </c>
      <c r="G38" s="66">
        <f>IF(G34=0,"-",G34+G35+G36+G37)</f>
        <v>484.97286790911414</v>
      </c>
      <c r="H38" s="66">
        <f t="shared" ref="H38" si="5">IF(H34=0,"-",H34+H35+H36+H37)</f>
        <v>491.69778083338321</v>
      </c>
      <c r="I38" s="66">
        <f t="shared" ref="I38" si="6">IF(I34=0,"-",I34+I35+I36+I37)</f>
        <v>477.88687614767383</v>
      </c>
      <c r="J38" s="66">
        <f t="shared" ref="J38" si="7">IF(J34=0,"-",J34+J35+J36+J37)</f>
        <v>522.45376537398738</v>
      </c>
      <c r="K38" s="66">
        <f t="shared" ref="K38" si="8">IF(K34=0,"-",K34+K35+K36+K37)</f>
        <v>454.01941691668532</v>
      </c>
    </row>
    <row r="39" spans="2:11" outlineLevel="1">
      <c r="B39"/>
      <c r="C39" s="20" t="str">
        <f>C33</f>
        <v>Anytime - supply</v>
      </c>
      <c r="D39" s="20" t="s">
        <v>7</v>
      </c>
      <c r="E39" s="20" t="s">
        <v>64</v>
      </c>
      <c r="F39" s="20" t="s">
        <v>66</v>
      </c>
      <c r="G39" s="67">
        <f>IF(G34=0,"-",G38/DiLY)</f>
        <v>1.325062480625995</v>
      </c>
      <c r="H39" s="67">
        <f>IF(H34=0,"-",H38/DiLY)</f>
        <v>1.3434365596540525</v>
      </c>
      <c r="I39" s="67">
        <f>IF(I34=0,"-",I38/DiLY)</f>
        <v>1.305701847398016</v>
      </c>
      <c r="J39" s="67">
        <f>IF(J34=0,"-",J38/DiLY)</f>
        <v>1.427469304300512</v>
      </c>
      <c r="K39" s="67">
        <f>IF(K34=0,"-",K38/DiLY)</f>
        <v>1.2404902101548778</v>
      </c>
    </row>
    <row r="40" spans="2:11" outlineLevel="1">
      <c r="B40"/>
      <c r="G40" s="94" cm="1">
        <f t="array" ref="G40">IF(ROUND(G39,8)=ROUND((((
SUMIFS(Calc_NetworkF_1[Ausnet],Calc_NetworkF_1[Cost item],$C33,Calc_NetworkF_1[Customer type],$F34)+
SUMIFS(Calc_Fixed_1[Ausnet],Calc_Fixed_1[Customer type],Calc_Rates!$F39)+SUMIFS(Calc_Fixed_1[Ausnet],Calc_Fixed_1[Customer type],"All"))*(1+Calc_ROM_1[Ausnet]))*(1+GST))/DiLY,8),0,1)</f>
        <v>0</v>
      </c>
      <c r="H40" s="94" cm="1">
        <f t="array" ref="H40">IF(ROUND(H39,8)=ROUND((((
SUMIFS(Calc_NetworkF_1[Citipower],Calc_NetworkF_1[Cost item],$C33,Calc_NetworkF_1[Customer type],$F34)+
SUMIFS(Calc_Fixed_1[Citipower],Calc_Fixed_1[Customer type],Calc_Rates!$F39)+SUMIFS(Calc_Fixed_1[Citipower],Calc_Fixed_1[Customer type],"All"))*(1+Calc_ROM_1[Citipower]))*(1+GST))/DiLY,8),0,1)</f>
        <v>0</v>
      </c>
      <c r="I40" s="94" cm="1">
        <f t="array" ref="I40">IF(ROUND(I39,8)=ROUND((((
SUMIFS(Calc_NetworkF_1[Jemena],Calc_NetworkF_1[Cost item],$C33,Calc_NetworkF_1[Customer type],$F34)+
SUMIFS(Calc_Fixed_1[Jemena],Calc_Fixed_1[Customer type],Calc_Rates!$F39)+SUMIFS(Calc_Fixed_1[Jemena],Calc_Fixed_1[Customer type],"All"))*(1+Calc_ROM_1[Jemena]))*(1+GST))/DiLY,8),0,1)</f>
        <v>0</v>
      </c>
      <c r="J40" s="94" cm="1">
        <f t="array" ref="J40">IF(ROUND(J39,8)=ROUND((((
SUMIFS(Calc_NetworkF_1[Powercor],Calc_NetworkF_1[[Cost item]:[Cost item]],$C33,Calc_NetworkF_1[[Customer type]:[Customer type]],$F34)+
SUMIFS(Calc_Fixed_1[Powercor],Calc_Fixed_1[[Customer type]:[Customer type]],Calc_Rates!$F39)+SUMIFS(Calc_Fixed_1[Powercor],Calc_Fixed_1[[Customer type]:[Customer type]],"All"))*(1+Calc_ROM_1[Powercor]))*(1+GST))/DiLY,8),0,1)</f>
        <v>0</v>
      </c>
      <c r="K40" s="94" cm="1">
        <f t="array" ref="K40">IF(ROUND(K39,8)=ROUND((((
SUMIFS(Calc_NetworkF_1[United Energy],Calc_NetworkF_1[[Cost item]:[Cost item]],$C33,Calc_NetworkF_1[[Customer type]:[Customer type]],$F34)+
SUMIFS(Calc_Fixed_1[United Energy],Calc_Fixed_1[[Customer type]:[Customer type]],Calc_Rates!$F39)+SUMIFS(Calc_Fixed_1[United Energy],Calc_Fixed_1[[Customer type]:[Customer type]],"All"))*(1+Calc_ROM_1[United Energy]))*(1+GST))/DiLY,8),0,1)</f>
        <v>0</v>
      </c>
    </row>
    <row r="41" spans="2:11" ht="15.5" outlineLevel="1">
      <c r="B41"/>
      <c r="C41" s="74" t="s">
        <v>71</v>
      </c>
    </row>
    <row r="42" spans="2:11" outlineLevel="1">
      <c r="B42"/>
      <c r="C42" s="20" t="s">
        <v>96</v>
      </c>
      <c r="D42" s="20" t="s">
        <v>7</v>
      </c>
      <c r="E42" s="20" t="s">
        <v>64</v>
      </c>
      <c r="F42" s="20" t="s">
        <v>66</v>
      </c>
      <c r="G42" s="55">
        <f>SUMIFS(Calc_NetworkF_1[Ausnet],Calc_NetworkF_1[[Cost item]:[Cost item]],$C41,Calc_NetworkF_1[[Customer type]:[Customer type]],$F42)</f>
        <v>132.87190000000001</v>
      </c>
      <c r="H42" s="55">
        <f>SUMIFS(Calc_NetworkF_1[Citipower],Calc_NetworkF_1[[Cost item]:[Cost item]],$C41,Calc_NetworkF_1[[Customer type]:[Customer type]],$F42)</f>
        <v>150.42600000000002</v>
      </c>
      <c r="I42" s="55">
        <f>SUMIFS(Calc_NetworkF_1[Jemena],Calc_NetworkF_1[[Cost item]:[Cost item]],$C41,Calc_NetworkF_1[[Customer type]:[Customer type]],$F42)</f>
        <v>265.79300000000001</v>
      </c>
      <c r="J42" s="55">
        <f>SUMIFS(Calc_NetworkF_1[Powercor],Calc_NetworkF_1[[Cost item]:[Cost item]],$C41,Calc_NetworkF_1[[Customer type]:[Customer type]],$F42)</f>
        <v>180.47460000000001</v>
      </c>
      <c r="K42" s="55">
        <f>SUMIFS(Calc_NetworkF_1[United Energy],Calc_NetworkF_1[[Cost item]:[Cost item]],$C41,Calc_NetworkF_1[[Customer type]:[Customer type]],$F42)</f>
        <v>140.36100000000002</v>
      </c>
    </row>
    <row r="43" spans="2:11" outlineLevel="1">
      <c r="B43"/>
      <c r="C43" s="20" t="s">
        <v>87</v>
      </c>
      <c r="D43" s="20" t="s">
        <v>7</v>
      </c>
      <c r="E43" s="20" t="s">
        <v>64</v>
      </c>
      <c r="F43" s="20" t="s">
        <v>66</v>
      </c>
      <c r="G43" s="66">
        <f>IF(G42=0,"-",SUMIFS(Calc_Fixed_1[Ausnet],Calc_Fixed_1[[Customer type]:[Customer type]],"All")+SUMIFS(Calc_Fixed_1[Ausnet],Calc_Fixed_1[[Customer type]:[Customer type]],$F44))</f>
        <v>284.63229069310796</v>
      </c>
      <c r="H43" s="66">
        <f>IF(H42=0,"-",SUMIFS(Calc_Fixed_1[Citipower],Calc_Fixed_1[[Customer type]:[Customer type]],"All")+SUMIFS(Calc_Fixed_1[Citipower],Calc_Fixed_1[[Customer type]:[Customer type]],$F44))</f>
        <v>272.86754410587389</v>
      </c>
      <c r="I43" s="66">
        <f>IF(I42=0,"-",SUMIFS(Calc_Fixed_1[Jemena],Calc_Fixed_1[[Customer type]:[Customer type]],"All")+SUMIFS(Calc_Fixed_1[Jemena],Calc_Fixed_1[[Customer type]:[Customer type]],$F44))</f>
        <v>263.54599117396162</v>
      </c>
      <c r="J43" s="66">
        <f>IF(J42=0,"-",SUMIFS(Calc_Fixed_1[Powercor],Calc_Fixed_1[[Customer type]:[Customer type]],"All")+SUMIFS(Calc_Fixed_1[Powercor],Calc_Fixed_1[[Customer type]:[Customer type]],$F44))</f>
        <v>269.29620352443811</v>
      </c>
      <c r="K43" s="66">
        <f>IF(K42=0,"-",SUMIFS(Calc_Fixed_1[United Energy],Calc_Fixed_1[[Customer type]:[Customer type]],"All")+SUMIFS(Calc_Fixed_1[United Energy],Calc_Fixed_1[[Customer type]:[Customer type]],$F44))</f>
        <v>250.49593605086542</v>
      </c>
    </row>
    <row r="44" spans="2:11" outlineLevel="1">
      <c r="B44"/>
      <c r="C44" s="20" t="s">
        <v>97</v>
      </c>
      <c r="D44" s="20" t="s">
        <v>7</v>
      </c>
      <c r="E44" s="20" t="s">
        <v>64</v>
      </c>
      <c r="F44" s="20" t="s">
        <v>66</v>
      </c>
      <c r="G44" s="66" cm="1">
        <f t="array" ref="G44">IF(G42=0,"-",(G42+G43)*Calc_ROM_1[Ausnet])</f>
        <v>23.380234678814045</v>
      </c>
      <c r="H44" s="66" cm="1">
        <f t="array" ref="H44">IF(H42=0,"-",(H42+H43)*Calc_ROM_1[Citipower])</f>
        <v>23.704438469928942</v>
      </c>
      <c r="I44" s="66" cm="1">
        <f t="array" ref="I44">IF(I42=0,"-",(I42+I43)*Calc_ROM_1[Jemena])</f>
        <v>29.642983505741853</v>
      </c>
      <c r="J44" s="66" cm="1">
        <f t="array" ref="J44">IF(J42=0,"-",(J42+J43)*Calc_ROM_1[Powercor])</f>
        <v>25.187164997368534</v>
      </c>
      <c r="K44" s="66" cm="1">
        <f t="array" ref="K44">IF(K42=0,"-",(K42+K43)*Calc_ROM_1[United Energy])</f>
        <v>21.887988418848465</v>
      </c>
    </row>
    <row r="45" spans="2:11" outlineLevel="1">
      <c r="B45"/>
      <c r="C45" s="20" t="s">
        <v>98</v>
      </c>
      <c r="D45" s="20" t="s">
        <v>7</v>
      </c>
      <c r="E45" s="20" t="s">
        <v>64</v>
      </c>
      <c r="F45" s="20" t="s">
        <v>66</v>
      </c>
      <c r="G45" s="66">
        <f>IF(G42=0,"-",(G42+G43+G44)*GST)</f>
        <v>44.088442537192201</v>
      </c>
      <c r="H45" s="66">
        <f>IF(H42=0,"-",(H42+H43+H44)*GST)</f>
        <v>44.699798257580291</v>
      </c>
      <c r="I45" s="66">
        <f>IF(I42=0,"-",(I42+I43+I44)*GST)</f>
        <v>55.898197467970355</v>
      </c>
      <c r="J45" s="66">
        <f>IF(J42=0,"-",(J42+J43+J44)*GST)</f>
        <v>47.495796852180668</v>
      </c>
      <c r="K45" s="66">
        <f>IF(K42=0,"-",(K42+K43+K44)*GST)</f>
        <v>41.274492446971394</v>
      </c>
    </row>
    <row r="46" spans="2:11" outlineLevel="1">
      <c r="B46"/>
      <c r="C46" s="20" t="s">
        <v>99</v>
      </c>
      <c r="D46" s="20" t="s">
        <v>7</v>
      </c>
      <c r="E46" s="20" t="s">
        <v>64</v>
      </c>
      <c r="F46" s="20" t="s">
        <v>66</v>
      </c>
      <c r="G46" s="66">
        <f>IF(G42=0,"-",G42+G43+G44+G45)</f>
        <v>484.97286790911414</v>
      </c>
      <c r="H46" s="66">
        <f t="shared" ref="H46" si="9">IF(H42=0,"-",H42+H43+H44+H45)</f>
        <v>491.69778083338321</v>
      </c>
      <c r="I46" s="66">
        <f t="shared" ref="I46" si="10">IF(I42=0,"-",I42+I43+I44+I45)</f>
        <v>614.88017214767387</v>
      </c>
      <c r="J46" s="66">
        <f t="shared" ref="J46" si="11">IF(J42=0,"-",J42+J43+J44+J45)</f>
        <v>522.45376537398738</v>
      </c>
      <c r="K46" s="66">
        <f t="shared" ref="K46" si="12">IF(K42=0,"-",K42+K43+K44+K45)</f>
        <v>454.01941691668532</v>
      </c>
    </row>
    <row r="47" spans="2:11" outlineLevel="1">
      <c r="B47"/>
      <c r="C47" s="20" t="str">
        <f>C41</f>
        <v>TOU - supply</v>
      </c>
      <c r="D47" s="20" t="s">
        <v>7</v>
      </c>
      <c r="E47" s="20" t="s">
        <v>64</v>
      </c>
      <c r="F47" s="20" t="s">
        <v>66</v>
      </c>
      <c r="G47" s="67">
        <f>IF(G42=0,"-",G46/DiLY)</f>
        <v>1.325062480625995</v>
      </c>
      <c r="H47" s="67">
        <f>IF(H42=0,"-",H46/DiLY)</f>
        <v>1.3434365596540525</v>
      </c>
      <c r="I47" s="67">
        <f>IF(I42=0,"-",I46/DiLY)</f>
        <v>1.6800004703488358</v>
      </c>
      <c r="J47" s="67">
        <f>IF(J42=0,"-",J46/DiLY)</f>
        <v>1.427469304300512</v>
      </c>
      <c r="K47" s="67">
        <f>IF(K42=0,"-",K46/DiLY)</f>
        <v>1.2404902101548778</v>
      </c>
    </row>
    <row r="48" spans="2:11" outlineLevel="1">
      <c r="B48"/>
      <c r="G48" s="94" cm="1">
        <f t="array" ref="G48">IF(ROUND(G47,8)=ROUND((((
SUMIFS(Calc_NetworkF_1[Ausnet],Calc_NetworkF_1[Cost item],$C41,Calc_NetworkF_1[Customer type],$F42)+
SUMIFS(Calc_Fixed_1[Ausnet],Calc_Fixed_1[Customer type],Calc_Rates!$F47)+SUMIFS(Calc_Fixed_1[Ausnet],Calc_Fixed_1[Customer type],"All"))*(1+Calc_ROM_1[Ausnet]))*(1+GST))/DiLY,8),0,1)</f>
        <v>0</v>
      </c>
      <c r="H48" s="94" cm="1">
        <f t="array" ref="H48">IF(ROUND(H47,8)=ROUND((((
SUMIFS(Calc_NetworkF_1[Citipower],Calc_NetworkF_1[Cost item],$C41,Calc_NetworkF_1[Customer type],$F42)+
SUMIFS(Calc_Fixed_1[Citipower],Calc_Fixed_1[Customer type],Calc_Rates!$F47)+SUMIFS(Calc_Fixed_1[Citipower],Calc_Fixed_1[Customer type],"All"))*(1+Calc_ROM_1[Citipower]))*(1+GST))/DiLY,8),0,1)</f>
        <v>0</v>
      </c>
      <c r="I48" s="94" cm="1">
        <f t="array" ref="I48">IF(ROUND(I47,8)=ROUND((((
SUMIFS(Calc_NetworkF_1[Jemena],Calc_NetworkF_1[Cost item],$C41,Calc_NetworkF_1[Customer type],$F42)+
SUMIFS(Calc_Fixed_1[Jemena],Calc_Fixed_1[Customer type],Calc_Rates!$F47)+SUMIFS(Calc_Fixed_1[Jemena],Calc_Fixed_1[Customer type],"All"))*(1+Calc_ROM_1[Jemena]))*(1+GST))/DiLY,8),0,1)</f>
        <v>0</v>
      </c>
      <c r="J48" s="94" cm="1">
        <f t="array" ref="J48">IF(ROUND(J47,8)=ROUND((((
SUMIFS(Calc_NetworkF_1[Powercor],Calc_NetworkF_1[[Cost item]:[Cost item]],$C41,Calc_NetworkF_1[[Customer type]:[Customer type]],$F42)+
SUMIFS(Calc_Fixed_1[Powercor],Calc_Fixed_1[[Customer type]:[Customer type]],Calc_Rates!$F47)+SUMIFS(Calc_Fixed_1[Powercor],Calc_Fixed_1[[Customer type]:[Customer type]],"All"))*(1+Calc_ROM_1[Powercor]))*(1+GST))/DiLY,8),0,1)</f>
        <v>0</v>
      </c>
      <c r="K48" s="94" cm="1">
        <f t="array" ref="K48">IF(ROUND(K47,8)=ROUND((((
SUMIFS(Calc_NetworkF_1[United Energy],Calc_NetworkF_1[[Cost item]:[Cost item]],$C41,Calc_NetworkF_1[[Customer type]:[Customer type]],$F42)+
SUMIFS(Calc_Fixed_1[United Energy],Calc_Fixed_1[[Customer type]:[Customer type]],Calc_Rates!$F47)+SUMIFS(Calc_Fixed_1[United Energy],Calc_Fixed_1[[Customer type]:[Customer type]],"All"))*(1+Calc_ROM_1[United Energy]))*(1+GST))/DiLY,8),0,1)</f>
        <v>0</v>
      </c>
    </row>
    <row r="49" spans="2:14">
      <c r="B49"/>
    </row>
    <row r="50" spans="2:14" ht="15.5">
      <c r="B50"/>
      <c r="C50" s="39" t="s">
        <v>101</v>
      </c>
      <c r="D50" s="39" t="s">
        <v>88</v>
      </c>
      <c r="E50" s="39" t="s">
        <v>56</v>
      </c>
      <c r="F50" s="39" t="s">
        <v>57</v>
      </c>
      <c r="G50" s="54" t="s">
        <v>58</v>
      </c>
      <c r="H50" s="54" t="s">
        <v>59</v>
      </c>
      <c r="I50" s="54" t="s">
        <v>60</v>
      </c>
      <c r="J50" s="54" t="s">
        <v>61</v>
      </c>
      <c r="K50" s="54" t="s">
        <v>62</v>
      </c>
      <c r="M50" s="71"/>
    </row>
    <row r="51" spans="2:14">
      <c r="B51"/>
      <c r="C51" s="20" t="s">
        <v>102</v>
      </c>
      <c r="D51" s="20" t="s">
        <v>103</v>
      </c>
      <c r="E51" s="20" t="s">
        <v>68</v>
      </c>
      <c r="F51" s="20" t="s">
        <v>91</v>
      </c>
      <c r="G51" s="73">
        <f>SUMIFS(Calc_EnviroVEU_1[Ausnet],Calc_EnviroVEU_1[[Fixed/Variable]:[Fixed/Variable]],$D51,Calc_EnviroVEU_1[[Customer type]:[Customer type]],$F51,Calc_EnviroVEU_1[[Cost item]:[Cost item]],"VEU cost")+
SUMIFS(Calc_EnviroLRET_1[Ausnet],Calc_EnviroLRET_1[[Fixed/Variable]:[Fixed/Variable]],$D51,Calc_EnviroLRET_1[[Customer type]:[Customer type]],$F51,Calc_EnviroLRET_1[[Cost item]:[Cost item]],"LRET cost")+
SUMIFS(Calc_EnviroSRES_1[Ausnet],Calc_EnviroSRES_1[[Fixed/Variable]:[Fixed/Variable]],$D51,Calc_EnviroSRES_1[[Customer type]:[Customer type]],$F51,Calc_EnviroSRES_1[[Cost item]:[Cost item]],"SRES cost")</f>
        <v>2.843221042152444E-2</v>
      </c>
      <c r="H51" s="73">
        <f>SUMIFS(Calc_EnviroVEU_1[Citipower],Calc_EnviroVEU_1[[Fixed/Variable]:[Fixed/Variable]],$D51,Calc_EnviroVEU_1[[Customer type]:[Customer type]],$F51,Calc_EnviroVEU_1[[Cost item]:[Cost item]],"VEU cost")+
SUMIFS(Calc_EnviroLRET_1[Citipower],Calc_EnviroLRET_1[[Fixed/Variable]:[Fixed/Variable]],$D51,Calc_EnviroLRET_1[[Customer type]:[Customer type]],$F51,Calc_EnviroLRET_1[[Cost item]:[Cost item]],"LRET cost")+
SUMIFS(Calc_EnviroSRES_1[Citipower],Calc_EnviroSRES_1[[Fixed/Variable]:[Fixed/Variable]],$D51,Calc_EnviroSRES_1[[Customer type]:[Customer type]],$F51,Calc_EnviroSRES_1[[Cost item]:[Cost item]],"SRES cost")</f>
        <v>2.843221042152444E-2</v>
      </c>
      <c r="I51" s="73">
        <f>SUMIFS(Calc_EnviroVEU_1[Jemena],Calc_EnviroVEU_1[[Fixed/Variable]:[Fixed/Variable]],$D51,Calc_EnviroVEU_1[[Customer type]:[Customer type]],$F51,Calc_EnviroVEU_1[[Cost item]:[Cost item]],"VEU cost")+
SUMIFS(Calc_EnviroLRET_1[Jemena],Calc_EnviroLRET_1[[Fixed/Variable]:[Fixed/Variable]],$D51,Calc_EnviroLRET_1[[Customer type]:[Customer type]],$F51,Calc_EnviroLRET_1[[Cost item]:[Cost item]],"LRET cost")+
SUMIFS(Calc_EnviroSRES_1[Jemena],Calc_EnviroSRES_1[[Fixed/Variable]:[Fixed/Variable]],$D51,Calc_EnviroSRES_1[[Customer type]:[Customer type]],$F51,Calc_EnviroSRES_1[[Cost item]:[Cost item]],"SRES cost")</f>
        <v>2.843221042152444E-2</v>
      </c>
      <c r="J51" s="73">
        <f>SUMIFS(Calc_EnviroVEU_1[Powercor],Calc_EnviroVEU_1[[Fixed/Variable]:[Fixed/Variable]],$D51,Calc_EnviroVEU_1[[Customer type]:[Customer type]],$F51,Calc_EnviroVEU_1[[Cost item]:[Cost item]],"VEU cost")+
SUMIFS(Calc_EnviroLRET_1[Powercor],Calc_EnviroLRET_1[[Fixed/Variable]:[Fixed/Variable]],$D51,Calc_EnviroLRET_1[[Customer type]:[Customer type]],$F51,Calc_EnviroLRET_1[[Cost item]:[Cost item]],"LRET cost")+
SUMIFS(Calc_EnviroSRES_1[Powercor],Calc_EnviroSRES_1[[Fixed/Variable]:[Fixed/Variable]],$D51,Calc_EnviroSRES_1[[Customer type]:[Customer type]],$F51,Calc_EnviroSRES_1[[Cost item]:[Cost item]],"SRES cost")</f>
        <v>2.843221042152444E-2</v>
      </c>
      <c r="K51" s="73">
        <f>SUMIFS(Calc_EnviroVEU_1[United Energy],Calc_EnviroVEU_1[[Fixed/Variable]:[Fixed/Variable]],$D51,Calc_EnviroVEU_1[[Customer type]:[Customer type]],$F51,Calc_EnviroVEU_1[[Cost item]:[Cost item]],"VEU cost")+
SUMIFS(Calc_EnviroLRET_1[United Energy],Calc_EnviroLRET_1[[Fixed/Variable]:[Fixed/Variable]],$D51,Calc_EnviroLRET_1[[Customer type]:[Customer type]],$F51,Calc_EnviroLRET_1[[Cost item]:[Cost item]],"LRET cost")+
SUMIFS(Calc_EnviroSRES_1[United Energy],Calc_EnviroSRES_1[[Fixed/Variable]:[Fixed/Variable]],$D51,Calc_EnviroSRES_1[[Customer type]:[Customer type]],$F51,Calc_EnviroSRES_1[[Cost item]:[Cost item]],"SRES cost")</f>
        <v>2.843221042152444E-2</v>
      </c>
    </row>
    <row r="52" spans="2:14">
      <c r="B52"/>
      <c r="C52" s="20" t="s">
        <v>92</v>
      </c>
      <c r="D52" s="20" t="s">
        <v>103</v>
      </c>
      <c r="E52" s="20" t="s">
        <v>68</v>
      </c>
      <c r="F52" s="20" t="s">
        <v>91</v>
      </c>
      <c r="G52" s="73">
        <f>SUMIFS(Calc_OtherCosts_1[Ausnet],Calc_OtherCosts_1[Fixed/Variable],$D52,Calc_OtherCosts_1[Customer type],$F52)</f>
        <v>1.6791732404258365E-3</v>
      </c>
      <c r="H52" s="73">
        <f>SUMIFS(Calc_OtherCosts_1[Citipower],Calc_OtherCosts_1[[Fixed/Variable]:[Fixed/Variable]],$D52,Calc_OtherCosts_1[[Customer type]:[Customer type]],$F52)</f>
        <v>1.6791732404258365E-3</v>
      </c>
      <c r="I52" s="73">
        <f>SUMIFS(Calc_OtherCosts_1[Jemena],Calc_OtherCosts_1[[Fixed/Variable]:[Fixed/Variable]],$D52,Calc_OtherCosts_1[[Customer type]:[Customer type]],$F52)</f>
        <v>1.6791732404258365E-3</v>
      </c>
      <c r="J52" s="73">
        <f>SUMIFS(Calc_OtherCosts_1[Powercor],Calc_OtherCosts_1[[Fixed/Variable]:[Fixed/Variable]],$D52,Calc_OtherCosts_1[[Customer type]:[Customer type]],$F52)</f>
        <v>1.6791732404258365E-3</v>
      </c>
      <c r="K52" s="73">
        <f>SUMIFS(Calc_OtherCosts_1[United Energy],Calc_OtherCosts_1[[Fixed/Variable]:[Fixed/Variable]],$D52,Calc_OtherCosts_1[[Customer type]:[Customer type]],$F52)</f>
        <v>1.6791732404258365E-3</v>
      </c>
      <c r="N52" s="72"/>
    </row>
    <row r="53" spans="2:14">
      <c r="B53"/>
      <c r="C53" s="20" t="s">
        <v>104</v>
      </c>
      <c r="D53" s="20" t="s">
        <v>103</v>
      </c>
      <c r="E53" s="20" t="s">
        <v>68</v>
      </c>
      <c r="F53" s="20" t="s">
        <v>65</v>
      </c>
      <c r="G53" s="70">
        <f>SUMIFS(Calc_WholesaleRES_1[Ausnet],Calc_WholesaleRES_1[[Fixed/Variable]:[Fixed/Variable]],$D53,Calc_WholesaleRES_1[[Customer type]:[Customer type]],$F53,Calc_WholesaleRES_1[[Cost item]:[Cost item]],$C53)</f>
        <v>0.15582341721574622</v>
      </c>
      <c r="H53" s="70">
        <f>SUMIFS(Calc_WholesaleRES_1[Citipower],Calc_WholesaleRES_1[[Fixed/Variable]:[Fixed/Variable]],$D53,Calc_WholesaleRES_1[[Customer type]:[Customer type]],$F53,Calc_WholesaleRES_1[[Cost item]:[Cost item]],$C53)</f>
        <v>0.13699867658724985</v>
      </c>
      <c r="I53" s="70">
        <f>SUMIFS(Calc_WholesaleRES_1[Jemena],Calc_WholesaleRES_1[[Fixed/Variable]:[Fixed/Variable]],$D53,Calc_WholesaleRES_1[[Customer type]:[Customer type]],$F53,Calc_WholesaleRES_1[[Cost item]:[Cost item]],$C53)</f>
        <v>0.15299408314912863</v>
      </c>
      <c r="J53" s="70">
        <f>SUMIFS(Calc_WholesaleRES_1[Powercor],Calc_WholesaleRES_1[[Fixed/Variable]:[Fixed/Variable]],$D53,Calc_WholesaleRES_1[[Customer type]:[Customer type]],$F53,Calc_WholesaleRES_1[[Cost item]:[Cost item]],$C53)</f>
        <v>0.15371489848306913</v>
      </c>
      <c r="K53" s="70">
        <f>SUMIFS(Calc_WholesaleRES_1[United Energy],Calc_WholesaleRES_1[[Fixed/Variable]:[Fixed/Variable]],$D53,Calc_WholesaleRES_1[[Customer type]:[Customer type]],$F53,Calc_WholesaleRES_1[[Cost item]:[Cost item]],$C53)</f>
        <v>0.15046968338948136</v>
      </c>
    </row>
    <row r="54" spans="2:14">
      <c r="B54"/>
      <c r="C54" s="20" t="s">
        <v>104</v>
      </c>
      <c r="D54" s="20" t="s">
        <v>103</v>
      </c>
      <c r="E54" s="20" t="s">
        <v>68</v>
      </c>
      <c r="F54" s="20" t="s">
        <v>66</v>
      </c>
      <c r="G54" s="70">
        <f>SUMIFS(Calc_WholesaleSME_1[Ausnet],Calc_WholesaleSME_1[[Fixed/Variable]:[Fixed/Variable]],$D54,Calc_WholesaleSME_1[[Customer type]:[Customer type]],$F54,Calc_WholesaleSME_1[[Cost item]:[Cost item]],$C54)</f>
        <v>0.12856302089613503</v>
      </c>
      <c r="H54" s="70">
        <f>SUMIFS(Calc_WholesaleSME_1[Citipower],Calc_WholesaleSME_1[[Fixed/Variable]:[Fixed/Variable]],$D54,Calc_WholesaleSME_1[[Customer type]:[Customer type]],$F54,Calc_WholesaleSME_1[[Cost item]:[Cost item]],$C54)</f>
        <v>0.12648439961732669</v>
      </c>
      <c r="I54" s="70">
        <f>SUMIFS(Calc_WholesaleSME_1[Jemena],Calc_WholesaleSME_1[[Fixed/Variable]:[Fixed/Variable]],$D54,Calc_WholesaleSME_1[[Customer type]:[Customer type]],$F54,Calc_WholesaleSME_1[[Cost item]:[Cost item]],$C54)</f>
        <v>0.13021020918052265</v>
      </c>
      <c r="J54" s="70">
        <f>SUMIFS(Calc_WholesaleSME_1[Powercor],Calc_WholesaleSME_1[[Fixed/Variable]:[Fixed/Variable]],$D54,Calc_WholesaleSME_1[[Customer type]:[Customer type]],$F54,Calc_WholesaleSME_1[[Cost item]:[Cost item]],$C54)</f>
        <v>0.12548093617538489</v>
      </c>
      <c r="K54" s="70">
        <f>SUMIFS(Calc_WholesaleSME_1[United Energy],Calc_WholesaleSME_1[[Fixed/Variable]:[Fixed/Variable]],$D54,Calc_WholesaleSME_1[[Customer type]:[Customer type]],$F54,Calc_WholesaleSME_1[[Cost item]:[Cost item]],$C54)</f>
        <v>0.13037554287242703</v>
      </c>
    </row>
    <row r="55" spans="2:14">
      <c r="B55"/>
      <c r="C55" s="20" t="s">
        <v>105</v>
      </c>
      <c r="D55" s="20" t="s">
        <v>103</v>
      </c>
      <c r="E55" s="20" t="s">
        <v>68</v>
      </c>
      <c r="F55" s="20" t="s">
        <v>65</v>
      </c>
      <c r="G55" s="73">
        <f>(SUMIFS(G$51:G$54,$F$51:$F$54,"All")+SUMIFS(G$51:G$54,$F$51:$F$54,$F55))*INDEX($G$169:$K$169,1,MATCH(G$50,Calc_Losses_1[[#Headers],[Ausnet]:[United Energy]],0))</f>
        <v>1.5882492743459209E-2</v>
      </c>
      <c r="H55" s="73">
        <f>(SUMIFS(H$51:H$54,$F$51:$F$54,"All")+SUMIFS(H$51:H$54,$F$51:$F$54,$F55))*INDEX($G$169:$K$169,1,MATCH(H$50,Calc_Losses_1[[#Headers],[Ausnet]:[United Energy]],0))</f>
        <v>7.51820641108439E-3</v>
      </c>
      <c r="I55" s="73">
        <f>(SUMIFS(I$51:I$54,$F$51:$F$54,"All")+SUMIFS(I$51:I$54,$F$51:$F$54,$F55))*INDEX($G$169:$K$169,1,MATCH(I$50,Calc_Losses_1[[#Headers],[Ausnet]:[United Energy]],0))</f>
        <v>8.3043707921911705E-3</v>
      </c>
      <c r="J55" s="73">
        <f>(SUMIFS(J$51:J$54,$F$51:$F$54,"All")+SUMIFS(J$51:J$54,$F$51:$F$54,$F55))*INDEX($G$169:$K$169,1,MATCH(J$50,Calc_Losses_1[[#Headers],[Ausnet]:[United Energy]],0))</f>
        <v>1.3130921863594791E-2</v>
      </c>
      <c r="K55" s="73">
        <f>(SUMIFS(K$51:K$54,$F$51:$F$54,"All")+SUMIFS(K$51:K$54,$F$51:$F$54,$F55))*INDEX($G$169:$K$169,1,MATCH(K$50,Calc_Losses_1[[#Headers],[Ausnet]:[United Energy]],0))</f>
        <v>8.4776924037861454E-3</v>
      </c>
    </row>
    <row r="56" spans="2:14">
      <c r="B56"/>
      <c r="C56" s="20" t="s">
        <v>105</v>
      </c>
      <c r="D56" s="20" t="s">
        <v>103</v>
      </c>
      <c r="E56" s="20" t="s">
        <v>68</v>
      </c>
      <c r="F56" s="20" t="s">
        <v>66</v>
      </c>
      <c r="G56" s="73">
        <f>(SUMIFS(G$51:G$54,$F$51:$F$54,"All")+SUMIFS(G$51:G$54,$F$51:$F$54,$F56))*INDEX($G$169:$K$169,1,MATCH(G$50,Calc_Losses_1[[#Headers],[Ausnet]:[United Energy]],0))</f>
        <v>1.3553918185677314E-2</v>
      </c>
      <c r="H56" s="73">
        <f>(SUMIFS(H$51:H$54,$F$51:$F$54,"All")+SUMIFS(H$51:H$54,$F$51:$F$54,$F56))*INDEX($G$169:$K$169,1,MATCH(H$50,Calc_Losses_1[[#Headers],[Ausnet]:[United Energy]],0))</f>
        <v>7.0451738216321851E-3</v>
      </c>
      <c r="I56" s="73">
        <f>(SUMIFS(I$51:I$54,$F$51:$F$54,"All")+SUMIFS(I$51:I$54,$F$51:$F$54,$F56))*INDEX($G$169:$K$169,1,MATCH(I$50,Calc_Losses_1[[#Headers],[Ausnet]:[United Energy]],0))</f>
        <v>7.2710551800851085E-3</v>
      </c>
      <c r="J56" s="73">
        <f>(SUMIFS(J$51:J$54,$F$51:$F$54,"All")+SUMIFS(J$51:J$54,$F$51:$F$54,$F56))*INDEX($G$169:$K$169,1,MATCH(J$50,Calc_Losses_1[[#Headers],[Ausnet]:[United Energy]],0))</f>
        <v>1.1114137600562103E-2</v>
      </c>
      <c r="K56" s="73">
        <f>(SUMIFS(K$51:K$54,$F$51:$F$54,"All")+SUMIFS(K$51:K$54,$F$51:$F$54,$F56))*INDEX($G$169:$K$169,1,MATCH(K$50,Calc_Losses_1[[#Headers],[Ausnet]:[United Energy]],0))</f>
        <v>7.5343380134085276E-3</v>
      </c>
    </row>
    <row r="57" spans="2:14">
      <c r="B57"/>
    </row>
    <row r="58" spans="2:14" ht="15.5">
      <c r="B58"/>
      <c r="C58" s="26" t="s">
        <v>106</v>
      </c>
    </row>
    <row r="59" spans="2:14" ht="15.5" outlineLevel="1">
      <c r="B59"/>
      <c r="C59" s="1" t="s">
        <v>107</v>
      </c>
    </row>
    <row r="60" spans="2:14" ht="15.5" outlineLevel="1">
      <c r="B60"/>
      <c r="C60" s="74" t="s">
        <v>67</v>
      </c>
    </row>
    <row r="61" spans="2:14" outlineLevel="1">
      <c r="B61"/>
      <c r="C61" s="20" t="s">
        <v>96</v>
      </c>
      <c r="D61" s="20" t="s">
        <v>7</v>
      </c>
      <c r="E61" s="20" t="s">
        <v>68</v>
      </c>
      <c r="F61" s="20" t="s">
        <v>65</v>
      </c>
      <c r="G61" s="55">
        <f>SUMIFS(Calc_NetworkV_1[Ausnet],Calc_NetworkV_1[Cost item],$C60,Calc_NetworkV_1[Customer type],$F61)</f>
        <v>0.1309807741874299</v>
      </c>
      <c r="H61" s="55">
        <f>SUMIFS(Calc_NetworkV_1[Citipower],Calc_NetworkV_1[[Cost item]:[Cost item]],$C60,Calc_NetworkV_1[[Customer type]:[Customer type]],$F61)</f>
        <v>0</v>
      </c>
      <c r="I61" s="55">
        <f>SUMIFS(Calc_NetworkV_1[Jemena],Calc_NetworkV_1[[Cost item]:[Cost item]],$C60,Calc_NetworkV_1[[Customer type]:[Customer type]],$F61)</f>
        <v>0</v>
      </c>
      <c r="J61" s="55">
        <f>SUMIFS(Calc_NetworkV_1[Powercor],Calc_NetworkV_1[[Cost item]:[Cost item]],$C60,Calc_NetworkV_1[[Customer type]:[Customer type]],$F61)</f>
        <v>0</v>
      </c>
      <c r="K61" s="55">
        <f>SUMIFS(Calc_NetworkV_1[United Energy],Calc_NetworkV_1[[Cost item]:[Cost item]],$C60,Calc_NetworkV_1[[Customer type]:[Customer type]],$F61)</f>
        <v>0</v>
      </c>
    </row>
    <row r="62" spans="2:14" outlineLevel="1">
      <c r="B62"/>
      <c r="C62" s="20" t="s">
        <v>101</v>
      </c>
      <c r="D62" s="20" t="s">
        <v>7</v>
      </c>
      <c r="E62" s="20" t="s">
        <v>68</v>
      </c>
      <c r="F62" s="20" t="s">
        <v>65</v>
      </c>
      <c r="G62" s="55">
        <f>SUMIFS(Calc_Variable_1[Ausnet],Calc_Variable_1[Customer type],"All")+SUMIFS(Calc_Variable_1[Ausnet],Calc_Variable_1[Customer type],$F62)</f>
        <v>0.20181729362115569</v>
      </c>
      <c r="H62" s="55">
        <f>SUMIFS(Calc_Variable_1[Citipower],Calc_Variable_1[[Customer type]:[Customer type]],"All")+SUMIFS(Calc_Variable_1[Citipower],Calc_Variable_1[[Customer type]:[Customer type]],$F62)</f>
        <v>0.17462826666028453</v>
      </c>
      <c r="I62" s="55">
        <f>SUMIFS(Calc_Variable_1[Jemena],Calc_Variable_1[[Customer type]:[Customer type]],"All")+SUMIFS(Calc_Variable_1[Jemena],Calc_Variable_1[[Customer type]:[Customer type]],$F62)</f>
        <v>0.19140983760327007</v>
      </c>
      <c r="J62" s="55">
        <f>SUMIFS(Calc_Variable_1[Powercor],Calc_Variable_1[[Customer type]:[Customer type]],"All")+SUMIFS(Calc_Variable_1[Powercor],Calc_Variable_1[[Customer type]:[Customer type]],$F62)</f>
        <v>0.19695720400861422</v>
      </c>
      <c r="K62" s="55">
        <f>SUMIFS(Calc_Variable_1[United Energy],Calc_Variable_1[[Customer type]:[Customer type]],"All")+SUMIFS(Calc_Variable_1[United Energy],Calc_Variable_1[[Customer type]:[Customer type]],$F62)</f>
        <v>0.18905875945521777</v>
      </c>
    </row>
    <row r="63" spans="2:14" outlineLevel="1">
      <c r="B63"/>
      <c r="C63" s="20" t="s">
        <v>97</v>
      </c>
      <c r="D63" s="20" t="s">
        <v>7</v>
      </c>
      <c r="E63" s="20" t="s">
        <v>68</v>
      </c>
      <c r="F63" s="20" t="s">
        <v>65</v>
      </c>
      <c r="G63" s="66" cm="1">
        <f t="array" ref="G63">IF(G61=0,"-",
(G61+G62)*Calc_ROM_1[Ausnet])</f>
        <v>1.863669179728079E-2</v>
      </c>
      <c r="H63" s="66" t="str" cm="1">
        <f t="array" ref="H63">IF(H61=0,"-",
(H61+H62)*Calc_ROM_1[Citipower])</f>
        <v>-</v>
      </c>
      <c r="I63" s="66" t="str" cm="1">
        <f t="array" ref="I63">IF(I61=0,"-",
(I61+I62)*Calc_ROM_1[Jemena])</f>
        <v>-</v>
      </c>
      <c r="J63" s="66" t="str" cm="1">
        <f t="array" ref="J63">IF(J61=0,"-",
(J61+J62)*Calc_ROM_1[Powercor])</f>
        <v>-</v>
      </c>
      <c r="K63" s="66" t="str" cm="1">
        <f t="array" ref="K63">IF(K61=0,"-",
(K61+K62)*Calc_ROM_1[United Energy])</f>
        <v>-</v>
      </c>
    </row>
    <row r="64" spans="2:14" outlineLevel="1">
      <c r="B64"/>
      <c r="C64" s="20" t="s">
        <v>98</v>
      </c>
      <c r="D64" s="20" t="s">
        <v>7</v>
      </c>
      <c r="E64" s="20" t="s">
        <v>68</v>
      </c>
      <c r="F64" s="20" t="s">
        <v>65</v>
      </c>
      <c r="G64" s="66">
        <f>IF(G61=0,"-",
(G61+G62+G63)*GST)</f>
        <v>3.5143475960586638E-2</v>
      </c>
      <c r="H64" s="66" t="str">
        <f>IF(H61=0,"-",
(SUMIFS(#REF!,#REF!,$F61)+H61+H63)*GST)</f>
        <v>-</v>
      </c>
      <c r="I64" s="66" t="str">
        <f>IF(I61=0,"-",
(SUMIFS(#REF!,#REF!,$F61)+I61+I63)*GST)</f>
        <v>-</v>
      </c>
      <c r="J64" s="66" t="str">
        <f>IF(J61=0,"-",
(SUMIFS(#REF!,#REF!,$F61)+J61+J63)*GST)</f>
        <v>-</v>
      </c>
      <c r="K64" s="66" t="str">
        <f>IF(K61=0,"-",
(SUMIFS(#REF!,#REF!,$F61)+K61+K63)*GST)</f>
        <v>-</v>
      </c>
    </row>
    <row r="65" spans="2:11" outlineLevel="1">
      <c r="B65"/>
      <c r="C65" s="20" t="str">
        <f>C60&amp;" charge"</f>
        <v>Block 1 charge</v>
      </c>
      <c r="D65" s="20" t="s">
        <v>7</v>
      </c>
      <c r="E65" s="20" t="s">
        <v>68</v>
      </c>
      <c r="F65" s="20" t="s">
        <v>65</v>
      </c>
      <c r="G65" s="67">
        <f>IF(G61=0,"-",
SUM(G61:G64))</f>
        <v>0.38657823556645299</v>
      </c>
      <c r="H65" s="67" t="str">
        <f t="shared" ref="H65:K65" si="13">IF(H61=0,"-",
SUM(H61:H64))</f>
        <v>-</v>
      </c>
      <c r="I65" s="67" t="str">
        <f t="shared" si="13"/>
        <v>-</v>
      </c>
      <c r="J65" s="67" t="str">
        <f t="shared" si="13"/>
        <v>-</v>
      </c>
      <c r="K65" s="67" t="str">
        <f t="shared" si="13"/>
        <v>-</v>
      </c>
    </row>
    <row r="66" spans="2:11" outlineLevel="1">
      <c r="B66"/>
      <c r="G66" s="94" cm="1">
        <f t="array" ref="G66">IF(G65="-","-",
IF(ROUND(G65,8)=ROUND((((
SUMIFS(Calc_Variable_1[Ausnet],Calc_Variable_1[Customer type],Calc_Rates!$F65)+
SUMIFS(Calc_Variable_1[Ausnet],Calc_Variable_1[Customer type],"All")+G61)*(1+Calc_ROM_1[Ausnet]))*(1+GST)),8),0,1))</f>
        <v>0</v>
      </c>
      <c r="H66" s="94" t="str" cm="1">
        <f t="array" ref="H66">IF(H65="-","-",
IF(ROUND(H65,8)=ROUND((((
SUMIFS(Calc_Variable_1[Citipower],Calc_Variable_1[Customer type],Calc_Rates!$F65)+
SUMIFS(Calc_Variable_1[Citipower],Calc_Variable_1[Customer type],"All")+H61)*(1+Calc_ROM_1[Citipower]))*(1+GST)),8),0,1))</f>
        <v>-</v>
      </c>
      <c r="I66" s="94" t="str" cm="1">
        <f t="array" ref="I66">IF(I65="-","-",
IF(ROUND(I65,8)=ROUND((((
SUMIFS(Calc_Variable_1[Jemena],Calc_Variable_1[Customer type],Calc_Rates!$F65)+
SUMIFS(Calc_Variable_1[Jemena],Calc_Variable_1[Customer type],"All")+I61)*(1+Calc_ROM_1[Jemena]))*(1+GST)),8),0,1))</f>
        <v>-</v>
      </c>
      <c r="J66" s="94" t="str" cm="1">
        <f t="array" ref="J66">IF(J65="-","-",
IF(ROUND(J65,8)=ROUND((((
SUMIFS(Calc_Variable_1[Powercor],Calc_Variable_1[Customer type],Calc_Rates!$F65)+
SUMIFS(Calc_Variable_1[Powercor],Calc_Variable_1[Customer type],"All")+J61)*(1+Calc_ROM_1[Powercor]))*(1+GST)),8),0,1))</f>
        <v>-</v>
      </c>
      <c r="K66" s="94" t="str" cm="1">
        <f t="array" ref="K66">IF(K65="-","-",
IF(ROUND(K65,8)=ROUND((((
SUMIFS(Calc_Variable_1[United Energy],Calc_Variable_1[[Customer type]:[Customer type]],Calc_Rates!$F65)+
SUMIFS(Calc_Variable_1[United Energy],Calc_Variable_1[[Customer type]:[Customer type]],"All")+K61)*(1+Calc_ROM_1[United Energy]))*(1+GST)),8),0,1))</f>
        <v>-</v>
      </c>
    </row>
    <row r="67" spans="2:11" ht="15.5" outlineLevel="1">
      <c r="B67"/>
      <c r="C67" s="74" t="s">
        <v>69</v>
      </c>
    </row>
    <row r="68" spans="2:11" outlineLevel="1">
      <c r="B68"/>
      <c r="C68" s="20" t="s">
        <v>96</v>
      </c>
      <c r="D68" s="20" t="s">
        <v>7</v>
      </c>
      <c r="E68" s="20" t="s">
        <v>68</v>
      </c>
      <c r="F68" s="20" t="s">
        <v>65</v>
      </c>
      <c r="G68" s="55">
        <f>SUMIFS(Calc_NetworkV_1[Ausnet],Calc_NetworkV_1[[Cost item]:[Cost item]],$C67,Calc_NetworkV_1[[Customer type]:[Customer type]],$F68)</f>
        <v>0.13989069468735993</v>
      </c>
      <c r="H68" s="55">
        <f>SUMIFS(Calc_NetworkV_1[Citipower],Calc_NetworkV_1[[Cost item]:[Cost item]],$C67,Calc_NetworkV_1[[Customer type]:[Customer type]],$F68)</f>
        <v>0</v>
      </c>
      <c r="I68" s="55">
        <f>SUMIFS(Calc_NetworkV_1[Jemena],Calc_NetworkV_1[[Cost item]:[Cost item]],$C67,Calc_NetworkV_1[[Customer type]:[Customer type]],$F68)</f>
        <v>0</v>
      </c>
      <c r="J68" s="55">
        <f>SUMIFS(Calc_NetworkV_1[Powercor],Calc_NetworkV_1[[Cost item]:[Cost item]],$C67,Calc_NetworkV_1[[Customer type]:[Customer type]],$F68)</f>
        <v>0</v>
      </c>
      <c r="K68" s="55">
        <f>SUMIFS(Calc_NetworkV_1[United Energy],Calc_NetworkV_1[[Cost item]:[Cost item]],$C67,Calc_NetworkV_1[[Customer type]:[Customer type]],$F68)</f>
        <v>0</v>
      </c>
    </row>
    <row r="69" spans="2:11" outlineLevel="1">
      <c r="B69"/>
      <c r="C69" s="20" t="s">
        <v>101</v>
      </c>
      <c r="D69" s="20" t="s">
        <v>7</v>
      </c>
      <c r="E69" s="20" t="s">
        <v>68</v>
      </c>
      <c r="F69" s="20" t="s">
        <v>65</v>
      </c>
      <c r="G69" s="55">
        <f>SUMIFS(Calc_Variable_1[Ausnet],Calc_Variable_1[[Customer type]:[Customer type]],"All")+SUMIFS(Calc_Variable_1[Ausnet],Calc_Variable_1[[Customer type]:[Customer type]],$F69)</f>
        <v>0.20181729362115569</v>
      </c>
      <c r="H69" s="55">
        <f>SUMIFS(Calc_Variable_1[Citipower],Calc_Variable_1[[Customer type]:[Customer type]],"All")+SUMIFS(Calc_Variable_1[Citipower],Calc_Variable_1[[Customer type]:[Customer type]],$F69)</f>
        <v>0.17462826666028453</v>
      </c>
      <c r="I69" s="55">
        <f>SUMIFS(Calc_Variable_1[Jemena],Calc_Variable_1[[Customer type]:[Customer type]],"All")+SUMIFS(Calc_Variable_1[Jemena],Calc_Variable_1[[Customer type]:[Customer type]],$F69)</f>
        <v>0.19140983760327007</v>
      </c>
      <c r="J69" s="55">
        <f>SUMIFS(Calc_Variable_1[Powercor],Calc_Variable_1[[Customer type]:[Customer type]],"All")+SUMIFS(Calc_Variable_1[Powercor],Calc_Variable_1[[Customer type]:[Customer type]],$F69)</f>
        <v>0.19695720400861422</v>
      </c>
      <c r="K69" s="55">
        <f>SUMIFS(Calc_Variable_1[United Energy],Calc_Variable_1[[Customer type]:[Customer type]],"All")+SUMIFS(Calc_Variable_1[United Energy],Calc_Variable_1[[Customer type]:[Customer type]],$F69)</f>
        <v>0.18905875945521777</v>
      </c>
    </row>
    <row r="70" spans="2:11" outlineLevel="1">
      <c r="B70"/>
      <c r="C70" s="20" t="s">
        <v>97</v>
      </c>
      <c r="D70" s="20" t="s">
        <v>7</v>
      </c>
      <c r="E70" s="20" t="s">
        <v>68</v>
      </c>
      <c r="F70" s="20" t="s">
        <v>65</v>
      </c>
      <c r="G70" s="66" cm="1">
        <f t="array" ref="G70">IF(G68=0,"-",
(G68+G69)*Calc_ROM_1[Ausnet])</f>
        <v>1.9135647345276875E-2</v>
      </c>
      <c r="H70" s="66" t="str" cm="1">
        <f t="array" ref="H70">IF(H68=0,"-",
(H68+H69)*Calc_ROM_1[Citipower])</f>
        <v>-</v>
      </c>
      <c r="I70" s="66" t="str" cm="1">
        <f t="array" ref="I70">IF(I68=0,"-",
(I68+I69)*Calc_ROM_1[Jemena])</f>
        <v>-</v>
      </c>
      <c r="J70" s="66" t="str" cm="1">
        <f t="array" ref="J70">IF(J68=0,"-",
(J68+J69)*Calc_ROM_1[Powercor])</f>
        <v>-</v>
      </c>
      <c r="K70" s="66" t="str" cm="1">
        <f t="array" ref="K70">IF(K68=0,"-",
(K68+K69)*Calc_ROM_1[United Energy])</f>
        <v>-</v>
      </c>
    </row>
    <row r="71" spans="2:11" outlineLevel="1">
      <c r="B71"/>
      <c r="C71" s="20" t="s">
        <v>98</v>
      </c>
      <c r="D71" s="20" t="s">
        <v>7</v>
      </c>
      <c r="E71" s="20" t="s">
        <v>68</v>
      </c>
      <c r="F71" s="20" t="s">
        <v>65</v>
      </c>
      <c r="G71" s="66">
        <f>IF(G68=0,"-",
(G68+G69+G70)*GST)</f>
        <v>3.6084363565379252E-2</v>
      </c>
      <c r="H71" s="66" t="str">
        <f>IF(H68=0,"-",
(SUMIFS(#REF!,#REF!,$F68)+H68+H70)*GST)</f>
        <v>-</v>
      </c>
      <c r="I71" s="66" t="str">
        <f>IF(I68=0,"-",
(SUMIFS(#REF!,#REF!,$F68)+I68+I70)*GST)</f>
        <v>-</v>
      </c>
      <c r="J71" s="66" t="str">
        <f>IF(J68=0,"-",
(SUMIFS(#REF!,#REF!,$F68)+J68+J70)*GST)</f>
        <v>-</v>
      </c>
      <c r="K71" s="66" t="str">
        <f>IF(K68=0,"-",
(SUMIFS(#REF!,#REF!,$F68)+K68+K70)*GST)</f>
        <v>-</v>
      </c>
    </row>
    <row r="72" spans="2:11" outlineLevel="1">
      <c r="B72"/>
      <c r="C72" s="20" t="str">
        <f>C67&amp;" charge"</f>
        <v>Balance charge</v>
      </c>
      <c r="D72" s="20" t="s">
        <v>7</v>
      </c>
      <c r="E72" s="20" t="s">
        <v>68</v>
      </c>
      <c r="F72" s="20" t="s">
        <v>65</v>
      </c>
      <c r="G72" s="67">
        <f>IF(G68=0,"-",
SUM(G68:G71))</f>
        <v>0.39692799921917177</v>
      </c>
      <c r="H72" s="67" t="str">
        <f t="shared" ref="H72" si="14">IF(H68=0,"-",
SUM(H68:H71))</f>
        <v>-</v>
      </c>
      <c r="I72" s="67" t="str">
        <f t="shared" ref="I72" si="15">IF(I68=0,"-",
SUM(I68:I71))</f>
        <v>-</v>
      </c>
      <c r="J72" s="67" t="str">
        <f t="shared" ref="J72" si="16">IF(J68=0,"-",
SUM(J68:J71))</f>
        <v>-</v>
      </c>
      <c r="K72" s="67" t="str">
        <f t="shared" ref="K72" si="17">IF(K68=0,"-",
SUM(K68:K71))</f>
        <v>-</v>
      </c>
    </row>
    <row r="73" spans="2:11" outlineLevel="1">
      <c r="B73"/>
      <c r="G73" s="94" cm="1">
        <f t="array" ref="G73">IF(G72="-","-",
IF(ROUND(G72,8)=ROUND((((
SUMIFS(Calc_Variable_1[Ausnet],Calc_Variable_1[Customer type],Calc_Rates!$F72)+
SUMIFS(Calc_Variable_1[Ausnet],Calc_Variable_1[Customer type],"All")+G68)*(1+Calc_ROM_1[Ausnet]))*(1+GST)),8),0,1))</f>
        <v>0</v>
      </c>
      <c r="H73" s="94" t="str" cm="1">
        <f t="array" ref="H73">IF(H72="-","-",
IF(ROUND(H72,8)=ROUND((((
SUMIFS(Calc_Variable_1[Citipower],Calc_Variable_1[Customer type],Calc_Rates!$F72)+
SUMIFS(Calc_Variable_1[Citipower],Calc_Variable_1[Customer type],"All")+H68)*(1+Calc_ROM_1[Citipower]))*(1+GST)),8),0,1))</f>
        <v>-</v>
      </c>
      <c r="I73" s="94" t="str" cm="1">
        <f t="array" ref="I73">IF(I72="-","-",
IF(ROUND(I72,8)=ROUND((((
SUMIFS(Calc_Variable_1[Jemena],Calc_Variable_1[Customer type],Calc_Rates!$F72)+
SUMIFS(Calc_Variable_1[Jemena],Calc_Variable_1[Customer type],"All")+I68)*(1+Calc_ROM_1[Jemena]))*(1+GST)),8),0,1))</f>
        <v>-</v>
      </c>
      <c r="J73" s="94" t="str" cm="1">
        <f t="array" ref="J73">IF(J72="-","-",
IF(ROUND(J72,8)=ROUND((((
SUMIFS(Calc_Variable_1[Powercor],Calc_Variable_1[Customer type],Calc_Rates!$F72)+
SUMIFS(Calc_Variable_1[Powercor],Calc_Variable_1[Customer type],"All")+J68)*(1+Calc_ROM_1[Powercor]))*(1+GST)),8),0,1))</f>
        <v>-</v>
      </c>
      <c r="K73" s="94" t="str" cm="1">
        <f t="array" ref="K73">IF(K72="-","-",
IF(ROUND(K72,8)=ROUND((((
SUMIFS(Calc_Variable_1[United Energy],Calc_Variable_1[[Customer type]:[Customer type]],Calc_Rates!$F72)+
SUMIFS(Calc_Variable_1[United Energy],Calc_Variable_1[[Customer type]:[Customer type]],"All")+K68)*(1+Calc_ROM_1[United Energy]))*(1+GST)),8),0,1))</f>
        <v>-</v>
      </c>
    </row>
    <row r="74" spans="2:11" ht="15.5" outlineLevel="1">
      <c r="B74"/>
      <c r="C74" s="74" t="s">
        <v>70</v>
      </c>
    </row>
    <row r="75" spans="2:11" outlineLevel="1">
      <c r="B75"/>
      <c r="C75" s="20" t="s">
        <v>96</v>
      </c>
      <c r="D75" s="20" t="s">
        <v>7</v>
      </c>
      <c r="E75" s="20" t="s">
        <v>68</v>
      </c>
      <c r="F75" s="20" t="s">
        <v>65</v>
      </c>
      <c r="G75" s="55">
        <f>SUMIFS(Calc_NetworkV_1[Ausnet],Calc_NetworkV_1[[Cost item]:[Cost item]],$C74,Calc_NetworkV_1[[Customer type]:[Customer type]],$F75)</f>
        <v>0</v>
      </c>
      <c r="H75" s="55">
        <f>SUMIFS(Calc_NetworkV_1[Citipower],Calc_NetworkV_1[[Cost item]:[Cost item]],$C74,Calc_NetworkV_1[[Customer type]:[Customer type]],$F75)</f>
        <v>7.3700000000000002E-2</v>
      </c>
      <c r="I75" s="55">
        <f>SUMIFS(Calc_NetworkV_1[Jemena],Calc_NetworkV_1[[Cost item]:[Cost item]],$C74,Calc_NetworkV_1[[Customer type]:[Customer type]],$F75)</f>
        <v>8.9770000000000003E-2</v>
      </c>
      <c r="J75" s="55">
        <f>SUMIFS(Calc_NetworkV_1[Powercor],Calc_NetworkV_1[[Cost item]:[Cost item]],$C74,Calc_NetworkV_1[[Customer type]:[Customer type]],$F75)</f>
        <v>8.77E-2</v>
      </c>
      <c r="K75" s="55">
        <f>SUMIFS(Calc_NetworkV_1[United Energy],Calc_NetworkV_1[[Cost item]:[Cost item]],$C74,Calc_NetworkV_1[[Customer type]:[Customer type]],$F75)</f>
        <v>8.5400000000000004E-2</v>
      </c>
    </row>
    <row r="76" spans="2:11" outlineLevel="1">
      <c r="B76"/>
      <c r="C76" s="20" t="s">
        <v>101</v>
      </c>
      <c r="D76" s="20" t="s">
        <v>7</v>
      </c>
      <c r="E76" s="20" t="s">
        <v>68</v>
      </c>
      <c r="F76" s="20" t="s">
        <v>65</v>
      </c>
      <c r="G76" s="55">
        <f>SUMIFS(Calc_Variable_1[Ausnet],Calc_Variable_1[[Customer type]:[Customer type]],"All")+SUMIFS(Calc_Variable_1[Ausnet],Calc_Variable_1[[Customer type]:[Customer type]],$F76)</f>
        <v>0.20181729362115569</v>
      </c>
      <c r="H76" s="55">
        <f>SUMIFS(Calc_Variable_1[Citipower],Calc_Variable_1[[Customer type]:[Customer type]],"All")+SUMIFS(Calc_Variable_1[Citipower],Calc_Variable_1[[Customer type]:[Customer type]],$F76)</f>
        <v>0.17462826666028453</v>
      </c>
      <c r="I76" s="55">
        <f>SUMIFS(Calc_Variable_1[Jemena],Calc_Variable_1[[Customer type]:[Customer type]],"All")+SUMIFS(Calc_Variable_1[Jemena],Calc_Variable_1[[Customer type]:[Customer type]],$F76)</f>
        <v>0.19140983760327007</v>
      </c>
      <c r="J76" s="55">
        <f>SUMIFS(Calc_Variable_1[Powercor],Calc_Variable_1[[Customer type]:[Customer type]],"All")+SUMIFS(Calc_Variable_1[Powercor],Calc_Variable_1[[Customer type]:[Customer type]],$F76)</f>
        <v>0.19695720400861422</v>
      </c>
      <c r="K76" s="55">
        <f>SUMIFS(Calc_Variable_1[United Energy],Calc_Variable_1[[Customer type]:[Customer type]],"All")+SUMIFS(Calc_Variable_1[United Energy],Calc_Variable_1[[Customer type]:[Customer type]],$F76)</f>
        <v>0.18905875945521777</v>
      </c>
    </row>
    <row r="77" spans="2:11" outlineLevel="1">
      <c r="B77"/>
      <c r="C77" s="20" t="s">
        <v>97</v>
      </c>
      <c r="D77" s="20" t="s">
        <v>7</v>
      </c>
      <c r="E77" s="20" t="s">
        <v>68</v>
      </c>
      <c r="F77" s="20" t="s">
        <v>65</v>
      </c>
      <c r="G77" s="66" t="str" cm="1">
        <f t="array" ref="G77">IF(G75=0,"-",
(G75+G76)*Calc_ROM_1[Ausnet])</f>
        <v>-</v>
      </c>
      <c r="H77" s="66" cm="1">
        <f t="array" ref="H77">IF(H75=0,"-",
(H75+H76)*Calc_ROM_1[Ausnet])</f>
        <v>1.3906382932975933E-2</v>
      </c>
      <c r="I77" s="66" cm="1">
        <f t="array" ref="I77">IF(I75=0,"-",
(I75+I76)*Calc_ROM_1[Ausnet])</f>
        <v>1.5746070905783126E-2</v>
      </c>
      <c r="J77" s="66" cm="1">
        <f t="array" ref="J77">IF(J75=0,"-",
(J75+J76)*Calc_ROM_1[Ausnet])</f>
        <v>1.5940803424482397E-2</v>
      </c>
      <c r="K77" s="66" cm="1">
        <f t="array" ref="K77">IF(K75=0,"-",
(K75+K76)*Calc_ROM_1[Ausnet])</f>
        <v>1.5369690529492197E-2</v>
      </c>
    </row>
    <row r="78" spans="2:11" outlineLevel="1">
      <c r="B78"/>
      <c r="C78" s="20" t="s">
        <v>98</v>
      </c>
      <c r="D78" s="20" t="s">
        <v>7</v>
      </c>
      <c r="E78" s="20" t="s">
        <v>68</v>
      </c>
      <c r="F78" s="20" t="s">
        <v>65</v>
      </c>
      <c r="G78" s="66" t="str">
        <f>IF(G75=0,"-",
(G75+G76+G77)*GST)</f>
        <v>-</v>
      </c>
      <c r="H78" s="66">
        <f>IF(H75=0,"-",
(H75+H76+H77)*GST)</f>
        <v>2.6223464959326044E-2</v>
      </c>
      <c r="I78" s="66">
        <f>IF(I75=0,"-",
(I75+I76+I77)*GST)</f>
        <v>2.9692590850905323E-2</v>
      </c>
      <c r="J78" s="66">
        <f>IF(J75=0,"-",
(J75+J76+J77)*GST)</f>
        <v>3.0059800743309661E-2</v>
      </c>
      <c r="K78" s="66">
        <f>IF(K75=0,"-",
(K75+K76+K77)*GST)</f>
        <v>2.8982844998471004E-2</v>
      </c>
    </row>
    <row r="79" spans="2:11" outlineLevel="1">
      <c r="B79"/>
      <c r="C79" s="20" t="str">
        <f>C74&amp;" charge"</f>
        <v>Single rate charge</v>
      </c>
      <c r="D79" s="20" t="s">
        <v>7</v>
      </c>
      <c r="E79" s="20" t="s">
        <v>68</v>
      </c>
      <c r="F79" s="20" t="s">
        <v>65</v>
      </c>
      <c r="G79" s="67" t="str">
        <f>IF(G75=0,"-",
SUM(G75:G78))</f>
        <v>-</v>
      </c>
      <c r="H79" s="67">
        <f>IF(H75=0,"-",
SUM(H75:H78))</f>
        <v>0.28845811455258646</v>
      </c>
      <c r="I79" s="67">
        <f t="shared" ref="I79:K79" si="18">IF(I75=0,"-",
SUM(I75:I78))</f>
        <v>0.32661849935995851</v>
      </c>
      <c r="J79" s="67">
        <f t="shared" si="18"/>
        <v>0.33065780817640628</v>
      </c>
      <c r="K79" s="67">
        <f t="shared" si="18"/>
        <v>0.318811294983181</v>
      </c>
    </row>
    <row r="80" spans="2:11" outlineLevel="1">
      <c r="B80"/>
      <c r="G80" s="94" t="str" cm="1">
        <f t="array" ref="G80">IF(G79="-","-",
IF(ROUND(G79,8)=ROUND((((
SUMIFS(Calc_Variable_1[Ausnet],Calc_Variable_1[Customer type],Calc_Rates!$F79)+
SUMIFS(Calc_Variable_1[Ausnet],Calc_Variable_1[Customer type],"All")+G75)*(1+Calc_ROM_1[Ausnet]))*(1+GST)),8),0,1))</f>
        <v>-</v>
      </c>
      <c r="H80" s="94" cm="1">
        <f t="array" ref="H80">IF(H79="-","-",
IF(ROUND(H79,8)=ROUND((((
SUMIFS(Calc_Variable_1[Citipower],Calc_Variable_1[Customer type],Calc_Rates!$F79)+
SUMIFS(Calc_Variable_1[Citipower],Calc_Variable_1[Customer type],"All")+H75)*(1+Calc_ROM_1[Citipower]))*(1+GST)),8),0,1))</f>
        <v>0</v>
      </c>
      <c r="I80" s="94" cm="1">
        <f t="array" ref="I80">IF(I79="-","-",
IF(ROUND(I79,8)=ROUND((((
SUMIFS(Calc_Variable_1[Jemena],Calc_Variable_1[Customer type],Calc_Rates!$F79)+
SUMIFS(Calc_Variable_1[Jemena],Calc_Variable_1[Customer type],"All")+I75)*(1+Calc_ROM_1[Jemena]))*(1+GST)),8),0,1))</f>
        <v>0</v>
      </c>
      <c r="J80" s="94" cm="1">
        <f t="array" ref="J80">IF(J79="-","-",
IF(ROUND(J79,8)=ROUND((((
SUMIFS(Calc_Variable_1[Powercor],Calc_Variable_1[Customer type],Calc_Rates!$F79)+
SUMIFS(Calc_Variable_1[Powercor],Calc_Variable_1[Customer type],"All")+J75)*(1+Calc_ROM_1[Powercor]))*(1+GST)),8),0,1))</f>
        <v>0</v>
      </c>
      <c r="K80" s="94" cm="1">
        <f t="array" ref="K80">IF(K79="-","-",
IF(ROUND(K79,8)=ROUND((((
SUMIFS(Calc_Variable_1[United Energy],Calc_Variable_1[[Customer type]:[Customer type]],Calc_Rates!$F79)+
SUMIFS(Calc_Variable_1[United Energy],Calc_Variable_1[[Customer type]:[Customer type]],"All")+K75)*(1+Calc_ROM_1[United Energy]))*(1+GST)),8),0,1))</f>
        <v>0</v>
      </c>
    </row>
    <row r="81" spans="2:11" ht="15.5" outlineLevel="1">
      <c r="B81"/>
      <c r="C81" s="120" t="s">
        <v>108</v>
      </c>
    </row>
    <row r="82" spans="2:11" ht="15.5" outlineLevel="1">
      <c r="B82"/>
      <c r="C82" s="74" t="s">
        <v>72</v>
      </c>
    </row>
    <row r="83" spans="2:11" outlineLevel="1">
      <c r="B83"/>
      <c r="C83" s="20" t="s">
        <v>96</v>
      </c>
      <c r="D83" s="20" t="s">
        <v>7</v>
      </c>
      <c r="E83" s="20" t="s">
        <v>68</v>
      </c>
      <c r="F83" s="20" t="s">
        <v>65</v>
      </c>
      <c r="G83" s="55">
        <f>SUMIFS(Calc_NetworkV_1[Ausnet],Calc_NetworkV_1[[Cost item]:[Cost item]],$C82,Calc_NetworkV_1[[Customer type]:[Customer type]],$F83)</f>
        <v>0.22405517942110717</v>
      </c>
      <c r="H83" s="55">
        <f>SUMIFS(Calc_NetworkV_1[Citipower],Calc_NetworkV_1[[Cost item]:[Cost item]],$C82,Calc_NetworkV_1[[Customer type]:[Customer type]],$F83)</f>
        <v>0.1467</v>
      </c>
      <c r="I83" s="55">
        <f>SUMIFS(Calc_NetworkV_1[Jemena],Calc_NetworkV_1[[Cost item]:[Cost item]],$C82,Calc_NetworkV_1[[Customer type]:[Customer type]],$F83)</f>
        <v>0.14771999999999999</v>
      </c>
      <c r="J83" s="55">
        <f>SUMIFS(Calc_NetworkV_1[Powercor],Calc_NetworkV_1[[Cost item]:[Cost item]],$C82,Calc_NetworkV_1[[Customer type]:[Customer type]],$F83)</f>
        <v>0.1714</v>
      </c>
      <c r="K83" s="55">
        <f>SUMIFS(Calc_NetworkV_1[United Energy],Calc_NetworkV_1[[Cost item]:[Cost item]],$C82,Calc_NetworkV_1[[Customer type]:[Customer type]],$F83)</f>
        <v>0.1668</v>
      </c>
    </row>
    <row r="84" spans="2:11" outlineLevel="1">
      <c r="B84"/>
      <c r="C84" s="20" t="s">
        <v>101</v>
      </c>
      <c r="D84" s="20" t="s">
        <v>7</v>
      </c>
      <c r="E84" s="20" t="s">
        <v>68</v>
      </c>
      <c r="F84" s="20" t="s">
        <v>65</v>
      </c>
      <c r="G84" s="55">
        <f>SUMIFS(Calc_Variable_1[Ausnet],Calc_Variable_1[[Customer type]:[Customer type]],"All")+SUMIFS(Calc_Variable_1[Ausnet],Calc_Variable_1[[Customer type]:[Customer type]],$F84)</f>
        <v>0.20181729362115569</v>
      </c>
      <c r="H84" s="55">
        <f>SUMIFS(Calc_Variable_1[Citipower],Calc_Variable_1[[Customer type]:[Customer type]],"All")+SUMIFS(Calc_Variable_1[Citipower],Calc_Variable_1[[Customer type]:[Customer type]],$F84)</f>
        <v>0.17462826666028453</v>
      </c>
      <c r="I84" s="55">
        <f>SUMIFS(Calc_Variable_1[Jemena],Calc_Variable_1[[Customer type]:[Customer type]],"All")+SUMIFS(Calc_Variable_1[Jemena],Calc_Variable_1[[Customer type]:[Customer type]],$F84)</f>
        <v>0.19140983760327007</v>
      </c>
      <c r="J84" s="55">
        <f>SUMIFS(Calc_Variable_1[Powercor],Calc_Variable_1[[Customer type]:[Customer type]],"All")+SUMIFS(Calc_Variable_1[Powercor],Calc_Variable_1[[Customer type]:[Customer type]],$F84)</f>
        <v>0.19695720400861422</v>
      </c>
      <c r="K84" s="55">
        <f>SUMIFS(Calc_Variable_1[United Energy],Calc_Variable_1[[Customer type]:[Customer type]],"All")+SUMIFS(Calc_Variable_1[United Energy],Calc_Variable_1[[Customer type]:[Customer type]],$F84)</f>
        <v>0.18905875945521777</v>
      </c>
    </row>
    <row r="85" spans="2:11" outlineLevel="1">
      <c r="B85"/>
      <c r="C85" s="20" t="s">
        <v>97</v>
      </c>
      <c r="D85" s="20" t="s">
        <v>7</v>
      </c>
      <c r="E85" s="20" t="s">
        <v>68</v>
      </c>
      <c r="F85" s="20" t="s">
        <v>65</v>
      </c>
      <c r="G85" s="66" cm="1">
        <f t="array" ref="G85">IF(G83=0,"-",
(G83+G84)*Calc_ROM_1[Ausnet])</f>
        <v>2.384885849036672E-2</v>
      </c>
      <c r="H85" s="66" cm="1">
        <f t="array" ref="H85">IF(H83=0,"-",
(H83+H84)*Calc_ROM_1[Ausnet])</f>
        <v>1.7994382932975932E-2</v>
      </c>
      <c r="I85" s="66" cm="1">
        <f t="array" ref="I85">IF(I83=0,"-",
(I83+I84)*Calc_ROM_1[Ausnet])</f>
        <v>1.8991270905783127E-2</v>
      </c>
      <c r="J85" s="66" cm="1">
        <f t="array" ref="J85">IF(J83=0,"-",
(J83+J84)*Calc_ROM_1[Ausnet])</f>
        <v>2.0628003424482396E-2</v>
      </c>
      <c r="K85" s="66" cm="1">
        <f t="array" ref="K85">IF(K83=0,"-",
(K83+K84)*Calc_ROM_1[Ausnet])</f>
        <v>1.9928090529492196E-2</v>
      </c>
    </row>
    <row r="86" spans="2:11" outlineLevel="1">
      <c r="B86"/>
      <c r="C86" s="20" t="s">
        <v>98</v>
      </c>
      <c r="D86" s="20" t="s">
        <v>7</v>
      </c>
      <c r="E86" s="20" t="s">
        <v>68</v>
      </c>
      <c r="F86" s="20" t="s">
        <v>65</v>
      </c>
      <c r="G86" s="66">
        <f>IF(G83=0,"-",
(G83+G84+G85)*GST)</f>
        <v>4.4972133153262955E-2</v>
      </c>
      <c r="H86" s="66">
        <f>IF(H83=0,"-",
(H83+H84+H85)*GST)</f>
        <v>3.3932264959326046E-2</v>
      </c>
      <c r="I86" s="66">
        <f>IF(I83=0,"-",
(I83+I84+I85)*GST)</f>
        <v>3.581211085090532E-2</v>
      </c>
      <c r="J86" s="66">
        <f>IF(J83=0,"-",
(J83+J84+J85)*GST)</f>
        <v>3.8898520743309663E-2</v>
      </c>
      <c r="K86" s="66">
        <f>IF(K83=0,"-",
(K83+K84+K85)*GST)</f>
        <v>3.7578684998471001E-2</v>
      </c>
    </row>
    <row r="87" spans="2:11" outlineLevel="1">
      <c r="B87"/>
      <c r="C87" s="20" t="str">
        <f>C82&amp;" charge"</f>
        <v>Peak charge</v>
      </c>
      <c r="D87" s="20" t="s">
        <v>7</v>
      </c>
      <c r="E87" s="20" t="s">
        <v>68</v>
      </c>
      <c r="F87" s="20" t="s">
        <v>65</v>
      </c>
      <c r="G87" s="67">
        <f>IF(G83=0,"-",
SUM(G83:G86))</f>
        <v>0.49469346468589248</v>
      </c>
      <c r="H87" s="67">
        <f>IF(H83=0,"-",
SUM(H83:H86))</f>
        <v>0.37325491455258653</v>
      </c>
      <c r="I87" s="67">
        <f t="shared" ref="I87" si="19">IF(I83=0,"-",
SUM(I83:I86))</f>
        <v>0.39393321935995851</v>
      </c>
      <c r="J87" s="67">
        <f t="shared" ref="J87" si="20">IF(J83=0,"-",
SUM(J83:J86))</f>
        <v>0.4278837281764063</v>
      </c>
      <c r="K87" s="67">
        <f t="shared" ref="K87" si="21">IF(K83=0,"-",
SUM(K83:K86))</f>
        <v>0.41336553498318096</v>
      </c>
    </row>
    <row r="88" spans="2:11" outlineLevel="1">
      <c r="B88"/>
      <c r="G88" s="94" cm="1">
        <f t="array" ref="G88">IF(G87="-","-",
IF(ROUND(G87,8)=ROUND((((
SUMIFS(Calc_Variable_1[Ausnet],Calc_Variable_1[Customer type],Calc_Rates!$F87)+
SUMIFS(Calc_Variable_1[Ausnet],Calc_Variable_1[Customer type],"All")+G83)*(1+Calc_ROM_1[Ausnet]))*(1+GST)),8),0,1))</f>
        <v>0</v>
      </c>
      <c r="H88" s="94" cm="1">
        <f t="array" ref="H88">IF(H87="-","-",
IF(ROUND(H87,8)=ROUND((((
SUMIFS(Calc_Variable_1[Citipower],Calc_Variable_1[Customer type],Calc_Rates!$F87)+
SUMIFS(Calc_Variable_1[Citipower],Calc_Variable_1[Customer type],"All")+H83)*(1+Calc_ROM_1[Citipower]))*(1+GST)),8),0,1))</f>
        <v>0</v>
      </c>
      <c r="I88" s="94" cm="1">
        <f t="array" ref="I88">IF(I87="-","-",
IF(ROUND(I87,8)=ROUND((((
SUMIFS(Calc_Variable_1[Jemena],Calc_Variable_1[Customer type],Calc_Rates!$F87)+
SUMIFS(Calc_Variable_1[Jemena],Calc_Variable_1[Customer type],"All")+I83)*(1+Calc_ROM_1[Jemena]))*(1+GST)),8),0,1))</f>
        <v>0</v>
      </c>
      <c r="J88" s="94" cm="1">
        <f t="array" ref="J88">IF(J87="-","-",
IF(ROUND(J87,8)=ROUND((((
SUMIFS(Calc_Variable_1[Powercor],Calc_Variable_1[Customer type],Calc_Rates!$F87)+
SUMIFS(Calc_Variable_1[Powercor],Calc_Variable_1[Customer type],"All")+J83)*(1+Calc_ROM_1[Powercor]))*(1+GST)),8),0,1))</f>
        <v>0</v>
      </c>
      <c r="K88" s="94" cm="1">
        <f t="array" ref="K88">IF(K87="-","-",
IF(ROUND(K87,8)=ROUND((((
SUMIFS(Calc_Variable_1[United Energy],Calc_Variable_1[[Customer type]:[Customer type]],Calc_Rates!$F87)+
SUMIFS(Calc_Variable_1[United Energy],Calc_Variable_1[[Customer type]:[Customer type]],"All")+K83)*(1+Calc_ROM_1[United Energy]))*(1+GST)),8),0,1))</f>
        <v>0</v>
      </c>
    </row>
    <row r="89" spans="2:11" ht="15.5" outlineLevel="1">
      <c r="B89"/>
      <c r="C89" s="74" t="s">
        <v>73</v>
      </c>
    </row>
    <row r="90" spans="2:11" outlineLevel="1">
      <c r="B90"/>
      <c r="C90" s="20" t="s">
        <v>96</v>
      </c>
      <c r="D90" s="20" t="s">
        <v>7</v>
      </c>
      <c r="E90" s="20" t="s">
        <v>68</v>
      </c>
      <c r="F90" s="20" t="s">
        <v>65</v>
      </c>
      <c r="G90" s="55">
        <f>SUMIFS(Calc_NetworkV_1[Ausnet],Calc_NetworkV_1[[Cost item]:[Cost item]],$C89,Calc_NetworkV_1[[Customer type]:[Customer type]],$F90)</f>
        <v>4.6393863430805989E-2</v>
      </c>
      <c r="H90" s="55">
        <f>SUMIFS(Calc_NetworkV_1[Citipower],Calc_NetworkV_1[[Cost item]:[Cost item]],$C89,Calc_NetworkV_1[[Customer type]:[Customer type]],$F90)</f>
        <v>3.6699999999999997E-2</v>
      </c>
      <c r="I90" s="55">
        <f>SUMIFS(Calc_NetworkV_1[Jemena],Calc_NetworkV_1[[Cost item]:[Cost item]],$C89,Calc_NetworkV_1[[Customer type]:[Customer type]],$F90)</f>
        <v>4.3120000000000006E-2</v>
      </c>
      <c r="J90" s="55">
        <f>SUMIFS(Calc_NetworkV_1[Powercor],Calc_NetworkV_1[[Cost item]:[Cost item]],$C89,Calc_NetworkV_1[[Customer type]:[Customer type]],$F90)</f>
        <v>4.2900000000000001E-2</v>
      </c>
      <c r="K90" s="55">
        <f>SUMIFS(Calc_NetworkV_1[United Energy],Calc_NetworkV_1[[Cost item]:[Cost item]],$C89,Calc_NetworkV_1[[Customer type]:[Customer type]],$F90)</f>
        <v>4.1599999999999998E-2</v>
      </c>
    </row>
    <row r="91" spans="2:11" outlineLevel="1">
      <c r="B91"/>
      <c r="C91" s="20" t="s">
        <v>101</v>
      </c>
      <c r="D91" s="20" t="s">
        <v>7</v>
      </c>
      <c r="E91" s="20" t="s">
        <v>68</v>
      </c>
      <c r="F91" s="20" t="s">
        <v>65</v>
      </c>
      <c r="G91" s="55">
        <f>SUMIFS(Calc_Variable_1[Ausnet],Calc_Variable_1[[Customer type]:[Customer type]],"All")+SUMIFS(Calc_Variable_1[Ausnet],Calc_Variable_1[[Customer type]:[Customer type]],$F91)</f>
        <v>0.20181729362115569</v>
      </c>
      <c r="H91" s="55">
        <f>SUMIFS(Calc_Variable_1[Citipower],Calc_Variable_1[[Customer type]:[Customer type]],"All")+SUMIFS(Calc_Variable_1[Citipower],Calc_Variable_1[[Customer type]:[Customer type]],$F91)</f>
        <v>0.17462826666028453</v>
      </c>
      <c r="I91" s="55">
        <f>SUMIFS(Calc_Variable_1[Jemena],Calc_Variable_1[[Customer type]:[Customer type]],"All")+SUMIFS(Calc_Variable_1[Jemena],Calc_Variable_1[[Customer type]:[Customer type]],$F91)</f>
        <v>0.19140983760327007</v>
      </c>
      <c r="J91" s="55">
        <f>SUMIFS(Calc_Variable_1[Powercor],Calc_Variable_1[[Customer type]:[Customer type]],"All")+SUMIFS(Calc_Variable_1[Powercor],Calc_Variable_1[[Customer type]:[Customer type]],$F91)</f>
        <v>0.19695720400861422</v>
      </c>
      <c r="K91" s="55">
        <f>SUMIFS(Calc_Variable_1[United Energy],Calc_Variable_1[[Customer type]:[Customer type]],"All")+SUMIFS(Calc_Variable_1[United Energy],Calc_Variable_1[[Customer type]:[Customer type]],$F91)</f>
        <v>0.18905875945521777</v>
      </c>
    </row>
    <row r="92" spans="2:11" outlineLevel="1">
      <c r="B92"/>
      <c r="C92" s="20" t="s">
        <v>97</v>
      </c>
      <c r="D92" s="20" t="s">
        <v>7</v>
      </c>
      <c r="E92" s="20" t="s">
        <v>68</v>
      </c>
      <c r="F92" s="20" t="s">
        <v>65</v>
      </c>
      <c r="G92" s="66" cm="1">
        <f t="array" ref="G92">IF(G90=0,"-",
(G90+G91)*Calc_ROM_1[Ausnet])</f>
        <v>1.3899824794909855E-2</v>
      </c>
      <c r="H92" s="66" cm="1">
        <f t="array" ref="H92">IF(H90=0,"-",
(H90+H91)*Calc_ROM_1[Ausnet])</f>
        <v>1.1834382932975934E-2</v>
      </c>
      <c r="I92" s="66" cm="1">
        <f t="array" ref="I92">IF(I90=0,"-",
(I90+I91)*Calc_ROM_1[Ausnet])</f>
        <v>1.3133670905783124E-2</v>
      </c>
      <c r="J92" s="66" cm="1">
        <f t="array" ref="J92">IF(J90=0,"-",
(J90+J91)*Calc_ROM_1[Ausnet])</f>
        <v>1.3432003424482397E-2</v>
      </c>
      <c r="K92" s="66" cm="1">
        <f t="array" ref="K92">IF(K90=0,"-",
(K90+K91)*Calc_ROM_1[Ausnet])</f>
        <v>1.2916890529492195E-2</v>
      </c>
    </row>
    <row r="93" spans="2:11" outlineLevel="1">
      <c r="B93"/>
      <c r="C93" s="20" t="s">
        <v>98</v>
      </c>
      <c r="D93" s="20" t="s">
        <v>7</v>
      </c>
      <c r="E93" s="20" t="s">
        <v>68</v>
      </c>
      <c r="F93" s="20" t="s">
        <v>65</v>
      </c>
      <c r="G93" s="66">
        <f>IF(G90=0,"-",
(G90+G91+G92)*GST)</f>
        <v>2.6211098184687157E-2</v>
      </c>
      <c r="H93" s="66">
        <f>IF(H90=0,"-",
(H90+H91+H92)*GST)</f>
        <v>2.2316264959326048E-2</v>
      </c>
      <c r="I93" s="66">
        <f>IF(I90=0,"-",
(I90+I91+I92)*GST)</f>
        <v>2.4766350850905321E-2</v>
      </c>
      <c r="J93" s="66">
        <f>IF(J90=0,"-",
(J90+J91+J92)*GST)</f>
        <v>2.5328920743309665E-2</v>
      </c>
      <c r="K93" s="66">
        <f>IF(K90=0,"-",
(K90+K91+K92)*GST)</f>
        <v>2.4357564998470999E-2</v>
      </c>
    </row>
    <row r="94" spans="2:11" outlineLevel="1">
      <c r="B94"/>
      <c r="C94" s="20" t="str">
        <f>C89&amp;" charge"</f>
        <v>Off peak charge</v>
      </c>
      <c r="D94" s="20" t="s">
        <v>7</v>
      </c>
      <c r="E94" s="20" t="s">
        <v>68</v>
      </c>
      <c r="F94" s="20" t="s">
        <v>65</v>
      </c>
      <c r="G94" s="67">
        <f>IF(G90=0,"-",
SUM(G90:G93))</f>
        <v>0.28832208003155868</v>
      </c>
      <c r="H94" s="67">
        <f>IF(H90=0,"-",
SUM(H90:H93))</f>
        <v>0.2454789145525865</v>
      </c>
      <c r="I94" s="67">
        <f t="shared" ref="I94" si="22">IF(I90=0,"-",
SUM(I90:I93))</f>
        <v>0.2724298593599585</v>
      </c>
      <c r="J94" s="67">
        <f t="shared" ref="J94" si="23">IF(J90=0,"-",
SUM(J90:J93))</f>
        <v>0.2786181281764063</v>
      </c>
      <c r="K94" s="67">
        <f t="shared" ref="K94" si="24">IF(K90=0,"-",
SUM(K90:K93))</f>
        <v>0.26793321498318096</v>
      </c>
    </row>
    <row r="95" spans="2:11" outlineLevel="1">
      <c r="B95"/>
      <c r="G95" s="94" cm="1">
        <f t="array" ref="G95">IF(G94="-","-",
IF(ROUND(G94,8)=ROUND((((
SUMIFS(Calc_Variable_1[Ausnet],Calc_Variable_1[Customer type],Calc_Rates!$F94)+
SUMIFS(Calc_Variable_1[Ausnet],Calc_Variable_1[Customer type],"All")+G90)*(1+Calc_ROM_1[Ausnet]))*(1+GST)),8),0,1))</f>
        <v>0</v>
      </c>
      <c r="H95" s="94" cm="1">
        <f t="array" ref="H95">IF(H94="-","-",
IF(ROUND(H94,8)=ROUND((((
SUMIFS(Calc_Variable_1[Citipower],Calc_Variable_1[Customer type],Calc_Rates!$F94)+
SUMIFS(Calc_Variable_1[Citipower],Calc_Variable_1[Customer type],"All")+H90)*(1+Calc_ROM_1[Citipower]))*(1+GST)),8),0,1))</f>
        <v>0</v>
      </c>
      <c r="I95" s="94" cm="1">
        <f t="array" ref="I95">IF(I94="-","-",
IF(ROUND(I94,8)=ROUND((((
SUMIFS(Calc_Variable_1[Jemena],Calc_Variable_1[Customer type],Calc_Rates!$F94)+
SUMIFS(Calc_Variable_1[Jemena],Calc_Variable_1[Customer type],"All")+I90)*(1+Calc_ROM_1[Jemena]))*(1+GST)),8),0,1))</f>
        <v>0</v>
      </c>
      <c r="J95" s="94" cm="1">
        <f t="array" ref="J95">IF(J94="-","-",
IF(ROUND(J94,8)=ROUND((((
SUMIFS(Calc_Variable_1[Powercor],Calc_Variable_1[Customer type],Calc_Rates!$F94)+
SUMIFS(Calc_Variable_1[Powercor],Calc_Variable_1[Customer type],"All")+J90)*(1+Calc_ROM_1[Powercor]))*(1+GST)),8),0,1))</f>
        <v>0</v>
      </c>
      <c r="K95" s="94" cm="1">
        <f t="array" ref="K95">IF(K94="-","-",
IF(ROUND(K94,8)=ROUND((((
SUMIFS(Calc_Variable_1[United Energy],Calc_Variable_1[[Customer type]:[Customer type]],Calc_Rates!$F94)+
SUMIFS(Calc_Variable_1[United Energy],Calc_Variable_1[[Customer type]:[Customer type]],"All")+K90)*(1+Calc_ROM_1[United Energy]))*(1+GST)),8),0,1))</f>
        <v>0</v>
      </c>
    </row>
    <row r="96" spans="2:11" ht="15.5" outlineLevel="1">
      <c r="B96"/>
      <c r="C96" s="74" t="s">
        <v>74</v>
      </c>
    </row>
    <row r="97" spans="2:11" outlineLevel="1">
      <c r="B97"/>
      <c r="C97" s="20" t="s">
        <v>96</v>
      </c>
      <c r="D97" s="20" t="s">
        <v>7</v>
      </c>
      <c r="E97" s="20" t="s">
        <v>68</v>
      </c>
      <c r="F97" s="20" t="s">
        <v>65</v>
      </c>
      <c r="G97" s="55">
        <f>SUMIFS(Calc_NetworkV_1[Ausnet],Calc_NetworkV_1[[Cost item]:[Cost item]],$C96,Calc_NetworkV_1[[Customer type]:[Customer type]],$F97)</f>
        <v>4.6393863430805989E-2</v>
      </c>
      <c r="H97" s="55">
        <f>SUMIFS(Calc_NetworkV_1[Citipower],Calc_NetworkV_1[[Cost item]:[Cost item]],$C96,Calc_NetworkV_1[[Customer type]:[Customer type]],$F97)</f>
        <v>2.2099999999999998E-2</v>
      </c>
      <c r="I97" s="55">
        <f>SUMIFS(Calc_NetworkV_1[Jemena],Calc_NetworkV_1[[Cost item]:[Cost item]],$C96,Calc_NetworkV_1[[Customer type]:[Customer type]],$F97)</f>
        <v>3.6950000000000004E-2</v>
      </c>
      <c r="J97" s="55">
        <f>SUMIFS(Calc_NetworkV_1[Powercor],Calc_NetworkV_1[[Cost item]:[Cost item]],$C96,Calc_NetworkV_1[[Customer type]:[Customer type]],$F97)</f>
        <v>2.46E-2</v>
      </c>
      <c r="K97" s="55">
        <f>SUMIFS(Calc_NetworkV_1[United Energy],Calc_NetworkV_1[[Cost item]:[Cost item]],$C96,Calc_NetworkV_1[[Customer type]:[Customer type]],$F97)</f>
        <v>2.4399999999999998E-2</v>
      </c>
    </row>
    <row r="98" spans="2:11" outlineLevel="1">
      <c r="B98"/>
      <c r="C98" s="20" t="s">
        <v>101</v>
      </c>
      <c r="D98" s="20" t="s">
        <v>7</v>
      </c>
      <c r="E98" s="20" t="s">
        <v>68</v>
      </c>
      <c r="F98" s="20" t="s">
        <v>65</v>
      </c>
      <c r="G98" s="55">
        <f>SUMIFS(Calc_Variable_1[Ausnet],Calc_Variable_1[[Customer type]:[Customer type]],"All")+SUMIFS(Calc_Variable_1[Ausnet],Calc_Variable_1[[Customer type]:[Customer type]],$F98)</f>
        <v>0.20181729362115569</v>
      </c>
      <c r="H98" s="55">
        <f>SUMIFS(Calc_Variable_1[Citipower],Calc_Variable_1[[Customer type]:[Customer type]],"All")+SUMIFS(Calc_Variable_1[Citipower],Calc_Variable_1[[Customer type]:[Customer type]],$F98)</f>
        <v>0.17462826666028453</v>
      </c>
      <c r="I98" s="55">
        <f>SUMIFS(Calc_Variable_1[Jemena],Calc_Variable_1[[Customer type]:[Customer type]],"All")+SUMIFS(Calc_Variable_1[Jemena],Calc_Variable_1[[Customer type]:[Customer type]],$F98)</f>
        <v>0.19140983760327007</v>
      </c>
      <c r="J98" s="55">
        <f>SUMIFS(Calc_Variable_1[Powercor],Calc_Variable_1[[Customer type]:[Customer type]],"All")+SUMIFS(Calc_Variable_1[Powercor],Calc_Variable_1[[Customer type]:[Customer type]],$F98)</f>
        <v>0.19695720400861422</v>
      </c>
      <c r="K98" s="55">
        <f>SUMIFS(Calc_Variable_1[United Energy],Calc_Variable_1[[Customer type]:[Customer type]],"All")+SUMIFS(Calc_Variable_1[United Energy],Calc_Variable_1[[Customer type]:[Customer type]],$F98)</f>
        <v>0.18905875945521777</v>
      </c>
    </row>
    <row r="99" spans="2:11" outlineLevel="1">
      <c r="B99"/>
      <c r="C99" s="20" t="s">
        <v>97</v>
      </c>
      <c r="D99" s="20" t="s">
        <v>7</v>
      </c>
      <c r="E99" s="20" t="s">
        <v>68</v>
      </c>
      <c r="F99" s="20" t="s">
        <v>65</v>
      </c>
      <c r="G99" s="66" cm="1">
        <f t="array" ref="G99">IF(G97=0,"-",
(G97+G98)*Calc_ROM_1[Ausnet])</f>
        <v>1.3899824794909855E-2</v>
      </c>
      <c r="H99" s="66" cm="1">
        <f t="array" ref="H99">IF(H97=0,"-",
(H97+H98)*Calc_ROM_1[Ausnet])</f>
        <v>1.1016782932975934E-2</v>
      </c>
      <c r="I99" s="66" cm="1">
        <f t="array" ref="I99">IF(I97=0,"-",
(I97+I98)*Calc_ROM_1[Ausnet])</f>
        <v>1.2788150905783125E-2</v>
      </c>
      <c r="J99" s="66" cm="1">
        <f t="array" ref="J99">IF(J97=0,"-",
(J97+J98)*Calc_ROM_1[Ausnet])</f>
        <v>1.2407203424482397E-2</v>
      </c>
      <c r="K99" s="66" cm="1">
        <f t="array" ref="K99">IF(K97=0,"-",
(K97+K98)*Calc_ROM_1[Ausnet])</f>
        <v>1.1953690529492196E-2</v>
      </c>
    </row>
    <row r="100" spans="2:11" outlineLevel="1">
      <c r="B100"/>
      <c r="C100" s="20" t="s">
        <v>98</v>
      </c>
      <c r="D100" s="20" t="s">
        <v>7</v>
      </c>
      <c r="E100" s="20" t="s">
        <v>68</v>
      </c>
      <c r="F100" s="20" t="s">
        <v>65</v>
      </c>
      <c r="G100" s="66">
        <f>IF(G97=0,"-",
(G97+G98+G99)*GST)</f>
        <v>2.6211098184687157E-2</v>
      </c>
      <c r="H100" s="66">
        <f>IF(H97=0,"-",
(H97+H98+H99)*GST)</f>
        <v>2.0774504959326048E-2</v>
      </c>
      <c r="I100" s="66">
        <f>IF(I97=0,"-",
(I97+I98+I99)*GST)</f>
        <v>2.4114798850905322E-2</v>
      </c>
      <c r="J100" s="66">
        <f>IF(J97=0,"-",
(J97+J98+J99)*GST)</f>
        <v>2.3396440743309665E-2</v>
      </c>
      <c r="K100" s="66">
        <f>IF(K97=0,"-",
(K97+K98+K99)*GST)</f>
        <v>2.2541244998470999E-2</v>
      </c>
    </row>
    <row r="101" spans="2:11" outlineLevel="1">
      <c r="B101"/>
      <c r="C101" s="20" t="str">
        <f>C96&amp;" charge"</f>
        <v>Controlled load charge</v>
      </c>
      <c r="D101" s="20" t="s">
        <v>7</v>
      </c>
      <c r="E101" s="20" t="s">
        <v>68</v>
      </c>
      <c r="F101" s="20" t="s">
        <v>65</v>
      </c>
      <c r="G101" s="67">
        <f>IF(G97=0,"-",
SUM(G97:G100))</f>
        <v>0.28832208003155868</v>
      </c>
      <c r="H101" s="67">
        <f>IF(H97=0,"-",
SUM(H97:H100))</f>
        <v>0.22851955455258649</v>
      </c>
      <c r="I101" s="67">
        <f t="shared" ref="I101" si="25">IF(I97=0,"-",
SUM(I97:I100))</f>
        <v>0.26526278735995851</v>
      </c>
      <c r="J101" s="67">
        <f t="shared" ref="J101" si="26">IF(J97=0,"-",
SUM(J97:J100))</f>
        <v>0.25736084817640631</v>
      </c>
      <c r="K101" s="67">
        <f t="shared" ref="K101" si="27">IF(K97=0,"-",
SUM(K97:K100))</f>
        <v>0.24795369498318096</v>
      </c>
    </row>
    <row r="102" spans="2:11" outlineLevel="1">
      <c r="B102"/>
      <c r="G102" s="94" cm="1">
        <f t="array" ref="G102">IF(G101="-","-",
IF(ROUND(G101,8)=ROUND((((
SUMIFS(Calc_Variable_1[Ausnet],Calc_Variable_1[Customer type],Calc_Rates!$F101)+
SUMIFS(Calc_Variable_1[Ausnet],Calc_Variable_1[Customer type],"All")+G97)*(1+Calc_ROM_1[Ausnet]))*(1+GST)),8),0,1))</f>
        <v>0</v>
      </c>
      <c r="H102" s="94" cm="1">
        <f t="array" ref="H102">IF(H101="-","-",
IF(ROUND(H101,8)=ROUND((((
SUMIFS(Calc_Variable_1[Citipower],Calc_Variable_1[Customer type],Calc_Rates!$F101)+
SUMIFS(Calc_Variable_1[Citipower],Calc_Variable_1[Customer type],"All")+H97)*(1+Calc_ROM_1[Citipower]))*(1+GST)),8),0,1))</f>
        <v>0</v>
      </c>
      <c r="I102" s="94" cm="1">
        <f t="array" ref="I102">IF(I101="-","-",
IF(ROUND(I101,8)=ROUND((((
SUMIFS(Calc_Variable_1[Jemena],Calc_Variable_1[Customer type],Calc_Rates!$F101)+
SUMIFS(Calc_Variable_1[Jemena],Calc_Variable_1[Customer type],"All")+I97)*(1+Calc_ROM_1[Jemena]))*(1+GST)),8),0,1))</f>
        <v>0</v>
      </c>
      <c r="J102" s="94" cm="1">
        <f t="array" ref="J102">IF(J101="-","-",
IF(ROUND(J101,8)=ROUND((((
SUMIFS(Calc_Variable_1[Powercor],Calc_Variable_1[Customer type],Calc_Rates!$F101)+
SUMIFS(Calc_Variable_1[Powercor],Calc_Variable_1[Customer type],"All")+J97)*(1+Calc_ROM_1[Powercor]))*(1+GST)),8),0,1))</f>
        <v>0</v>
      </c>
      <c r="K102" s="94" cm="1">
        <f t="array" ref="K102">IF(K101="-","-",
IF(ROUND(K101,8)=ROUND((((
SUMIFS(Calc_Variable_1[United Energy],Calc_Variable_1[[Customer type]:[Customer type]],Calc_Rates!$F101)+
SUMIFS(Calc_Variable_1[United Energy],Calc_Variable_1[[Customer type]:[Customer type]],"All")+K97)*(1+Calc_ROM_1[United Energy]))*(1+GST)),8),0,1))</f>
        <v>0</v>
      </c>
    </row>
    <row r="103" spans="2:11" ht="15.5">
      <c r="B103"/>
      <c r="C103" s="26" t="s">
        <v>109</v>
      </c>
    </row>
    <row r="104" spans="2:11" ht="15.5" outlineLevel="1">
      <c r="B104"/>
      <c r="C104" s="1" t="s">
        <v>107</v>
      </c>
    </row>
    <row r="105" spans="2:11" ht="15.5" outlineLevel="1">
      <c r="B105"/>
      <c r="C105" s="74" t="s">
        <v>67</v>
      </c>
    </row>
    <row r="106" spans="2:11" outlineLevel="1">
      <c r="B106"/>
      <c r="C106" s="20" t="s">
        <v>96</v>
      </c>
      <c r="D106" s="20" t="s">
        <v>7</v>
      </c>
      <c r="E106" s="20" t="s">
        <v>68</v>
      </c>
      <c r="F106" s="20" t="s">
        <v>66</v>
      </c>
      <c r="G106" s="55">
        <f>SUMIFS(Calc_NetworkV_1[Ausnet],Calc_NetworkV_1[[Cost item]:[Cost item]],$C105,Calc_NetworkV_1[[Customer type]:[Customer type]],$F106)</f>
        <v>0.18668411930490375</v>
      </c>
      <c r="H106" s="55">
        <f>SUMIFS(Calc_NetworkV_1[Citipower],Calc_NetworkV_1[[Cost item]:[Cost item]],$C105,Calc_NetworkV_1[[Customer type]:[Customer type]],$F106)</f>
        <v>0</v>
      </c>
      <c r="I106" s="55">
        <f>SUMIFS(Calc_NetworkV_1[Jemena],Calc_NetworkV_1[[Cost item]:[Cost item]],$C105,Calc_NetworkV_1[[Customer type]:[Customer type]],$F106)</f>
        <v>0</v>
      </c>
      <c r="J106" s="55">
        <f>SUMIFS(Calc_NetworkV_1[Powercor],Calc_NetworkV_1[[Cost item]:[Cost item]],$C105,Calc_NetworkV_1[[Customer type]:[Customer type]],$F106)</f>
        <v>0</v>
      </c>
      <c r="K106" s="55">
        <f>SUMIFS(Calc_NetworkV_1[United Energy],Calc_NetworkV_1[[Cost item]:[Cost item]],$C105,Calc_NetworkV_1[[Customer type]:[Customer type]],$F106)</f>
        <v>0</v>
      </c>
    </row>
    <row r="107" spans="2:11" outlineLevel="1">
      <c r="B107"/>
      <c r="C107" s="20" t="s">
        <v>101</v>
      </c>
      <c r="D107" s="20" t="s">
        <v>7</v>
      </c>
      <c r="E107" s="20" t="s">
        <v>68</v>
      </c>
      <c r="F107" s="20" t="s">
        <v>66</v>
      </c>
      <c r="G107" s="55">
        <f>SUMIFS(Calc_Variable_1[Ausnet],Calc_Variable_1[[Customer type]:[Customer type]],"All")+SUMIFS(Calc_Variable_1[Ausnet],Calc_Variable_1[[Customer type]:[Customer type]],$F107)</f>
        <v>0.1722283227437626</v>
      </c>
      <c r="H107" s="55">
        <f>SUMIFS(Calc_Variable_1[Citipower],Calc_Variable_1[[Customer type]:[Customer type]],"All")+SUMIFS(Calc_Variable_1[Citipower],Calc_Variable_1[[Customer type]:[Customer type]],$F107)</f>
        <v>0.16364095710090915</v>
      </c>
      <c r="I107" s="55">
        <f>SUMIFS(Calc_Variable_1[Jemena],Calc_Variable_1[[Customer type]:[Customer type]],"All")+SUMIFS(Calc_Variable_1[Jemena],Calc_Variable_1[[Customer type]:[Customer type]],$F107)</f>
        <v>0.16759264802255802</v>
      </c>
      <c r="J107" s="55">
        <f>SUMIFS(Calc_Variable_1[Powercor],Calc_Variable_1[[Customer type]:[Customer type]],"All")+SUMIFS(Calc_Variable_1[Powercor],Calc_Variable_1[[Customer type]:[Customer type]],$F107)</f>
        <v>0.16670645743789725</v>
      </c>
      <c r="K107" s="55">
        <f>SUMIFS(Calc_Variable_1[United Energy],Calc_Variable_1[[Customer type]:[Customer type]],"All")+SUMIFS(Calc_Variable_1[United Energy],Calc_Variable_1[[Customer type]:[Customer type]],$F107)</f>
        <v>0.16802126454778582</v>
      </c>
    </row>
    <row r="108" spans="2:11" outlineLevel="1">
      <c r="B108"/>
      <c r="C108" s="20" t="s">
        <v>97</v>
      </c>
      <c r="D108" s="20" t="s">
        <v>7</v>
      </c>
      <c r="E108" s="20" t="s">
        <v>68</v>
      </c>
      <c r="F108" s="20" t="s">
        <v>66</v>
      </c>
      <c r="G108" s="66" cm="1">
        <f t="array" ref="G108">IF(G106=0,"-",
(G106+G107)*Calc_ROM_1[Ausnet])</f>
        <v>2.0099096754725317E-2</v>
      </c>
      <c r="H108" s="66" t="str" cm="1">
        <f t="array" ref="H108">IF(H106=0,"-",
(H106+H107)*Calc_ROM_1[Ausnet])</f>
        <v>-</v>
      </c>
      <c r="I108" s="66" t="str" cm="1">
        <f t="array" ref="I108">IF(I106=0,"-",
(I106+I107)*Calc_ROM_1[Ausnet])</f>
        <v>-</v>
      </c>
      <c r="J108" s="66" t="str" cm="1">
        <f t="array" ref="J108">IF(J106=0,"-",
(J106+J107)*Calc_ROM_1[Ausnet])</f>
        <v>-</v>
      </c>
      <c r="K108" s="66" t="str" cm="1">
        <f t="array" ref="K108">IF(K106=0,"-",
(K106+K107)*Calc_ROM_1[Ausnet])</f>
        <v>-</v>
      </c>
    </row>
    <row r="109" spans="2:11" outlineLevel="1">
      <c r="B109"/>
      <c r="C109" s="20" t="s">
        <v>98</v>
      </c>
      <c r="D109" s="20" t="s">
        <v>7</v>
      </c>
      <c r="E109" s="20" t="s">
        <v>68</v>
      </c>
      <c r="F109" s="20" t="s">
        <v>66</v>
      </c>
      <c r="G109" s="66">
        <f>IF(G106=0,"-",
(G106+G107+G108)*GST)</f>
        <v>3.790115388033917E-2</v>
      </c>
      <c r="H109" s="66" t="str">
        <f>IF(H106=0,"-",
(H106+H107+H108)*GST)</f>
        <v>-</v>
      </c>
      <c r="I109" s="66" t="str">
        <f>IF(I106=0,"-",
(I106+I107+I108)*GST)</f>
        <v>-</v>
      </c>
      <c r="J109" s="66" t="str">
        <f>IF(J106=0,"-",
(J106+J107+J108)*GST)</f>
        <v>-</v>
      </c>
      <c r="K109" s="66" t="str">
        <f>IF(K106=0,"-",
(K106+K107+K108)*GST)</f>
        <v>-</v>
      </c>
    </row>
    <row r="110" spans="2:11" outlineLevel="1">
      <c r="B110"/>
      <c r="C110" s="20" t="str">
        <f>C105&amp;" charge"</f>
        <v>Block 1 charge</v>
      </c>
      <c r="D110" s="20" t="s">
        <v>7</v>
      </c>
      <c r="E110" s="20" t="s">
        <v>68</v>
      </c>
      <c r="F110" s="20" t="s">
        <v>66</v>
      </c>
      <c r="G110" s="67">
        <f>IF(G106=0,"-",
SUM(G106:G109))</f>
        <v>0.41691269268373082</v>
      </c>
      <c r="H110" s="67" t="str">
        <f>IF(H106=0,"-",
SUM(H106:H109))</f>
        <v>-</v>
      </c>
      <c r="I110" s="67" t="str">
        <f t="shared" ref="I110" si="28">IF(I106=0,"-",
SUM(I106:I109))</f>
        <v>-</v>
      </c>
      <c r="J110" s="67" t="str">
        <f t="shared" ref="J110" si="29">IF(J106=0,"-",
SUM(J106:J109))</f>
        <v>-</v>
      </c>
      <c r="K110" s="67" t="str">
        <f t="shared" ref="K110" si="30">IF(K106=0,"-",
SUM(K106:K109))</f>
        <v>-</v>
      </c>
    </row>
    <row r="111" spans="2:11" outlineLevel="1">
      <c r="B111"/>
      <c r="G111" s="94" cm="1">
        <f t="array" ref="G111">IF(G110="-","-",
IF(ROUND(G110,8)=ROUND((((
SUMIFS(Calc_Variable_1[Ausnet],Calc_Variable_1[Customer type],Calc_Rates!$F110)+
SUMIFS(Calc_Variable_1[Ausnet],Calc_Variable_1[Customer type],"All")+G106)*(1+Calc_ROM_1[Ausnet]))*(1+GST)),8),0,1))</f>
        <v>0</v>
      </c>
      <c r="H111" s="94" t="str" cm="1">
        <f t="array" ref="H111">IF(H110="-","-",
IF(ROUND(H110,8)=ROUND((((
SUMIFS(Calc_Variable_1[Citipower],Calc_Variable_1[Customer type],Calc_Rates!$F110)+
SUMIFS(Calc_Variable_1[Citipower],Calc_Variable_1[Customer type],"All")+H106)*(1+Calc_ROM_1[Citipower]))*(1+GST)),8),0,1))</f>
        <v>-</v>
      </c>
      <c r="I111" s="94" t="str" cm="1">
        <f t="array" ref="I111">IF(I110="-","-",
IF(ROUND(I110,8)=ROUND((((
SUMIFS(Calc_Variable_1[Jemena],Calc_Variable_1[Customer type],Calc_Rates!$F110)+
SUMIFS(Calc_Variable_1[Jemena],Calc_Variable_1[Customer type],"All")+I106)*(1+Calc_ROM_1[Jemena]))*(1+GST)),8),0,1))</f>
        <v>-</v>
      </c>
      <c r="J111" s="94" t="str" cm="1">
        <f t="array" ref="J111">IF(J110="-","-",
IF(ROUND(J110,8)=ROUND((((
SUMIFS(Calc_Variable_1[Powercor],Calc_Variable_1[Customer type],Calc_Rates!$F110)+
SUMIFS(Calc_Variable_1[Powercor],Calc_Variable_1[Customer type],"All")+J106)*(1+Calc_ROM_1[Powercor]))*(1+GST)),8),0,1))</f>
        <v>-</v>
      </c>
      <c r="K111" s="94" t="str" cm="1">
        <f t="array" ref="K111">IF(K110="-","-",
IF(ROUND(K110,8)=ROUND((((
SUMIFS(Calc_Variable_1[United Energy],Calc_Variable_1[[Customer type]:[Customer type]],Calc_Rates!$F110)+
SUMIFS(Calc_Variable_1[United Energy],Calc_Variable_1[[Customer type]:[Customer type]],"All")+K106)*(1+Calc_ROM_1[United Energy]))*(1+GST)),8),0,1))</f>
        <v>-</v>
      </c>
    </row>
    <row r="112" spans="2:11" ht="15.5" outlineLevel="1">
      <c r="B112"/>
      <c r="C112" s="74" t="s">
        <v>69</v>
      </c>
    </row>
    <row r="113" spans="2:11" outlineLevel="1">
      <c r="B113"/>
      <c r="C113" s="20" t="s">
        <v>96</v>
      </c>
      <c r="D113" s="20" t="s">
        <v>7</v>
      </c>
      <c r="E113" s="20" t="s">
        <v>68</v>
      </c>
      <c r="F113" s="20" t="s">
        <v>66</v>
      </c>
      <c r="G113" s="55">
        <f>SUMIFS(Calc_NetworkV_1[Ausnet],Calc_NetworkV_1[[Cost item]:[Cost item]],$C112,Calc_NetworkV_1[[Customer type]:[Customer type]],$F113)</f>
        <v>0.20620858559880922</v>
      </c>
      <c r="H113" s="55">
        <f>SUMIFS(Calc_NetworkV_1[Citipower],Calc_NetworkV_1[[Cost item]:[Cost item]],$C112,Calc_NetworkV_1[[Customer type]:[Customer type]],$F113)</f>
        <v>0</v>
      </c>
      <c r="I113" s="55">
        <f>SUMIFS(Calc_NetworkV_1[Jemena],Calc_NetworkV_1[[Cost item]:[Cost item]],$C112,Calc_NetworkV_1[[Customer type]:[Customer type]],$F113)</f>
        <v>0</v>
      </c>
      <c r="J113" s="55">
        <f>SUMIFS(Calc_NetworkV_1[Powercor],Calc_NetworkV_1[[Cost item]:[Cost item]],$C112,Calc_NetworkV_1[[Customer type]:[Customer type]],$F113)</f>
        <v>0</v>
      </c>
      <c r="K113" s="55">
        <f>SUMIFS(Calc_NetworkV_1[United Energy],Calc_NetworkV_1[[Cost item]:[Cost item]],$C112,Calc_NetworkV_1[[Customer type]:[Customer type]],$F113)</f>
        <v>0</v>
      </c>
    </row>
    <row r="114" spans="2:11" outlineLevel="1">
      <c r="B114"/>
      <c r="C114" s="20" t="s">
        <v>101</v>
      </c>
      <c r="D114" s="20" t="s">
        <v>7</v>
      </c>
      <c r="E114" s="20" t="s">
        <v>68</v>
      </c>
      <c r="F114" s="20" t="s">
        <v>66</v>
      </c>
      <c r="G114" s="55">
        <f>SUMIFS(Calc_Variable_1[Ausnet],Calc_Variable_1[[Customer type]:[Customer type]],"All")+SUMIFS(Calc_Variable_1[Ausnet],Calc_Variable_1[[Customer type]:[Customer type]],$F114)</f>
        <v>0.1722283227437626</v>
      </c>
      <c r="H114" s="55">
        <f>SUMIFS(Calc_Variable_1[Citipower],Calc_Variable_1[[Customer type]:[Customer type]],"All")+SUMIFS(Calc_Variable_1[Citipower],Calc_Variable_1[[Customer type]:[Customer type]],$F114)</f>
        <v>0.16364095710090915</v>
      </c>
      <c r="I114" s="55">
        <f>SUMIFS(Calc_Variable_1[Jemena],Calc_Variable_1[[Customer type]:[Customer type]],"All")+SUMIFS(Calc_Variable_1[Jemena],Calc_Variable_1[[Customer type]:[Customer type]],$F114)</f>
        <v>0.16759264802255802</v>
      </c>
      <c r="J114" s="55">
        <f>SUMIFS(Calc_Variable_1[Powercor],Calc_Variable_1[[Customer type]:[Customer type]],"All")+SUMIFS(Calc_Variable_1[Powercor],Calc_Variable_1[[Customer type]:[Customer type]],$F114)</f>
        <v>0.16670645743789725</v>
      </c>
      <c r="K114" s="55">
        <f>SUMIFS(Calc_Variable_1[United Energy],Calc_Variable_1[[Customer type]:[Customer type]],"All")+SUMIFS(Calc_Variable_1[United Energy],Calc_Variable_1[[Customer type]:[Customer type]],$F114)</f>
        <v>0.16802126454778582</v>
      </c>
    </row>
    <row r="115" spans="2:11" outlineLevel="1">
      <c r="B115"/>
      <c r="C115" s="20" t="s">
        <v>97</v>
      </c>
      <c r="D115" s="20" t="s">
        <v>7</v>
      </c>
      <c r="E115" s="20" t="s">
        <v>68</v>
      </c>
      <c r="F115" s="20" t="s">
        <v>66</v>
      </c>
      <c r="G115" s="66" cm="1">
        <f t="array" ref="G115">IF(G113=0,"-",
(G113+G114)*Calc_ROM_1[Ausnet])</f>
        <v>2.1192466867184023E-2</v>
      </c>
      <c r="H115" s="66" t="str" cm="1">
        <f t="array" ref="H115">IF(H113=0,"-",
(H113+H114)*Calc_ROM_1[Ausnet])</f>
        <v>-</v>
      </c>
      <c r="I115" s="66" t="str" cm="1">
        <f t="array" ref="I115">IF(I113=0,"-",
(I113+I114)*Calc_ROM_1[Ausnet])</f>
        <v>-</v>
      </c>
      <c r="J115" s="66" t="str" cm="1">
        <f t="array" ref="J115">IF(J113=0,"-",
(J113+J114)*Calc_ROM_1[Ausnet])</f>
        <v>-</v>
      </c>
      <c r="K115" s="66" t="str" cm="1">
        <f t="array" ref="K115">IF(K113=0,"-",
(K113+K114)*Calc_ROM_1[Ausnet])</f>
        <v>-</v>
      </c>
    </row>
    <row r="116" spans="2:11" outlineLevel="1">
      <c r="B116"/>
      <c r="C116" s="20" t="s">
        <v>98</v>
      </c>
      <c r="D116" s="20" t="s">
        <v>7</v>
      </c>
      <c r="E116" s="20" t="s">
        <v>68</v>
      </c>
      <c r="F116" s="20" t="s">
        <v>66</v>
      </c>
      <c r="G116" s="66">
        <f>IF(G113=0,"-",
(G113+G114+G115)*GST)</f>
        <v>3.9962937520975586E-2</v>
      </c>
      <c r="H116" s="66" t="str">
        <f>IF(H113=0,"-",
(H113+H114+H115)*GST)</f>
        <v>-</v>
      </c>
      <c r="I116" s="66" t="str">
        <f>IF(I113=0,"-",
(I113+I114+I115)*GST)</f>
        <v>-</v>
      </c>
      <c r="J116" s="66" t="str">
        <f>IF(J113=0,"-",
(J113+J114+J115)*GST)</f>
        <v>-</v>
      </c>
      <c r="K116" s="66" t="str">
        <f>IF(K113=0,"-",
(K113+K114+K115)*GST)</f>
        <v>-</v>
      </c>
    </row>
    <row r="117" spans="2:11" outlineLevel="1">
      <c r="B117"/>
      <c r="C117" s="20" t="str">
        <f>C112&amp;" charge"</f>
        <v>Balance charge</v>
      </c>
      <c r="D117" s="20" t="s">
        <v>7</v>
      </c>
      <c r="E117" s="20" t="s">
        <v>68</v>
      </c>
      <c r="F117" s="20" t="s">
        <v>66</v>
      </c>
      <c r="G117" s="67">
        <f>IF(G113=0,"-",
SUM(G113:G116))</f>
        <v>0.4395923127307314</v>
      </c>
      <c r="H117" s="67" t="str">
        <f>IF(H113=0,"-",
SUM(H113:H116))</f>
        <v>-</v>
      </c>
      <c r="I117" s="67" t="str">
        <f t="shared" ref="I117" si="31">IF(I113=0,"-",
SUM(I113:I116))</f>
        <v>-</v>
      </c>
      <c r="J117" s="67" t="str">
        <f t="shared" ref="J117" si="32">IF(J113=0,"-",
SUM(J113:J116))</f>
        <v>-</v>
      </c>
      <c r="K117" s="67" t="str">
        <f t="shared" ref="K117" si="33">IF(K113=0,"-",
SUM(K113:K116))</f>
        <v>-</v>
      </c>
    </row>
    <row r="118" spans="2:11" outlineLevel="1">
      <c r="B118"/>
      <c r="G118" s="94" cm="1">
        <f t="array" ref="G118">IF(G117="-","-",
IF(ROUND(G117,8)=ROUND((((
SUMIFS(Calc_Variable_1[Ausnet],Calc_Variable_1[Customer type],Calc_Rates!$F117)+
SUMIFS(Calc_Variable_1[Ausnet],Calc_Variable_1[Customer type],"All")+G113)*(1+Calc_ROM_1[Ausnet]))*(1+GST)),8),0,1))</f>
        <v>0</v>
      </c>
      <c r="H118" s="94" t="str" cm="1">
        <f t="array" ref="H118">IF(H117="-","-",
IF(ROUND(H117,8)=ROUND((((
SUMIFS(Calc_Variable_1[Citipower],Calc_Variable_1[Customer type],Calc_Rates!$F117)+
SUMIFS(Calc_Variable_1[Citipower],Calc_Variable_1[Customer type],"All")+H113)*(1+Calc_ROM_1[Citipower]))*(1+GST)),8),0,1))</f>
        <v>-</v>
      </c>
      <c r="I118" s="94" t="str" cm="1">
        <f t="array" ref="I118">IF(I117="-","-",
IF(ROUND(I117,8)=ROUND((((
SUMIFS(Calc_Variable_1[Jemena],Calc_Variable_1[Customer type],Calc_Rates!$F117)+
SUMIFS(Calc_Variable_1[Jemena],Calc_Variable_1[Customer type],"All")+I113)*(1+Calc_ROM_1[Jemena]))*(1+GST)),8),0,1))</f>
        <v>-</v>
      </c>
      <c r="J118" s="94" t="str" cm="1">
        <f t="array" ref="J118">IF(J117="-","-",
IF(ROUND(J117,8)=ROUND((((
SUMIFS(Calc_Variable_1[Powercor],Calc_Variable_1[Customer type],Calc_Rates!$F117)+
SUMIFS(Calc_Variable_1[Powercor],Calc_Variable_1[Customer type],"All")+J113)*(1+Calc_ROM_1[Powercor]))*(1+GST)),8),0,1))</f>
        <v>-</v>
      </c>
      <c r="K118" s="94" t="str" cm="1">
        <f t="array" ref="K118">IF(K117="-","-",
IF(ROUND(K117,8)=ROUND((((
SUMIFS(Calc_Variable_1[United Energy],Calc_Variable_1[[Customer type]:[Customer type]],Calc_Rates!$F117)+
SUMIFS(Calc_Variable_1[United Energy],Calc_Variable_1[[Customer type]:[Customer type]],"All")+K113)*(1+Calc_ROM_1[United Energy]))*(1+GST)),8),0,1))</f>
        <v>-</v>
      </c>
    </row>
    <row r="119" spans="2:11" ht="15.5" outlineLevel="1">
      <c r="B119"/>
      <c r="C119" s="74" t="s">
        <v>70</v>
      </c>
    </row>
    <row r="120" spans="2:11" outlineLevel="1">
      <c r="B120"/>
      <c r="C120" s="20" t="s">
        <v>96</v>
      </c>
      <c r="D120" s="20" t="s">
        <v>7</v>
      </c>
      <c r="E120" s="20" t="s">
        <v>68</v>
      </c>
      <c r="F120" s="20" t="s">
        <v>66</v>
      </c>
      <c r="G120" s="55">
        <f>SUMIFS(Calc_NetworkV_1[Ausnet],Calc_NetworkV_1[[Cost item]:[Cost item]],$C119,Calc_NetworkV_1[[Customer type]:[Customer type]],$F120)</f>
        <v>0</v>
      </c>
      <c r="H120" s="55">
        <f>SUMIFS(Calc_NetworkV_1[Citipower],Calc_NetworkV_1[[Cost item]:[Cost item]],$C119,Calc_NetworkV_1[[Customer type]:[Customer type]],$F120)</f>
        <v>8.1500000000000003E-2</v>
      </c>
      <c r="I120" s="55">
        <f>SUMIFS(Calc_NetworkV_1[Jemena],Calc_NetworkV_1[[Cost item]:[Cost item]],$C119,Calc_NetworkV_1[[Customer type]:[Customer type]],$F120)</f>
        <v>0.11834</v>
      </c>
      <c r="J120" s="55">
        <f>SUMIFS(Calc_NetworkV_1[Powercor],Calc_NetworkV_1[[Cost item]:[Cost item]],$C119,Calc_NetworkV_1[[Customer type]:[Customer type]],$F120)</f>
        <v>9.8100000000000007E-2</v>
      </c>
      <c r="K120" s="55">
        <f>SUMIFS(Calc_NetworkV_1[United Energy],Calc_NetworkV_1[[Cost item]:[Cost item]],$C119,Calc_NetworkV_1[[Customer type]:[Customer type]],$F120)</f>
        <v>9.3900000000000011E-2</v>
      </c>
    </row>
    <row r="121" spans="2:11" outlineLevel="1">
      <c r="B121"/>
      <c r="C121" s="20" t="s">
        <v>101</v>
      </c>
      <c r="D121" s="20" t="s">
        <v>7</v>
      </c>
      <c r="E121" s="20" t="s">
        <v>68</v>
      </c>
      <c r="F121" s="20" t="s">
        <v>66</v>
      </c>
      <c r="G121" s="55">
        <f>SUMIFS(Calc_Variable_1[Ausnet],Calc_Variable_1[[Customer type]:[Customer type]],"All")+SUMIFS(Calc_Variable_1[Ausnet],Calc_Variable_1[[Customer type]:[Customer type]],$F121)</f>
        <v>0.1722283227437626</v>
      </c>
      <c r="H121" s="55">
        <f>SUMIFS(Calc_Variable_1[Citipower],Calc_Variable_1[[Customer type]:[Customer type]],"All")+SUMIFS(Calc_Variable_1[Citipower],Calc_Variable_1[[Customer type]:[Customer type]],$F121)</f>
        <v>0.16364095710090915</v>
      </c>
      <c r="I121" s="55">
        <f>SUMIFS(Calc_Variable_1[Jemena],Calc_Variable_1[[Customer type]:[Customer type]],"All")+SUMIFS(Calc_Variable_1[Jemena],Calc_Variable_1[[Customer type]:[Customer type]],$F121)</f>
        <v>0.16759264802255802</v>
      </c>
      <c r="J121" s="55">
        <f>SUMIFS(Calc_Variable_1[Powercor],Calc_Variable_1[[Customer type]:[Customer type]],"All")+SUMIFS(Calc_Variable_1[Powercor],Calc_Variable_1[[Customer type]:[Customer type]],$F121)</f>
        <v>0.16670645743789725</v>
      </c>
      <c r="K121" s="55">
        <f>SUMIFS(Calc_Variable_1[United Energy],Calc_Variable_1[[Customer type]:[Customer type]],"All")+SUMIFS(Calc_Variable_1[United Energy],Calc_Variable_1[[Customer type]:[Customer type]],$F121)</f>
        <v>0.16802126454778582</v>
      </c>
    </row>
    <row r="122" spans="2:11" outlineLevel="1">
      <c r="B122"/>
      <c r="C122" s="20" t="s">
        <v>97</v>
      </c>
      <c r="D122" s="20" t="s">
        <v>7</v>
      </c>
      <c r="E122" s="20" t="s">
        <v>68</v>
      </c>
      <c r="F122" s="20" t="s">
        <v>66</v>
      </c>
      <c r="G122" s="66" t="str" cm="1">
        <f t="array" ref="G122">IF(G120=0,"-",
(G120+G121)*Calc_ROM_1[Ausnet])</f>
        <v>-</v>
      </c>
      <c r="H122" s="66" cm="1">
        <f t="array" ref="H122">IF(H120=0,"-",
(H120+H121)*Calc_ROM_1[Ausnet])</f>
        <v>1.3727893597650913E-2</v>
      </c>
      <c r="I122" s="66" cm="1">
        <f t="array" ref="I122">IF(I120=0,"-",
(I120+I121)*Calc_ROM_1[Ausnet])</f>
        <v>1.6012228289263249E-2</v>
      </c>
      <c r="J122" s="66" cm="1">
        <f t="array" ref="J122">IF(J120=0,"-",
(J120+J121)*Calc_ROM_1[Ausnet])</f>
        <v>1.4829161616522247E-2</v>
      </c>
      <c r="K122" s="66" cm="1">
        <f t="array" ref="K122">IF(K120=0,"-",
(K120+K121)*Calc_ROM_1[Ausnet])</f>
        <v>1.4667590814676008E-2</v>
      </c>
    </row>
    <row r="123" spans="2:11" outlineLevel="1">
      <c r="B123"/>
      <c r="C123" s="20" t="s">
        <v>98</v>
      </c>
      <c r="D123" s="20" t="s">
        <v>7</v>
      </c>
      <c r="E123" s="20" t="s">
        <v>68</v>
      </c>
      <c r="F123" s="20" t="s">
        <v>66</v>
      </c>
      <c r="G123" s="66" t="str">
        <f>IF(G120=0,"-",
(G120+G121+G122)*GST)</f>
        <v>-</v>
      </c>
      <c r="H123" s="66">
        <f>IF(H120=0,"-",
(H120+H121+H122)*GST)</f>
        <v>2.5886885069856008E-2</v>
      </c>
      <c r="I123" s="66">
        <f>IF(I120=0,"-",
(I120+I121+I122)*GST)</f>
        <v>3.0194487631182126E-2</v>
      </c>
      <c r="J123" s="66">
        <f>IF(J120=0,"-",
(J120+J121+J122)*GST)</f>
        <v>2.7963561905441955E-2</v>
      </c>
      <c r="K123" s="66">
        <f>IF(K120=0,"-",
(K120+K121+K122)*GST)</f>
        <v>2.7658885536246187E-2</v>
      </c>
    </row>
    <row r="124" spans="2:11" outlineLevel="1">
      <c r="B124"/>
      <c r="C124" s="20" t="str">
        <f>C119&amp;" charge"</f>
        <v>Single rate charge</v>
      </c>
      <c r="D124" s="20" t="s">
        <v>7</v>
      </c>
      <c r="E124" s="20" t="s">
        <v>68</v>
      </c>
      <c r="F124" s="20" t="s">
        <v>66</v>
      </c>
      <c r="G124" s="67" t="str">
        <f>IF(G120=0,"-",
SUM(G120:G123))</f>
        <v>-</v>
      </c>
      <c r="H124" s="67">
        <f>IF(H120=0,"-",
SUM(H120:H123))</f>
        <v>0.28475573576841606</v>
      </c>
      <c r="I124" s="67">
        <f t="shared" ref="I124" si="34">IF(I120=0,"-",
SUM(I120:I123))</f>
        <v>0.33213936394300336</v>
      </c>
      <c r="J124" s="67">
        <f t="shared" ref="J124" si="35">IF(J120=0,"-",
SUM(J120:J123))</f>
        <v>0.3075991809598615</v>
      </c>
      <c r="K124" s="67">
        <f t="shared" ref="K124" si="36">IF(K120=0,"-",
SUM(K120:K123))</f>
        <v>0.30424774089870804</v>
      </c>
    </row>
    <row r="125" spans="2:11" outlineLevel="1">
      <c r="B125"/>
      <c r="G125" s="94" t="str" cm="1">
        <f t="array" ref="G125">IF(G124="-","-",
IF(ROUND(G124,8)=ROUND((((
SUMIFS(Calc_Variable_1[Ausnet],Calc_Variable_1[Customer type],Calc_Rates!$F124)+
SUMIFS(Calc_Variable_1[Ausnet],Calc_Variable_1[Customer type],"All")+G120)*(1+Calc_ROM_1[Ausnet]))*(1+GST)),8),0,1))</f>
        <v>-</v>
      </c>
      <c r="H125" s="94" cm="1">
        <f t="array" ref="H125">IF(H124="-","-",
IF(ROUND(H124,8)=ROUND((((
SUMIFS(Calc_Variable_1[Citipower],Calc_Variable_1[Customer type],Calc_Rates!$F124)+
SUMIFS(Calc_Variable_1[Citipower],Calc_Variable_1[Customer type],"All")+H120)*(1+Calc_ROM_1[Citipower]))*(1+GST)),8),0,1))</f>
        <v>0</v>
      </c>
      <c r="I125" s="94" cm="1">
        <f t="array" ref="I125">IF(I124="-","-",
IF(ROUND(I124,8)=ROUND((((
SUMIFS(Calc_Variable_1[Jemena],Calc_Variable_1[Customer type],Calc_Rates!$F124)+
SUMIFS(Calc_Variable_1[Jemena],Calc_Variable_1[Customer type],"All")+I120)*(1+Calc_ROM_1[Jemena]))*(1+GST)),8),0,1))</f>
        <v>0</v>
      </c>
      <c r="J125" s="94" cm="1">
        <f t="array" ref="J125">IF(J124="-","-",
IF(ROUND(J124,8)=ROUND((((
SUMIFS(Calc_Variable_1[Powercor],Calc_Variable_1[Customer type],Calc_Rates!$F124)+
SUMIFS(Calc_Variable_1[Powercor],Calc_Variable_1[Customer type],"All")+J120)*(1+Calc_ROM_1[Powercor]))*(1+GST)),8),0,1))</f>
        <v>0</v>
      </c>
      <c r="K125" s="94" cm="1">
        <f t="array" ref="K125">IF(K124="-","-",
IF(ROUND(K124,8)=ROUND((((
SUMIFS(Calc_Variable_1[United Energy],Calc_Variable_1[[Customer type]:[Customer type]],Calc_Rates!$F124)+
SUMIFS(Calc_Variable_1[United Energy],Calc_Variable_1[[Customer type]:[Customer type]],"All")+K120)*(1+Calc_ROM_1[United Energy]))*(1+GST)),8),0,1))</f>
        <v>0</v>
      </c>
    </row>
    <row r="126" spans="2:11" ht="15.5" outlineLevel="1">
      <c r="B126"/>
      <c r="C126" s="120" t="s">
        <v>108</v>
      </c>
    </row>
    <row r="127" spans="2:11" ht="15.5" outlineLevel="1">
      <c r="B127"/>
      <c r="C127" s="74" t="s">
        <v>72</v>
      </c>
    </row>
    <row r="128" spans="2:11" outlineLevel="1">
      <c r="B128"/>
      <c r="C128" s="20" t="s">
        <v>96</v>
      </c>
      <c r="D128" s="20" t="s">
        <v>7</v>
      </c>
      <c r="E128" s="20" t="s">
        <v>68</v>
      </c>
      <c r="F128" s="20" t="s">
        <v>66</v>
      </c>
      <c r="G128" s="55">
        <f>SUMIFS(Calc_NetworkV_1[Ausnet],Calc_NetworkV_1[[Cost item]:[Cost item]],$C127,Calc_NetworkV_1[[Customer type]:[Customer type]],$F128)</f>
        <v>0.19642449948699095</v>
      </c>
      <c r="H128" s="55">
        <f>SUMIFS(Calc_NetworkV_1[Citipower],Calc_NetworkV_1[[Cost item]:[Cost item]],$C127,Calc_NetworkV_1[[Customer type]:[Customer type]],$F128)</f>
        <v>0.13269999999999998</v>
      </c>
      <c r="I128" s="55">
        <f>SUMIFS(Calc_NetworkV_1[Jemena],Calc_NetworkV_1[[Cost item]:[Cost item]],$C127,Calc_NetworkV_1[[Customer type]:[Customer type]],$F128)</f>
        <v>0.15096999999999999</v>
      </c>
      <c r="J128" s="55">
        <f>SUMIFS(Calc_NetworkV_1[Powercor],Calc_NetworkV_1[[Cost item]:[Cost item]],$C127,Calc_NetworkV_1[[Customer type]:[Customer type]],$F128)</f>
        <v>0.17460000000000001</v>
      </c>
      <c r="K128" s="55">
        <f>SUMIFS(Calc_NetworkV_1[United Energy],Calc_NetworkV_1[[Cost item]:[Cost item]],$C127,Calc_NetworkV_1[[Customer type]:[Customer type]],$F128)</f>
        <v>0.15410000000000001</v>
      </c>
    </row>
    <row r="129" spans="1:11" outlineLevel="1">
      <c r="B129"/>
      <c r="C129" s="20" t="s">
        <v>101</v>
      </c>
      <c r="D129" s="20" t="s">
        <v>7</v>
      </c>
      <c r="E129" s="20" t="s">
        <v>68</v>
      </c>
      <c r="F129" s="20" t="s">
        <v>66</v>
      </c>
      <c r="G129" s="55">
        <f>SUMIFS(Calc_Variable_1[Ausnet],Calc_Variable_1[[Customer type]:[Customer type]],"All")+SUMIFS(Calc_Variable_1[Ausnet],Calc_Variable_1[[Customer type]:[Customer type]],$F129)</f>
        <v>0.1722283227437626</v>
      </c>
      <c r="H129" s="55">
        <f>SUMIFS(Calc_Variable_1[Citipower],Calc_Variable_1[[Customer type]:[Customer type]],"All")+SUMIFS(Calc_Variable_1[Citipower],Calc_Variable_1[[Customer type]:[Customer type]],$F129)</f>
        <v>0.16364095710090915</v>
      </c>
      <c r="I129" s="55">
        <f>SUMIFS(Calc_Variable_1[Jemena],Calc_Variable_1[[Customer type]:[Customer type]],"All")+SUMIFS(Calc_Variable_1[Jemena],Calc_Variable_1[[Customer type]:[Customer type]],$F129)</f>
        <v>0.16759264802255802</v>
      </c>
      <c r="J129" s="55">
        <f>SUMIFS(Calc_Variable_1[Powercor],Calc_Variable_1[[Customer type]:[Customer type]],"All")+SUMIFS(Calc_Variable_1[Powercor],Calc_Variable_1[[Customer type]:[Customer type]],$F129)</f>
        <v>0.16670645743789725</v>
      </c>
      <c r="K129" s="55">
        <f>SUMIFS(Calc_Variable_1[United Energy],Calc_Variable_1[[Customer type]:[Customer type]],"All")+SUMIFS(Calc_Variable_1[United Energy],Calc_Variable_1[[Customer type]:[Customer type]],$F129)</f>
        <v>0.16802126454778582</v>
      </c>
    </row>
    <row r="130" spans="1:11" outlineLevel="1">
      <c r="B130"/>
      <c r="C130" s="20" t="s">
        <v>97</v>
      </c>
      <c r="D130" s="20" t="s">
        <v>7</v>
      </c>
      <c r="E130" s="20" t="s">
        <v>68</v>
      </c>
      <c r="F130" s="20" t="s">
        <v>66</v>
      </c>
      <c r="G130" s="66" cm="1">
        <f t="array" ref="G130">IF(G128=0,"-",
(G128+G129)*Calc_ROM_1[Ausnet])</f>
        <v>2.0644558044922202E-2</v>
      </c>
      <c r="H130" s="66" cm="1">
        <f t="array" ref="H130">IF(H128=0,"-",
(H128+H129)*Calc_ROM_1[Ausnet])</f>
        <v>1.6595093597650913E-2</v>
      </c>
      <c r="I130" s="66" cm="1">
        <f t="array" ref="I130">IF(I128=0,"-",
(I128+I129)*Calc_ROM_1[Ausnet])</f>
        <v>1.7839508289263249E-2</v>
      </c>
      <c r="J130" s="66" cm="1">
        <f t="array" ref="J130">IF(J128=0,"-",
(J128+J129)*Calc_ROM_1[Ausnet])</f>
        <v>1.9113161616522246E-2</v>
      </c>
      <c r="K130" s="66" cm="1">
        <f t="array" ref="K130">IF(K128=0,"-",
(K128+K129)*Calc_ROM_1[Ausnet])</f>
        <v>1.8038790814676006E-2</v>
      </c>
    </row>
    <row r="131" spans="1:11" outlineLevel="1">
      <c r="B131"/>
      <c r="C131" s="20" t="s">
        <v>98</v>
      </c>
      <c r="D131" s="20" t="s">
        <v>7</v>
      </c>
      <c r="E131" s="20" t="s">
        <v>68</v>
      </c>
      <c r="F131" s="20" t="s">
        <v>66</v>
      </c>
      <c r="G131" s="66">
        <f>IF(G128=0,"-",
(G128+G129+G130)*GST)</f>
        <v>3.8929738027567579E-2</v>
      </c>
      <c r="H131" s="66">
        <f>IF(H128=0,"-",
(H128+H129+H130)*GST)</f>
        <v>3.1293605069856005E-2</v>
      </c>
      <c r="I131" s="66">
        <f>IF(I128=0,"-",
(I128+I129+I130)*GST)</f>
        <v>3.3640215631182128E-2</v>
      </c>
      <c r="J131" s="66">
        <f>IF(J128=0,"-",
(J128+J129+J130)*GST)</f>
        <v>3.6041961905441948E-2</v>
      </c>
      <c r="K131" s="66">
        <f>IF(K128=0,"-",
(K128+K129+K130)*GST)</f>
        <v>3.4016005536246188E-2</v>
      </c>
    </row>
    <row r="132" spans="1:11" outlineLevel="1">
      <c r="B132"/>
      <c r="C132" s="20" t="str">
        <f>C127&amp;" charge"</f>
        <v>Peak charge</v>
      </c>
      <c r="D132" s="20" t="s">
        <v>7</v>
      </c>
      <c r="E132" s="20" t="s">
        <v>68</v>
      </c>
      <c r="F132" s="20" t="s">
        <v>66</v>
      </c>
      <c r="G132" s="67">
        <f>IF(G128=0,"-",
SUM(G128:G131))</f>
        <v>0.42822711830324334</v>
      </c>
      <c r="H132" s="67">
        <f>IF(H128=0,"-",
SUM(H128:H131))</f>
        <v>0.34422965576841608</v>
      </c>
      <c r="I132" s="67">
        <f t="shared" ref="I132" si="37">IF(I128=0,"-",
SUM(I128:I131))</f>
        <v>0.37004237194300338</v>
      </c>
      <c r="J132" s="67">
        <f t="shared" ref="J132" si="38">IF(J128=0,"-",
SUM(J128:J131))</f>
        <v>0.39646158095986145</v>
      </c>
      <c r="K132" s="67">
        <f t="shared" ref="K132" si="39">IF(K128=0,"-",
SUM(K128:K131))</f>
        <v>0.37417606089870803</v>
      </c>
    </row>
    <row r="133" spans="1:11" outlineLevel="1">
      <c r="B133"/>
      <c r="G133" s="94" cm="1">
        <f t="array" ref="G133">IF(G132="-","-",
IF(ROUND(G132,8)=ROUND((((
SUMIFS(Calc_Variable_1[Ausnet],Calc_Variable_1[Customer type],Calc_Rates!$F132)+
SUMIFS(Calc_Variable_1[Ausnet],Calc_Variable_1[Customer type],"All")+G128)*(1+Calc_ROM_1[Ausnet]))*(1+GST)),8),0,1))</f>
        <v>0</v>
      </c>
      <c r="H133" s="94" cm="1">
        <f t="array" ref="H133">IF(H132="-","-",
IF(ROUND(H132,8)=ROUND((((
SUMIFS(Calc_Variable_1[Citipower],Calc_Variable_1[Customer type],Calc_Rates!$F132)+
SUMIFS(Calc_Variable_1[Citipower],Calc_Variable_1[Customer type],"All")+H128)*(1+Calc_ROM_1[Citipower]))*(1+GST)),8),0,1))</f>
        <v>0</v>
      </c>
      <c r="I133" s="94" cm="1">
        <f t="array" ref="I133">IF(I132="-","-",
IF(ROUND(I132,8)=ROUND((((
SUMIFS(Calc_Variable_1[Jemena],Calc_Variable_1[Customer type],Calc_Rates!$F132)+
SUMIFS(Calc_Variable_1[Jemena],Calc_Variable_1[Customer type],"All")+I128)*(1+Calc_ROM_1[Jemena]))*(1+GST)),8),0,1))</f>
        <v>0</v>
      </c>
      <c r="J133" s="94" cm="1">
        <f t="array" ref="J133">IF(J132="-","-",
IF(ROUND(J132,8)=ROUND((((
SUMIFS(Calc_Variable_1[Powercor],Calc_Variable_1[Customer type],Calc_Rates!$F132)+
SUMIFS(Calc_Variable_1[Powercor],Calc_Variable_1[Customer type],"All")+J128)*(1+Calc_ROM_1[Powercor]))*(1+GST)),8),0,1))</f>
        <v>0</v>
      </c>
      <c r="K133" s="94" cm="1">
        <f t="array" ref="K133">IF(K132="-","-",
IF(ROUND(K132,8)=ROUND((((
SUMIFS(Calc_Variable_1[United Energy],Calc_Variable_1[[Customer type]:[Customer type]],Calc_Rates!$F132)+
SUMIFS(Calc_Variable_1[United Energy],Calc_Variable_1[[Customer type]:[Customer type]],"All")+K128)*(1+Calc_ROM_1[United Energy]))*(1+GST)),8),0,1))</f>
        <v>0</v>
      </c>
    </row>
    <row r="134" spans="1:11" ht="15.5" outlineLevel="1">
      <c r="B134"/>
      <c r="C134" s="74" t="s">
        <v>73</v>
      </c>
    </row>
    <row r="135" spans="1:11" outlineLevel="1">
      <c r="B135"/>
      <c r="C135" s="20" t="s">
        <v>96</v>
      </c>
      <c r="D135" s="20" t="s">
        <v>7</v>
      </c>
      <c r="E135" s="20" t="s">
        <v>68</v>
      </c>
      <c r="F135" s="20" t="s">
        <v>66</v>
      </c>
      <c r="G135" s="55">
        <f>SUMIFS(Calc_NetworkV_1[Ausnet],Calc_NetworkV_1[[Cost item]:[Cost item]],$C134,Calc_NetworkV_1[[Customer type]:[Customer type]],$F135)</f>
        <v>4.7425752712530557E-2</v>
      </c>
      <c r="H135" s="55">
        <f>SUMIFS(Calc_NetworkV_1[Citipower],Calc_NetworkV_1[[Cost item]:[Cost item]],$C134,Calc_NetworkV_1[[Customer type]:[Customer type]],$F135)</f>
        <v>2.9500000000000002E-2</v>
      </c>
      <c r="I135" s="55">
        <f>SUMIFS(Calc_NetworkV_1[Jemena],Calc_NetworkV_1[[Cost item]:[Cost item]],$C134,Calc_NetworkV_1[[Customer type]:[Customer type]],$F135)</f>
        <v>3.2259999999999997E-2</v>
      </c>
      <c r="J135" s="55">
        <f>SUMIFS(Calc_NetworkV_1[Powercor],Calc_NetworkV_1[[Cost item]:[Cost item]],$C134,Calc_NetworkV_1[[Customer type]:[Customer type]],$F135)</f>
        <v>3.8800000000000001E-2</v>
      </c>
      <c r="K135" s="55">
        <f>SUMIFS(Calc_NetworkV_1[United Energy],Calc_NetworkV_1[[Cost item]:[Cost item]],$C134,Calc_NetworkV_1[[Customer type]:[Customer type]],$F135)</f>
        <v>3.4299999999999997E-2</v>
      </c>
    </row>
    <row r="136" spans="1:11" outlineLevel="1">
      <c r="B136"/>
      <c r="C136" s="20" t="s">
        <v>101</v>
      </c>
      <c r="D136" s="20" t="s">
        <v>7</v>
      </c>
      <c r="E136" s="20" t="s">
        <v>68</v>
      </c>
      <c r="F136" s="20" t="s">
        <v>66</v>
      </c>
      <c r="G136" s="55">
        <f>SUMIFS(Calc_Variable_1[Ausnet],Calc_Variable_1[[Customer type]:[Customer type]],"All")+SUMIFS(Calc_Variable_1[Ausnet],Calc_Variable_1[[Customer type]:[Customer type]],$F136)</f>
        <v>0.1722283227437626</v>
      </c>
      <c r="H136" s="55">
        <f>SUMIFS(Calc_Variable_1[Citipower],Calc_Variable_1[[Customer type]:[Customer type]],"All")+SUMIFS(Calc_Variable_1[Citipower],Calc_Variable_1[[Customer type]:[Customer type]],$F136)</f>
        <v>0.16364095710090915</v>
      </c>
      <c r="I136" s="55">
        <f>SUMIFS(Calc_Variable_1[Jemena],Calc_Variable_1[[Customer type]:[Customer type]],"All")+SUMIFS(Calc_Variable_1[Jemena],Calc_Variable_1[[Customer type]:[Customer type]],$F136)</f>
        <v>0.16759264802255802</v>
      </c>
      <c r="J136" s="55">
        <f>SUMIFS(Calc_Variable_1[Powercor],Calc_Variable_1[[Customer type]:[Customer type]],"All")+SUMIFS(Calc_Variable_1[Powercor],Calc_Variable_1[[Customer type]:[Customer type]],$F136)</f>
        <v>0.16670645743789725</v>
      </c>
      <c r="K136" s="55">
        <f>SUMIFS(Calc_Variable_1[United Energy],Calc_Variable_1[[Customer type]:[Customer type]],"All")+SUMIFS(Calc_Variable_1[United Energy],Calc_Variable_1[[Customer type]:[Customer type]],$F136)</f>
        <v>0.16802126454778582</v>
      </c>
    </row>
    <row r="137" spans="1:11" ht="15.5" outlineLevel="1" collapsed="1">
      <c r="A137" s="1" t="s">
        <v>18</v>
      </c>
      <c r="C137" s="20" t="s">
        <v>97</v>
      </c>
      <c r="D137" s="20" t="s">
        <v>7</v>
      </c>
      <c r="E137" s="20" t="s">
        <v>68</v>
      </c>
      <c r="F137" s="20" t="s">
        <v>66</v>
      </c>
      <c r="G137" s="66" cm="1">
        <f t="array" ref="G137">IF(G135=0,"-",
(G135+G136)*Calc_ROM_1[Ausnet])</f>
        <v>1.2300628225552416E-2</v>
      </c>
      <c r="H137" s="66" cm="1">
        <f t="array" ref="H137">IF(H135=0,"-",
(H135+H136)*Calc_ROM_1[Ausnet])</f>
        <v>1.0815893597650911E-2</v>
      </c>
      <c r="I137" s="66" cm="1">
        <f t="array" ref="I137">IF(I135=0,"-",
(I135+I136)*Calc_ROM_1[Ausnet])</f>
        <v>1.119174828926325E-2</v>
      </c>
      <c r="J137" s="66" cm="1">
        <f t="array" ref="J137">IF(J135=0,"-",
(J135+J136)*Calc_ROM_1[Ausnet])</f>
        <v>1.1508361616522246E-2</v>
      </c>
      <c r="K137" s="66" cm="1">
        <f t="array" ref="K137">IF(K135=0,"-",
(K135+K136)*Calc_ROM_1[Ausnet])</f>
        <v>1.1329990814676005E-2</v>
      </c>
    </row>
    <row r="138" spans="1:11" outlineLevel="1">
      <c r="C138" s="20" t="s">
        <v>98</v>
      </c>
      <c r="D138" s="20" t="s">
        <v>7</v>
      </c>
      <c r="E138" s="20" t="s">
        <v>68</v>
      </c>
      <c r="F138" s="20" t="s">
        <v>66</v>
      </c>
      <c r="G138" s="66">
        <f>IF(G135=0,"-",
(G135+G136+G137)*GST)</f>
        <v>2.3195470368184559E-2</v>
      </c>
      <c r="H138" s="66">
        <f>IF(H135=0,"-",
(H135+H136+H137)*GST)</f>
        <v>2.0395685069856007E-2</v>
      </c>
      <c r="I138" s="66">
        <f>IF(I135=0,"-",
(I135+I136+I137)*GST)</f>
        <v>2.110443963118213E-2</v>
      </c>
      <c r="J138" s="66">
        <f>IF(J135=0,"-",
(J135+J136+J137)*GST)</f>
        <v>2.1701481905441952E-2</v>
      </c>
      <c r="K138" s="66">
        <f>IF(K135=0,"-",
(K135+K136+K137)*GST)</f>
        <v>2.1365125536246185E-2</v>
      </c>
    </row>
    <row r="139" spans="1:11" outlineLevel="1">
      <c r="C139" s="20" t="str">
        <f>C134&amp;" charge"</f>
        <v>Off peak charge</v>
      </c>
      <c r="D139" s="20" t="s">
        <v>7</v>
      </c>
      <c r="E139" s="20" t="s">
        <v>68</v>
      </c>
      <c r="F139" s="20" t="s">
        <v>66</v>
      </c>
      <c r="G139" s="67">
        <f>IF(G135=0,"-",
SUM(G135:G138))</f>
        <v>0.2551501740500301</v>
      </c>
      <c r="H139" s="67">
        <f>IF(H135=0,"-",
SUM(H135:H138))</f>
        <v>0.22435253576841607</v>
      </c>
      <c r="I139" s="67">
        <f t="shared" ref="I139" si="40">IF(I135=0,"-",
SUM(I135:I138))</f>
        <v>0.23214883594300342</v>
      </c>
      <c r="J139" s="67">
        <f t="shared" ref="J139" si="41">IF(J135=0,"-",
SUM(J135:J138))</f>
        <v>0.23871630095986146</v>
      </c>
      <c r="K139" s="67">
        <f t="shared" ref="K139" si="42">IF(K135=0,"-",
SUM(K135:K138))</f>
        <v>0.23501638089870802</v>
      </c>
    </row>
    <row r="140" spans="1:11" outlineLevel="1">
      <c r="G140" s="94" cm="1">
        <f t="array" ref="G140">IF(G139="-","-",
IF(ROUND(G139,8)=ROUND((((
SUMIFS(Calc_Variable_1[Ausnet],Calc_Variable_1[Customer type],Calc_Rates!$F139)+
SUMIFS(Calc_Variable_1[Ausnet],Calc_Variable_1[Customer type],"All")+G135)*(1+Calc_ROM_1[Ausnet]))*(1+GST)),8),0,1))</f>
        <v>0</v>
      </c>
      <c r="H140" s="94" cm="1">
        <f t="array" ref="H140">IF(H139="-","-",
IF(ROUND(H139,8)=ROUND((((
SUMIFS(Calc_Variable_1[Citipower],Calc_Variable_1[Customer type],Calc_Rates!$F139)+
SUMIFS(Calc_Variable_1[Citipower],Calc_Variable_1[Customer type],"All")+H135)*(1+Calc_ROM_1[Citipower]))*(1+GST)),8),0,1))</f>
        <v>0</v>
      </c>
      <c r="I140" s="94" cm="1">
        <f t="array" ref="I140">IF(I139="-","-",
IF(ROUND(I139,8)=ROUND((((
SUMIFS(Calc_Variable_1[Jemena],Calc_Variable_1[Customer type],Calc_Rates!$F139)+
SUMIFS(Calc_Variable_1[Jemena],Calc_Variable_1[Customer type],"All")+I135)*(1+Calc_ROM_1[Jemena]))*(1+GST)),8),0,1))</f>
        <v>0</v>
      </c>
      <c r="J140" s="94" cm="1">
        <f t="array" ref="J140">IF(J139="-","-",
IF(ROUND(J139,8)=ROUND((((
SUMIFS(Calc_Variable_1[Powercor],Calc_Variable_1[Customer type],Calc_Rates!$F139)+
SUMIFS(Calc_Variable_1[Powercor],Calc_Variable_1[Customer type],"All")+J135)*(1+Calc_ROM_1[Powercor]))*(1+GST)),8),0,1))</f>
        <v>0</v>
      </c>
      <c r="K140" s="94" cm="1">
        <f t="array" ref="K140">IF(K139="-","-",
IF(ROUND(K139,8)=ROUND((((
SUMIFS(Calc_Variable_1[United Energy],Calc_Variable_1[[Customer type]:[Customer type]],Calc_Rates!$F139)+
SUMIFS(Calc_Variable_1[United Energy],Calc_Variable_1[[Customer type]:[Customer type]],"All")+K135)*(1+Calc_ROM_1[United Energy]))*(1+GST)),8),0,1))</f>
        <v>0</v>
      </c>
    </row>
    <row r="142" spans="1:11" ht="16" thickBot="1">
      <c r="B142" s="216">
        <f ca="1">MAX(B$3:B141)+0.01</f>
        <v>13.02</v>
      </c>
      <c r="C142" s="25" t="s">
        <v>110</v>
      </c>
      <c r="D142" s="25"/>
      <c r="E142" s="25"/>
      <c r="F142" s="25"/>
      <c r="G142" s="25"/>
      <c r="H142" s="25"/>
      <c r="I142" s="25"/>
      <c r="J142" s="25"/>
      <c r="K142" s="25"/>
    </row>
    <row r="143" spans="1:11" outlineLevel="1"/>
    <row r="144" spans="1:11" ht="15.5" outlineLevel="1">
      <c r="C144" s="26" t="s">
        <v>48</v>
      </c>
    </row>
    <row r="145" spans="3:10" ht="15.5" outlineLevel="1">
      <c r="C145" s="49" t="s">
        <v>111</v>
      </c>
      <c r="D145" s="69">
        <f>IFERROR(INDEX(Input_CPI[Indice],MATCH($D$5,Input_CPI[Decision paper],0),1),"-")</f>
        <v>132.6</v>
      </c>
    </row>
    <row r="146" spans="3:10" ht="15.5" outlineLevel="1">
      <c r="C146" s="26"/>
    </row>
    <row r="147" spans="3:10" ht="15.5" outlineLevel="1">
      <c r="C147" s="39" t="s">
        <v>33</v>
      </c>
      <c r="D147" s="39" t="s">
        <v>88</v>
      </c>
      <c r="E147" s="39" t="s">
        <v>56</v>
      </c>
      <c r="F147" s="39" t="s">
        <v>57</v>
      </c>
      <c r="G147" s="39" t="s">
        <v>112</v>
      </c>
      <c r="H147" s="54" t="s">
        <v>113</v>
      </c>
      <c r="I147" s="54" t="s">
        <v>114</v>
      </c>
    </row>
    <row r="148" spans="3:10" outlineLevel="1">
      <c r="C148" s="20" t="s">
        <v>115</v>
      </c>
      <c r="D148" s="20"/>
      <c r="E148" s="20" t="str">
        <f>INDEX(Input_ForRateCalc[Unit],MATCH(Calc_CPI_1[[#This Row],[Cost item]],Input_ForRateCalc[Cost item],0),1)</f>
        <v>$</v>
      </c>
      <c r="F148" s="20" t="str">
        <f>INDEX(Input_ForRateCalc[Customer type],MATCH(Calc_CPI_1[[#This Row],[Cost item]],Input_ForRateCalc[Cost item],0),1)</f>
        <v>All</v>
      </c>
      <c r="G148" s="20" t="str">
        <f>INDEX(Input_CostItemCPI[[VDO 2021 - Final]:[VDO 2023-24 - Final]],MATCH(Calc_CPI_1[[#This Row],[Cost item]],Input_CostItemCPI[Cost item],0),MATCH($D$5,Input_CostItemCPI[[#Headers],[VDO 2021 - Final]:[VDO 2023-24 - Final]],0))</f>
        <v>Yes</v>
      </c>
      <c r="H148" s="210" cm="1">
        <f t="array" ref="H148">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5.1546391752577324E-2</v>
      </c>
      <c r="I148" s="55" cm="1">
        <f t="array" ref="I148">IFERROR((H148)*
INDEX(Input_ForRateCalc[],MATCH(Calc_CPI_1[[#This Row],[Cost item]:[Cost item]],Input_ForRateCalc[Cost item],0),MATCH($D$5,Inputs!$C$8:$Y$8,0)),"-")</f>
        <v>6.4721649484536092</v>
      </c>
    </row>
    <row r="149" spans="3:10" outlineLevel="1">
      <c r="C149" s="20" t="s">
        <v>116</v>
      </c>
      <c r="D149" s="20"/>
      <c r="E149" s="20" t="str">
        <f>INDEX(Input_ForRateCalc[Unit],MATCH(Calc_CPI_1[[#This Row],[Cost item]],Input_ForRateCalc[Cost item],0),1)</f>
        <v>$</v>
      </c>
      <c r="F149" s="20" t="s">
        <v>91</v>
      </c>
      <c r="G149" s="20" t="str">
        <f>INDEX(Input_CostItemCPI[[VDO 2021 - Final]:[VDO 2023-24 - Final]],MATCH(Calc_CPI_1[[#This Row],[Cost item]],Input_CostItemCPI[Cost item],0),MATCH($D$5,Input_CostItemCPI[[#Headers],[VDO 2021 - Final]:[VDO 2023-24 - Final]],0))</f>
        <v>No</v>
      </c>
      <c r="H149" s="210" cm="1">
        <f t="array" ref="H149">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49" s="55" cm="1">
        <f t="array" ref="I149">IFERROR((H149)*
INDEX(Input_ForRateCalc[],MATCH(Calc_CPI_1[[#This Row],[Cost item]:[Cost item]],Input_ForRateCalc[Cost item],0),MATCH($D$5,Inputs!$C$8:$Y$8,0)),"-")</f>
        <v>0</v>
      </c>
      <c r="J149" t="s">
        <v>117</v>
      </c>
    </row>
    <row r="150" spans="3:10" outlineLevel="1">
      <c r="C150" s="20" t="s">
        <v>118</v>
      </c>
      <c r="D150" s="20"/>
      <c r="E150" s="20" t="str">
        <f>INDEX(Input_ForRateCalc[Unit],MATCH(Calc_CPI_1[[#This Row],[Cost item]],Input_ForRateCalc[Cost item],0),1)</f>
        <v>$</v>
      </c>
      <c r="F150" s="20" t="str">
        <f>INDEX(Input_ForRateCalc[Customer type],MATCH(Calc_CPI_1[[#This Row],[Cost item]],Input_ForRateCalc[Cost item],0),1)</f>
        <v>All</v>
      </c>
      <c r="G150" s="20" t="str">
        <f>INDEX(Input_CostItemCPI[[VDO 2021 - Final]:[VDO 2023-24 - Final]],MATCH(Calc_CPI_1[[#This Row],[Cost item]],Input_CostItemCPI[Cost item],0),MATCH($D$5,Input_CostItemCPI[[#Headers],[VDO 2021 - Final]:[VDO 2023-24 - Final]],0))</f>
        <v>Yes</v>
      </c>
      <c r="H150" s="210" cm="1">
        <f t="array" ref="H150">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0.15505226480836234</v>
      </c>
      <c r="I150" s="55" cm="1">
        <f t="array" ref="I150">IFERROR((H150)*
INDEX(Input_ForRateCalc[],MATCH(Calc_CPI_1[[#This Row],[Cost item]:[Cost item]],Input_ForRateCalc[Cost item],0),MATCH($D$5,Inputs!$C$8:$Y$8,0)),"-")</f>
        <v>5.8919860627177689</v>
      </c>
    </row>
    <row r="151" spans="3:10" outlineLevel="1">
      <c r="C151" s="20" t="s">
        <v>119</v>
      </c>
      <c r="D151" s="20"/>
      <c r="E151" s="20" t="str">
        <f>INDEX(Input_ForRateCalc[Unit],MATCH(Calc_CPI_1[[#This Row],[Cost item]],Input_ForRateCalc[Cost item],0),1)</f>
        <v>$</v>
      </c>
      <c r="F151" s="20" t="str">
        <f>INDEX(Input_ForRateCalc[Customer type],MATCH(Calc_CPI_1[[#This Row],[Cost item]],Input_ForRateCalc[Cost item],0),1)</f>
        <v>All</v>
      </c>
      <c r="G151" s="20" t="str">
        <f>INDEX(Input_CostItemCPI[[VDO 2021 - Final]:[VDO 2023-24 - Final]],MATCH(Calc_CPI_1[[#This Row],[Cost item]],Input_CostItemCPI[Cost item],0),MATCH($D$5,Input_CostItemCPI[[#Headers],[VDO 2021 - Final]:[VDO 2023-24 - Final]],0))</f>
        <v>No</v>
      </c>
      <c r="H151" s="210" cm="1">
        <f t="array" ref="H151">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1" s="55" cm="1">
        <f t="array" ref="I151">IFERROR((H151)*
INDEX(Input_ForRateCalc[],MATCH(Calc_CPI_1[[#This Row],[Cost item]:[Cost item]],Input_ForRateCalc[Cost item],0),MATCH($D$5,Inputs!$C$8:$Y$8,0)),"-")</f>
        <v>0</v>
      </c>
    </row>
    <row r="152" spans="3:10" outlineLevel="1">
      <c r="C152" s="20" t="s">
        <v>120</v>
      </c>
      <c r="D152" s="20"/>
      <c r="E152" s="20" t="str">
        <f>INDEX(Input_ForRateCalc[Unit],MATCH(Calc_CPI_1[[#This Row],[Cost item]],Input_ForRateCalc[Cost item],0),1)</f>
        <v>$</v>
      </c>
      <c r="F152" s="20" t="str">
        <f>INDEX(Input_ForRateCalc[Customer type],MATCH(Calc_CPI_1[[#This Row],[Cost item]],Input_ForRateCalc[Cost item],0),1)</f>
        <v>All</v>
      </c>
      <c r="G152" s="20" t="str">
        <f>INDEX(Input_CostItemCPI[[VDO 2021 - Final]:[VDO 2023-24 - Final]],MATCH(Calc_CPI_1[[#This Row],[Cost item]],Input_CostItemCPI[Cost item],0),MATCH($D$5,Input_CostItemCPI[[#Headers],[VDO 2021 - Final]:[VDO 2023-24 - Final]],0))</f>
        <v>Yes</v>
      </c>
      <c r="H152" s="210" cm="1">
        <f t="array" ref="H152">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5.1546391752577324E-2</v>
      </c>
      <c r="I152" s="55" cm="1">
        <f t="array" ref="I152">IFERROR((H152)*
INDEX(Input_ForRateCalc[],MATCH(Calc_CPI_1[[#This Row],[Cost item]:[Cost item]],Input_ForRateCalc[Cost item],0),MATCH($D$5,Inputs!$C$8:$Y$8,0)),"-")</f>
        <v>0.11091452556252115</v>
      </c>
    </row>
    <row r="153" spans="3:10" outlineLevel="1">
      <c r="C153" s="53" t="s">
        <v>122</v>
      </c>
      <c r="D153" s="20"/>
      <c r="E153" s="20" t="str">
        <f>INDEX(Input_ForRateCalc[Unit],MATCH(Calc_CPI_1[[#This Row],[Cost item]],Input_ForRateCalc[Cost item],0),1)</f>
        <v>$/week</v>
      </c>
      <c r="F153" s="20" t="str">
        <f>INDEX(Input_ForRateCalc[Customer type],MATCH(Calc_CPI_1[[#This Row],[Cost item]],Input_ForRateCalc[Cost item],0),1)</f>
        <v>All</v>
      </c>
      <c r="G153" s="20" t="str">
        <f>INDEX(Input_CostItemCPI[[VDO 2021 - Final]:[VDO 2023-24 - Final]],MATCH(Calc_CPI_1[[#This Row],[Cost item]],Input_CostItemCPI[Cost item],0),MATCH($D$5,Input_CostItemCPI[[#Headers],[VDO 2021 - Final]:[VDO 2023-24 - Final]],0))</f>
        <v>No</v>
      </c>
      <c r="H153" s="210" cm="1">
        <f t="array" ref="H153">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3" s="55" cm="1">
        <f t="array" ref="I153">IFERROR((H153)*
INDEX(Input_ForRateCalc[],MATCH(Calc_CPI_1[[#This Row],[Cost item]:[Cost item]],Input_ForRateCalc[Cost item],0),MATCH($D$5,Inputs!$C$8:$Y$8,0)),"-")</f>
        <v>0</v>
      </c>
    </row>
    <row r="154" spans="3:10" outlineLevel="1">
      <c r="C154" s="40" t="s">
        <v>123</v>
      </c>
      <c r="D154" s="20"/>
      <c r="E154" s="20" t="str">
        <f>INDEX(Input_ForRateCalc[Unit],MATCH(Calc_CPI_1[[#This Row],[Cost item]],Input_ForRateCalc[Cost item],0),1)</f>
        <v>$/week</v>
      </c>
      <c r="F154" s="20" t="str">
        <f>INDEX(Input_ForRateCalc[Customer type],MATCH(Calc_CPI_1[[#This Row],[Cost item]],Input_ForRateCalc[Cost item],0),1)</f>
        <v>All</v>
      </c>
      <c r="G154" s="20" t="str">
        <f>INDEX(Input_CostItemCPI[[VDO 2021 - Final]:[VDO 2023-24 - Final]],MATCH(Calc_CPI_1[[#This Row],[Cost item]],Input_CostItemCPI[Cost item],0),MATCH($D$5,Input_CostItemCPI[[#Headers],[VDO 2021 - Final]:[VDO 2023-24 - Final]],0))</f>
        <v>No</v>
      </c>
      <c r="H154" s="210" cm="1">
        <f t="array" ref="H154">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4" s="55" cm="1">
        <f t="array" ref="I154">IFERROR((H154)*
INDEX(Input_ForRateCalc[],MATCH(Calc_CPI_1[[#This Row],[Cost item]:[Cost item]],Input_ForRateCalc[Cost item],0),MATCH($D$5,Inputs!$C$8:$Y$8,0)),"-")</f>
        <v>0</v>
      </c>
    </row>
    <row r="155" spans="3:10" outlineLevel="1">
      <c r="C155" s="40" t="s">
        <v>124</v>
      </c>
      <c r="D155" s="20"/>
      <c r="E155" s="20" t="str">
        <f>INDEX(Input_ForRateCalc[Unit],MATCH(Calc_CPI_1[[#This Row],[Cost item]],Input_ForRateCalc[Cost item],0),1)</f>
        <v>$/MWh</v>
      </c>
      <c r="F155" s="20" t="str">
        <f>INDEX(Input_ForRateCalc[Customer type],MATCH(Calc_CPI_1[[#This Row],[Cost item]],Input_ForRateCalc[Cost item],0),1)</f>
        <v>All</v>
      </c>
      <c r="G155" s="20" t="str">
        <f>INDEX(Input_CostItemCPI[[VDO 2021 - Final]:[VDO 2023-24 - Final]],MATCH(Calc_CPI_1[[#This Row],[Cost item]],Input_CostItemCPI[Cost item],0),MATCH($D$5,Input_CostItemCPI[[#Headers],[VDO 2021 - Final]:[VDO 2023-24 - Final]],0))</f>
        <v>No</v>
      </c>
      <c r="H155" s="210" cm="1">
        <f t="array" ref="H155">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5" s="55" cm="1">
        <f t="array" ref="I155">IFERROR((H155)*
INDEX(Input_ForRateCalc[],MATCH(Calc_CPI_1[[#This Row],[Cost item]:[Cost item]],Input_ForRateCalc[Cost item],0),MATCH($D$5,Inputs!$C$8:$Y$8,0)),"-")</f>
        <v>0</v>
      </c>
    </row>
    <row r="156" spans="3:10" outlineLevel="1">
      <c r="C156" s="20" t="s">
        <v>125</v>
      </c>
      <c r="D156" s="20"/>
      <c r="E156" s="20" t="str">
        <f>INDEX(Input_ForRateCalc[Unit],MATCH(Calc_CPI_1[[#This Row],[Cost item]],Input_ForRateCalc[Cost item],0),1)</f>
        <v>$/MWh</v>
      </c>
      <c r="F156" s="20" t="s">
        <v>91</v>
      </c>
      <c r="G156" s="20" t="str">
        <f>INDEX(Input_CostItemCPI[[VDO 2021 - Final]:[VDO 2023-24 - Final]],MATCH(Calc_CPI_1[[#This Row],[Cost item]],Input_CostItemCPI[Cost item],0),MATCH($D$5,Input_CostItemCPI[[#Headers],[VDO 2021 - Final]:[VDO 2023-24 - Final]],0))</f>
        <v>No</v>
      </c>
      <c r="H156" s="210" cm="1">
        <f t="array" ref="H156">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6" s="55" cm="1">
        <f t="array" ref="I156">IFERROR((H156)*
INDEX(Input_ForRateCalc[],MATCH(Calc_CPI_1[[#This Row],[Cost item]:[Cost item]],Input_ForRateCalc[Cost item],0),MATCH($D$5,Inputs!$C$8:$Y$8,0)),"-")</f>
        <v>0</v>
      </c>
    </row>
    <row r="157" spans="3:10" outlineLevel="1">
      <c r="C157" s="20" t="s">
        <v>126</v>
      </c>
      <c r="D157" s="20"/>
      <c r="E157" s="20" t="str">
        <f>INDEX(Input_ForRateCalc[Unit],MATCH(Calc_CPI_1[[#This Row],[Cost item]],Input_ForRateCalc[Cost item],0),1)</f>
        <v>$/MWh</v>
      </c>
      <c r="F157" s="20" t="s">
        <v>91</v>
      </c>
      <c r="G157" s="20" t="str">
        <f>INDEX(Input_CostItemCPI[[VDO 2021 - Final]:[VDO 2023-24 - Final]],MATCH(Calc_CPI_1[[#This Row],[Cost item]],Input_CostItemCPI[Cost item],0),MATCH($D$5,Input_CostItemCPI[[#Headers],[VDO 2021 - Final]:[VDO 2023-24 - Final]],0))</f>
        <v>No</v>
      </c>
      <c r="H157" s="210" cm="1">
        <f t="array" ref="H157">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7" s="55" cm="1">
        <f t="array" ref="I157">IFERROR((H157)*
INDEX(Input_ForRateCalc[],MATCH(Calc_CPI_1[[#This Row],[Cost item]:[Cost item]],Input_ForRateCalc[Cost item],0),MATCH($D$5,Inputs!$C$8:$Y$8,0)),"-")</f>
        <v>0</v>
      </c>
    </row>
    <row r="158" spans="3:10" outlineLevel="1">
      <c r="C158" s="53" t="s">
        <v>521</v>
      </c>
      <c r="D158" s="20"/>
      <c r="E158" s="20" t="str">
        <f>INDEX(Input_ForRateCalc[Unit],MATCH(Calc_CPI_1[[#This Row],[Cost item]],Input_ForRateCalc[Cost item],0),1)</f>
        <v>$/week</v>
      </c>
      <c r="F158" s="20" t="s">
        <v>91</v>
      </c>
      <c r="G158" s="20" t="str">
        <f>INDEX(Input_CostItemCPI[[VDO 2021 - Final]:[VDO 2023-24 - Final]],MATCH(Calc_CPI_1[[#This Row],[Cost item]],Input_CostItemCPI[Cost item],0),MATCH($D$5,Input_CostItemCPI[[#Headers],[VDO 2021 - Final]:[VDO 2023-24 - Final]],0))</f>
        <v>No</v>
      </c>
      <c r="H158" s="210" cm="1">
        <f t="array" ref="H158">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8" s="55" cm="1">
        <f t="array" ref="I158">IFERROR((H158)*
INDEX(Input_ForRateCalc[],MATCH(Calc_CPI_1[[#This Row],[Cost item]:[Cost item]],Input_ForRateCalc[Cost item],0),MATCH($D$5,Inputs!$C$8:$Y$8,0)),"-")</f>
        <v>0</v>
      </c>
    </row>
    <row r="159" spans="3:10" outlineLevel="1">
      <c r="C159" s="53" t="s">
        <v>522</v>
      </c>
      <c r="D159" s="20"/>
      <c r="E159" s="20" t="str">
        <f>INDEX(Input_ForRateCalc[Unit],MATCH(Calc_CPI_1[[#This Row],[Cost item]],Input_ForRateCalc[Cost item],0),1)</f>
        <v>$/week</v>
      </c>
      <c r="F159" s="20" t="s">
        <v>91</v>
      </c>
      <c r="G159" s="20" t="str">
        <f>INDEX(Input_CostItemCPI[[VDO 2021 - Final]:[VDO 2023-24 - Final]],MATCH(Calc_CPI_1[[#This Row],[Cost item]],Input_CostItemCPI[Cost item],0),MATCH($D$5,Input_CostItemCPI[[#Headers],[VDO 2021 - Final]:[VDO 2023-24 - Final]],0))</f>
        <v>No</v>
      </c>
      <c r="H159" s="210" cm="1">
        <f t="array" ref="H159">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59" s="55" cm="1">
        <f t="array" ref="I159">IFERROR((H159)*
INDEX(Input_ForRateCalc[],MATCH(Calc_CPI_1[[#This Row],[Cost item]:[Cost item]],Input_ForRateCalc[Cost item],0),MATCH($D$5,Inputs!$C$8:$Y$8,0)),"-")</f>
        <v>0</v>
      </c>
    </row>
    <row r="160" spans="3:10" outlineLevel="1">
      <c r="C160" s="20" t="s">
        <v>527</v>
      </c>
      <c r="D160" s="20"/>
      <c r="E160" s="20" t="str">
        <f>INDEX(Input_ForRateCalc[Unit],MATCH(Calc_CPI_1[[#This Row],[Cost item]],Input_ForRateCalc[Cost item],0),1)</f>
        <v>$/week</v>
      </c>
      <c r="F160" s="20" t="s">
        <v>91</v>
      </c>
      <c r="G160" s="20" t="str">
        <f>INDEX(Input_CostItemCPI[[VDO 2021 - Final]:[VDO 2023-24 - Final]],MATCH(Calc_CPI_1[[#This Row],[Cost item]],Input_CostItemCPI[Cost item],0),MATCH($D$5,Input_CostItemCPI[[#Headers],[VDO 2021 - Final]:[VDO 2023-24 - Final]],0))</f>
        <v>No</v>
      </c>
      <c r="H160" s="210" cm="1">
        <f t="array" ref="H160">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60" s="55" cm="1">
        <f t="array" ref="I160">IFERROR((H160)*
INDEX(Input_ForRateCalc[],MATCH(Calc_CPI_1[[#This Row],[Cost item]:[Cost item]],Input_ForRateCalc[Cost item],0),MATCH($D$5,Inputs!$C$8:$Y$8,0)),"-")</f>
        <v>0</v>
      </c>
    </row>
    <row r="161" spans="1:11" outlineLevel="1">
      <c r="C161" s="53" t="s">
        <v>515</v>
      </c>
      <c r="D161" s="20"/>
      <c r="E161" s="20" t="str">
        <f>INDEX(Input_ForRateCalc[Unit],MATCH(Calc_CPI_1[[#This Row],[Cost item]],Input_ForRateCalc[Cost item],0),1)</f>
        <v>$/MWh</v>
      </c>
      <c r="F161" s="20" t="s">
        <v>91</v>
      </c>
      <c r="G161" s="20" t="str">
        <f>INDEX(Input_CostItemCPI[[VDO 2021 - Final]:[VDO 2023-24 - Final]],MATCH(Calc_CPI_1[[#This Row],[Cost item]],Input_CostItemCPI[Cost item],0),MATCH($D$5,Input_CostItemCPI[[#Headers],[VDO 2021 - Final]:[VDO 2023-24 - Final]],0))</f>
        <v>No</v>
      </c>
      <c r="H161" s="210" cm="1">
        <f t="array" ref="H161">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61" s="55" cm="1">
        <f t="array" ref="I161">IFERROR((H161)*
INDEX(Input_ForRateCalc[],MATCH(Calc_CPI_1[[#This Row],[Cost item]:[Cost item]],Input_ForRateCalc[Cost item],0),MATCH($D$5,Inputs!$C$8:$Y$8,0)),"-")</f>
        <v>0</v>
      </c>
    </row>
    <row r="162" spans="1:11" outlineLevel="1">
      <c r="C162" s="53" t="s">
        <v>516</v>
      </c>
      <c r="D162" s="20"/>
      <c r="E162" s="20" t="str">
        <f>INDEX(Input_ForRateCalc[Unit],MATCH(Calc_CPI_1[[#This Row],[Cost item]],Input_ForRateCalc[Cost item],0),1)</f>
        <v>$/MWh</v>
      </c>
      <c r="F162" s="20" t="s">
        <v>91</v>
      </c>
      <c r="G162" s="20" t="str">
        <f>INDEX(Input_CostItemCPI[[VDO 2021 - Final]:[VDO 2023-24 - Final]],MATCH(Calc_CPI_1[[#This Row],[Cost item]],Input_CostItemCPI[Cost item],0),MATCH($D$5,Input_CostItemCPI[[#Headers],[VDO 2021 - Final]:[VDO 2023-24 - Final]],0))</f>
        <v>No</v>
      </c>
      <c r="H162" s="210" cm="1">
        <f t="array" ref="H162">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62" s="55" cm="1">
        <f t="array" ref="I162">IFERROR((H162)*
INDEX(Input_ForRateCalc[],MATCH(Calc_CPI_1[[#This Row],[Cost item]:[Cost item]],Input_ForRateCalc[Cost item],0),MATCH($D$5,Inputs!$C$8:$Y$8,0)),"-")</f>
        <v>0</v>
      </c>
    </row>
    <row r="163" spans="1:11" outlineLevel="1">
      <c r="C163" s="53" t="s">
        <v>517</v>
      </c>
      <c r="D163" s="20"/>
      <c r="E163" s="20" t="str">
        <f>INDEX(Input_ForRateCalc[Unit],MATCH(Calc_CPI_1[[#This Row],[Cost item]],Input_ForRateCalc[Cost item],0),1)</f>
        <v>$/MWh</v>
      </c>
      <c r="F163" s="20" t="s">
        <v>91</v>
      </c>
      <c r="G163" s="20" t="str">
        <f>INDEX(Input_CostItemCPI[[VDO 2021 - Final]:[VDO 2023-24 - Final]],MATCH(Calc_CPI_1[[#This Row],[Cost item]],Input_CostItemCPI[Cost item],0),MATCH($D$5,Input_CostItemCPI[[#Headers],[VDO 2021 - Final]:[VDO 2023-24 - Final]],0))</f>
        <v>No</v>
      </c>
      <c r="H163" s="210" cm="1">
        <f t="array" ref="H163">IF(Calc_CPI_1[[#This Row],[Adjust?]]="No",0,
IFERROR(
($D$145-
INDEX(CPI[Indice],MATCH(
INDEX(Input_ForRateCalc[],MATCH(Calc_CPI_1[[#This Row],[Cost item]:[Cost item]],Input_ForRateCalc[Cost item],0),MATCH($D$5&amp;" - input date",Inputs!C$8:Y$8,0)),
CPI[Period],0),1))/
INDEX(CPI[Indice],MATCH(
INDEX(Input_ForRateCalc[],MATCH(Calc_CPI_1[[#This Row],[Cost item]:[Cost item]],Input_ForRateCalc[Cost item],0),MATCH($D$5&amp;" - input date",Inputs!C$8:Y$8,0)),
CPI[Period],0),1),"-"))</f>
        <v>0</v>
      </c>
      <c r="I163" s="55" cm="1">
        <f t="array" ref="I163">IFERROR((H163)*
INDEX(Input_ForRateCalc[],MATCH(Calc_CPI_1[[#This Row],[Cost item]:[Cost item]],Input_ForRateCalc[Cost item],0),MATCH($D$5,Inputs!$C$8:$Y$8,0)),"-")</f>
        <v>0</v>
      </c>
    </row>
    <row r="164" spans="1:11" outlineLevel="1"/>
    <row r="165" spans="1:11" ht="15.5" outlineLevel="1">
      <c r="C165" s="26" t="s">
        <v>105</v>
      </c>
    </row>
    <row r="166" spans="1:11" ht="15.5" outlineLevel="1">
      <c r="C166" s="39" t="s">
        <v>33</v>
      </c>
      <c r="D166" s="39" t="s">
        <v>88</v>
      </c>
      <c r="E166" s="39" t="s">
        <v>56</v>
      </c>
      <c r="F166" s="39" t="s">
        <v>57</v>
      </c>
      <c r="G166" s="54" t="s">
        <v>58</v>
      </c>
      <c r="H166" s="54" t="s">
        <v>59</v>
      </c>
      <c r="I166" s="54" t="s">
        <v>60</v>
      </c>
      <c r="J166" s="54" t="s">
        <v>61</v>
      </c>
      <c r="K166" s="54" t="s">
        <v>62</v>
      </c>
    </row>
    <row r="167" spans="1:11" outlineLevel="1">
      <c r="C167" s="20" t="s">
        <v>127</v>
      </c>
      <c r="D167" s="20" t="s">
        <v>7</v>
      </c>
      <c r="E167" s="20" t="s">
        <v>128</v>
      </c>
      <c r="F167" s="20" t="s">
        <v>91</v>
      </c>
      <c r="G167" s="65" cm="1">
        <f t="array" ref="G167">IFERROR(INDEX(Input_ForRateCalc[],MATCH(Calc_Losses_1[[#This Row],[Cost item]:[Cost item]]&amp;" - "&amp;Calc_Losses_1[[#Headers],[Ausnet]],Input_ForRateCalc[[Cost item]:[Cost item]],0),MATCH($D$5,Inputs!$C$8:$Y$8,0)),"-")</f>
        <v>1.0040999999999998</v>
      </c>
      <c r="H167" s="65" cm="1">
        <f t="array" ref="H167">IFERROR(INDEX(Input_ForRateCalc[],MATCH(Calc_Losses_1[[#This Row],[Cost item]:[Cost item]]&amp;" - "&amp;Calc_Losses_1[[#Headers],[Citipower]],Input_ForRateCalc[[Cost item]:[Cost item]],0),MATCH($D$5,Inputs!$C$8:$Y$8,0)),"-")</f>
        <v>0.99999000000000005</v>
      </c>
      <c r="I167" s="65" cm="1">
        <f t="array" ref="I167">IFERROR(INDEX(Input_ForRateCalc[],MATCH(Calc_Losses_1[[#This Row],[Cost item]:[Cost item]]&amp;" - "&amp;Calc_Losses_1[[#Headers],[Jemena]],Input_ForRateCalc[[Cost item]:[Cost item]],0),MATCH($D$5,Inputs!$C$8:$Y$8,0)),"-")</f>
        <v>1.0006249999999999</v>
      </c>
      <c r="J167" s="65" cm="1">
        <f t="array" ref="J167">IFERROR(INDEX(Input_ForRateCalc[],MATCH(Calc_Losses_1[[#This Row],[Cost item]:[Cost item]]&amp;" - "&amp;Calc_Losses_1[[#Headers],[Powercor]],Input_ForRateCalc[[Cost item]:[Cost item]],0),MATCH($D$5,Inputs!$C$8:$Y$8,0)),"-")</f>
        <v>0.9980157894736843</v>
      </c>
      <c r="K167" s="65" cm="1">
        <f t="array" ref="K167">IFERROR(INDEX(Input_ForRateCalc[],MATCH(Calc_Losses_1[[#This Row],[Cost item]:[Cost item]]&amp;" - "&amp;Calc_Losses_1[[#Headers],[United Energy]],Input_ForRateCalc[[Cost item]:[Cost item]],0),MATCH($D$5,Inputs!$C$8:$Y$8,0)),"-")</f>
        <v>0.99870909090909099</v>
      </c>
    </row>
    <row r="168" spans="1:11" outlineLevel="1">
      <c r="C168" s="20" t="s">
        <v>129</v>
      </c>
      <c r="D168" s="20" t="s">
        <v>7</v>
      </c>
      <c r="E168" s="20" t="s">
        <v>128</v>
      </c>
      <c r="F168" s="20" t="s">
        <v>91</v>
      </c>
      <c r="G168" s="65" cm="1">
        <f t="array" ref="G168">IFERROR(INDEX(Input_ForRateCalc[],MATCH(Calc_Losses_1[[#This Row],[Cost item]:[Cost item]]&amp;" - "&amp;Calc_Losses_1[[#Headers],[Ausnet]],Input_ForRateCalc[[Cost item]:[Cost item]],0),MATCH($D$5,Inputs!$C$8:$Y$8,0)),"-")</f>
        <v>1.0809876390249804</v>
      </c>
      <c r="H168" s="65" cm="1">
        <f t="array" ref="H168">IFERROR(INDEX(Input_ForRateCalc[],MATCH(Calc_Losses_1[[#This Row],[Cost item]:[Cost item]]&amp;" - "&amp;Calc_Losses_1[[#Headers],[Citipower]],Input_ForRateCalc[[Cost item]:[Cost item]],0),MATCH($D$5,Inputs!$C$8:$Y$8,0)),"-")</f>
        <v>1.0449999999999999</v>
      </c>
      <c r="I168" s="65" cm="1">
        <f t="array" ref="I168">IFERROR(INDEX(Input_ForRateCalc[],MATCH(Calc_Losses_1[[#This Row],[Cost item]:[Cost item]]&amp;" - "&amp;Calc_Losses_1[[#Headers],[Jemena]],Input_ForRateCalc[[Cost item]:[Cost item]],0),MATCH($D$5,Inputs!$C$8:$Y$8,0)),"-")</f>
        <v>1.0447</v>
      </c>
      <c r="J168" s="65" cm="1">
        <f t="array" ref="J168">IFERROR(INDEX(Input_ForRateCalc[],MATCH(Calc_Losses_1[[#This Row],[Cost item]:[Cost item]]&amp;" - "&amp;Calc_Losses_1[[#Headers],[Powercor]],Input_ForRateCalc[[Cost item]:[Cost item]],0),MATCH($D$5,Inputs!$C$8:$Y$8,0)),"-")</f>
        <v>1.0735613169316207</v>
      </c>
      <c r="K168" s="65" cm="1">
        <f t="array" ref="K168">IFERROR(INDEX(Input_ForRateCalc[],MATCH(Calc_Losses_1[[#This Row],[Cost item]:[Cost item]]&amp;" - "&amp;Calc_Losses_1[[#Headers],[United Energy]],Input_ForRateCalc[[Cost item]:[Cost item]],0),MATCH($D$5,Inputs!$C$8:$Y$8,0)),"-")</f>
        <v>1.0483</v>
      </c>
    </row>
    <row r="169" spans="1:11" outlineLevel="1">
      <c r="C169" s="40" t="s">
        <v>130</v>
      </c>
      <c r="D169" s="20" t="s">
        <v>7</v>
      </c>
      <c r="E169" s="40" t="s">
        <v>128</v>
      </c>
      <c r="F169" s="20" t="s">
        <v>91</v>
      </c>
      <c r="G169" s="157">
        <f>(G167*G168)-1</f>
        <v>8.5419688344982481E-2</v>
      </c>
      <c r="H169" s="157">
        <f t="shared" ref="H169:K169" si="43">(H167*H168)-1</f>
        <v>4.4989549999999934E-2</v>
      </c>
      <c r="I169" s="157">
        <f t="shared" si="43"/>
        <v>4.5352937499999912E-2</v>
      </c>
      <c r="J169" s="157">
        <f t="shared" si="43"/>
        <v>7.1431145265919538E-2</v>
      </c>
      <c r="K169" s="157">
        <f t="shared" si="43"/>
        <v>4.6946740000000098E-2</v>
      </c>
    </row>
    <row r="170" spans="1:11" outlineLevel="1">
      <c r="B170"/>
    </row>
    <row r="171" spans="1:11" ht="15.5" outlineLevel="1" collapsed="1">
      <c r="A171" s="1" t="s">
        <v>18</v>
      </c>
      <c r="C171" s="26" t="s">
        <v>97</v>
      </c>
    </row>
    <row r="172" spans="1:11" ht="15.5" outlineLevel="1">
      <c r="C172" s="39" t="s">
        <v>33</v>
      </c>
      <c r="D172" s="39" t="s">
        <v>88</v>
      </c>
      <c r="E172" s="39" t="s">
        <v>56</v>
      </c>
      <c r="F172" s="39" t="s">
        <v>57</v>
      </c>
      <c r="G172" s="54" t="s">
        <v>58</v>
      </c>
      <c r="H172" s="54" t="s">
        <v>59</v>
      </c>
      <c r="I172" s="54" t="s">
        <v>60</v>
      </c>
      <c r="J172" s="54" t="s">
        <v>61</v>
      </c>
      <c r="K172" s="54" t="s">
        <v>62</v>
      </c>
    </row>
    <row r="173" spans="1:11" outlineLevel="1">
      <c r="C173" s="20" t="s">
        <v>97</v>
      </c>
      <c r="D173" s="20" t="s">
        <v>7</v>
      </c>
      <c r="E173" s="20" t="s">
        <v>128</v>
      </c>
      <c r="F173" s="20" t="s">
        <v>91</v>
      </c>
      <c r="G173" s="65" cm="1">
        <f t="array" ref="G173">IFERROR(INDEX(Input_ForRateCalc[],MATCH(Calc_ROM_1[[#This Row],[Cost item]:[Cost item]],Input_ForRateCalc[[Cost item]:[Cost item]],0),MATCH($D$5,Inputs!$C$8:$Y$8,0)),"-")</f>
        <v>5.6000000000000001E-2</v>
      </c>
      <c r="H173" s="65" cm="1">
        <f t="array" ref="H173">IFERROR(INDEX(Input_ForRateCalc[],MATCH(Calc_ROM_1[[#This Row],[Cost item]:[Cost item]],Input_ForRateCalc[[Cost item]:[Cost item]],0),MATCH($D$5,Inputs!$C$8:$Y$8,0)),"-")</f>
        <v>5.6000000000000001E-2</v>
      </c>
      <c r="I173" s="65" cm="1">
        <f t="array" ref="I173">IFERROR(INDEX(Input_ForRateCalc[],MATCH(Calc_ROM_1[[#This Row],[Cost item]:[Cost item]],Input_ForRateCalc[[Cost item]:[Cost item]],0),MATCH($D$5,Inputs!$C$8:$Y$8,0)),"-")</f>
        <v>5.6000000000000001E-2</v>
      </c>
      <c r="J173" s="65" cm="1">
        <f t="array" ref="J173">IFERROR(INDEX(Input_ForRateCalc[],MATCH(Calc_ROM_1[[#This Row],[Cost item]:[Cost item]],Input_ForRateCalc[[Cost item]:[Cost item]],0),MATCH($D$5,Inputs!$C$8:$Y$8,0)),"-")</f>
        <v>5.6000000000000001E-2</v>
      </c>
      <c r="K173" s="65" cm="1">
        <f t="array" ref="K173">IFERROR(INDEX(Input_ForRateCalc[],MATCH(Calc_ROM_1[[#This Row],[Cost item]:[Cost item]],Input_ForRateCalc[[Cost item]:[Cost item]],0),MATCH($D$5,Inputs!$C$8:$Y$8,0)),"-")</f>
        <v>5.6000000000000001E-2</v>
      </c>
    </row>
    <row r="174" spans="1:11">
      <c r="B174"/>
    </row>
    <row r="175" spans="1:11">
      <c r="C175" s="116"/>
      <c r="D175" s="116"/>
      <c r="E175" s="117"/>
      <c r="F175" s="116"/>
      <c r="G175" s="116"/>
      <c r="H175" s="116"/>
      <c r="I175" s="116"/>
      <c r="J175" s="116"/>
      <c r="K175" s="116"/>
    </row>
    <row r="176" spans="1:11" ht="16" thickBot="1">
      <c r="B176" s="216">
        <f ca="1">MAX(B$3:B175)+0.01</f>
        <v>13.03</v>
      </c>
      <c r="C176" s="25" t="s">
        <v>131</v>
      </c>
      <c r="D176" s="25"/>
      <c r="E176" s="25"/>
      <c r="F176" s="25"/>
      <c r="G176" s="25"/>
      <c r="H176" s="25"/>
      <c r="I176" s="25"/>
      <c r="J176" s="25"/>
      <c r="K176" s="25"/>
    </row>
    <row r="177" spans="1:11" outlineLevel="1"/>
    <row r="178" spans="1:11" ht="15.5" outlineLevel="1" collapsed="1">
      <c r="A178" s="1" t="s">
        <v>18</v>
      </c>
      <c r="C178" s="39" t="s">
        <v>33</v>
      </c>
      <c r="D178" s="39" t="s">
        <v>88</v>
      </c>
      <c r="E178" s="39" t="s">
        <v>56</v>
      </c>
      <c r="F178" s="39" t="s">
        <v>57</v>
      </c>
      <c r="G178" s="54" t="s">
        <v>58</v>
      </c>
      <c r="H178" s="54" t="s">
        <v>59</v>
      </c>
      <c r="I178" s="54" t="s">
        <v>60</v>
      </c>
      <c r="J178" s="54" t="s">
        <v>61</v>
      </c>
      <c r="K178" s="54" t="s">
        <v>62</v>
      </c>
    </row>
    <row r="179" spans="1:11" outlineLevel="1">
      <c r="C179" s="20" t="s">
        <v>132</v>
      </c>
      <c r="D179" s="20" t="s">
        <v>90</v>
      </c>
      <c r="E179" s="20" t="s">
        <v>64</v>
      </c>
      <c r="F179" s="20" t="s">
        <v>91</v>
      </c>
      <c r="G179" s="65" cm="1">
        <f t="array" ref="G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132.03216494845361</v>
      </c>
      <c r="H179" s="65" cm="1">
        <f t="array" ref="H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132.03216494845361</v>
      </c>
      <c r="I179" s="65" cm="1">
        <f t="array" ref="I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132.03216494845361</v>
      </c>
      <c r="J179" s="65" cm="1">
        <f t="array" ref="J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132.03216494845361</v>
      </c>
      <c r="K179" s="65" cm="1">
        <f t="array" ref="K179">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item]],0),MATCH($D$5,Inputs!$C$8:$Y$8,0))+
INDEX(Input_ForRateCalc[],MATCH(Calc_Retail_1[[#This Row],[Cost item]:[Cost item]]&amp;" - 5 min settlement allowance",Input_ForRateCalc[[Cost item]:[Cost item]],0),MATCH($D$5,Inputs!$C$8:$Y$8,0))+
INDEX(Input_ForRateCalc[],MATCH(Calc_Retail_1[[#This Row],[Cost item]:[Cost item]]&amp;" - regulatory cost allowance",Input_ForRateCalc[[Cost item]:[Cost item]],0),MATCH($D$5,Inputs!$C$8:$Y$8,0))+
INDEX(Input_ForRateCalc[],MATCH(Calc_Retail_1[[#This Row],[Cost item]:[Cost item]]&amp;" - consumer data right allowance",Input_ForRateCalc[[Cost item]:[Cost item]],0),MATCH($D$5,Inputs!$C$8:$Y$8,0))+
INDEX(Input_ForRateCalc[],MATCH(Calc_Retail_1[[#This Row],[Cost item]:[Cost item]]&amp;" - bad debt allowance",Input_ForRateCalc[[Cost item]:[Cost item]],0),MATCH($D$5,Inputs!$C$8:$Y$8,0)),"-")</f>
        <v>132.03216494845361</v>
      </c>
    </row>
    <row r="180" spans="1:11" outlineLevel="1">
      <c r="C180" s="40" t="s">
        <v>118</v>
      </c>
      <c r="D180" s="40" t="s">
        <v>90</v>
      </c>
      <c r="E180" s="20" t="s">
        <v>64</v>
      </c>
      <c r="F180" s="20" t="s">
        <v>91</v>
      </c>
      <c r="G180" s="65" cm="1">
        <f t="array" ref="G180">IFERROR(
IFERROR(INDEX(Calc_CPI_1[[CPI uplift factor]:[CPI uplift factor]],MATCH(Calc_Retail_1[[#This Row],[Cost item]:[Cost item]],Calc_CPI_1[[Cost item]:[Cost item]],0),1),0)+
INDEX(Input_ForRateCalc[],MATCH(Calc_Retail_1[[#This Row],[Cost item]:[Cost item]],Input_ForRateCalc[[Cost item]:[Cost item]],0),MATCH($D$5,Inputs!$C$8:$Y$8,0)),"-")</f>
        <v>43.89198606271777</v>
      </c>
      <c r="H180" s="65" cm="1">
        <f t="array" ref="H180">IFERROR(
IFERROR(INDEX(Calc_CPI_1[[CPI uplift factor]:[CPI uplift factor]],MATCH(Calc_Retail_1[[#This Row],[Cost item]:[Cost item]],Calc_CPI_1[[Cost item]:[Cost item]],0),1),0)+
INDEX(Input_ForRateCalc[],MATCH(Calc_Retail_1[[#This Row],[Cost item]:[Cost item]],Input_ForRateCalc[[Cost item]:[Cost item]],0),MATCH($D$5,Inputs!$C$8:$Y$8,0)),"-")</f>
        <v>43.89198606271777</v>
      </c>
      <c r="I180" s="65" cm="1">
        <f t="array" ref="I180">IFERROR(
IFERROR(INDEX(Calc_CPI_1[[CPI uplift factor]:[CPI uplift factor]],MATCH(Calc_Retail_1[[#This Row],[Cost item]:[Cost item]],Calc_CPI_1[[Cost item]:[Cost item]],0),1),0)+
INDEX(Input_ForRateCalc[],MATCH(Calc_Retail_1[[#This Row],[Cost item]:[Cost item]],Input_ForRateCalc[[Cost item]:[Cost item]],0),MATCH($D$5,Inputs!$C$8:$Y$8,0)),"-")</f>
        <v>43.89198606271777</v>
      </c>
      <c r="J180" s="65" cm="1">
        <f t="array" ref="J180">IFERROR(
IFERROR(INDEX(Calc_CPI_1[[CPI uplift factor]:[CPI uplift factor]],MATCH(Calc_Retail_1[[#This Row],[Cost item]:[Cost item]],Calc_CPI_1[[Cost item]:[Cost item]],0),1),0)+
INDEX(Input_ForRateCalc[],MATCH(Calc_Retail_1[[#This Row],[Cost item]:[Cost item]],Input_ForRateCalc[[Cost item]:[Cost item]],0),MATCH($D$5,Inputs!$C$8:$Y$8,0)),"-")</f>
        <v>43.89198606271777</v>
      </c>
      <c r="K180" s="65" cm="1">
        <f t="array" ref="K180">IFERROR(
IFERROR(INDEX(Calc_CPI_1[[CPI uplift factor]:[CPI uplift factor]],MATCH(Calc_Retail_1[[#This Row],[Cost item]:[Cost item]],Calc_CPI_1[[Cost item]:[Cost item]],0),1),0)+
INDEX(Input_ForRateCalc[],MATCH(Calc_Retail_1[[#This Row],[Cost item]:[Cost item]],Input_ForRateCalc[[Cost item]:[Cost item]],0),MATCH($D$5,Inputs!$C$8:$Y$8,0)),"-")</f>
        <v>43.89198606271777</v>
      </c>
    </row>
    <row r="182" spans="1:11" ht="16" thickBot="1">
      <c r="B182" s="216">
        <f ca="1">MAX(B$3:B181)+0.01</f>
        <v>13.04</v>
      </c>
      <c r="C182" s="25" t="s">
        <v>92</v>
      </c>
      <c r="D182" s="25"/>
      <c r="E182" s="25"/>
      <c r="F182" s="25"/>
      <c r="G182" s="25"/>
      <c r="H182" s="25"/>
      <c r="I182" s="25"/>
      <c r="J182" s="25"/>
      <c r="K182" s="25"/>
    </row>
    <row r="183" spans="1:11" outlineLevel="1"/>
    <row r="184" spans="1:11" ht="15.5" outlineLevel="1">
      <c r="C184" s="39" t="s">
        <v>33</v>
      </c>
      <c r="D184" s="39" t="s">
        <v>88</v>
      </c>
      <c r="E184" s="39" t="s">
        <v>56</v>
      </c>
      <c r="F184" s="39" t="s">
        <v>57</v>
      </c>
      <c r="G184" s="54" t="s">
        <v>58</v>
      </c>
      <c r="H184" s="54" t="s">
        <v>59</v>
      </c>
      <c r="I184" s="54" t="s">
        <v>60</v>
      </c>
      <c r="J184" s="54" t="s">
        <v>61</v>
      </c>
      <c r="K184" s="54" t="s">
        <v>62</v>
      </c>
    </row>
    <row r="185" spans="1:11" outlineLevel="1">
      <c r="C185" s="20" t="s">
        <v>120</v>
      </c>
      <c r="D185" s="20" t="s">
        <v>90</v>
      </c>
      <c r="E185" s="20" t="s">
        <v>64</v>
      </c>
      <c r="F185" s="20" t="s">
        <v>91</v>
      </c>
      <c r="G185" s="65" cm="1">
        <f t="array" ref="G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2.2626563214754314</v>
      </c>
      <c r="H185" s="65" cm="1">
        <f t="array" ref="H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2.2626563214754314</v>
      </c>
      <c r="I185" s="65" cm="1">
        <f t="array" ref="I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2.2626563214754314</v>
      </c>
      <c r="J185" s="65" cm="1">
        <f t="array" ref="J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2.2626563214754314</v>
      </c>
      <c r="K185" s="65" cm="1">
        <f t="array" ref="K18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2.2626563214754314</v>
      </c>
    </row>
    <row r="186" spans="1:11" outlineLevel="1">
      <c r="C186" s="20" t="s">
        <v>133</v>
      </c>
      <c r="D186" s="20" t="s">
        <v>90</v>
      </c>
      <c r="E186" s="20" t="s">
        <v>64</v>
      </c>
      <c r="F186" s="20" t="s">
        <v>91</v>
      </c>
      <c r="G186" s="65" cm="1">
        <f t="array" ref="G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H186" s="65" cm="1">
        <f t="array" ref="H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I186" s="65" cm="1">
        <f t="array" ref="I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J186" s="65" cm="1">
        <f t="array" ref="J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K186" s="65" cm="1">
        <f t="array" ref="K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187" spans="1:11" outlineLevel="1">
      <c r="C187" s="53" t="s">
        <v>122</v>
      </c>
      <c r="D187" s="20" t="s">
        <v>90</v>
      </c>
      <c r="E187" s="20" t="s">
        <v>134</v>
      </c>
      <c r="F187" s="20" t="s">
        <v>91</v>
      </c>
      <c r="G187" s="65" cm="1">
        <f t="array" ref="G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0.65879999999999994</v>
      </c>
      <c r="H187" s="65" cm="1">
        <f t="array" ref="H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0.65879999999999994</v>
      </c>
      <c r="I187" s="65" cm="1">
        <f t="array" ref="I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0.65879999999999994</v>
      </c>
      <c r="J187" s="65" cm="1">
        <f t="array" ref="J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0.65879999999999994</v>
      </c>
      <c r="K187" s="65" cm="1">
        <f t="array" ref="K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0.65879999999999994</v>
      </c>
    </row>
    <row r="188" spans="1:11" outlineLevel="1">
      <c r="C188" s="20" t="s">
        <v>123</v>
      </c>
      <c r="D188" s="20" t="s">
        <v>90</v>
      </c>
      <c r="E188" s="20" t="s">
        <v>134</v>
      </c>
      <c r="F188" s="20" t="s">
        <v>91</v>
      </c>
      <c r="G188" s="65" cm="1">
        <f t="array" ref="G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1.3081885714285715</v>
      </c>
      <c r="H188" s="65" cm="1">
        <f t="array" ref="H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1.3081885714285715</v>
      </c>
      <c r="I188" s="65" cm="1">
        <f t="array" ref="I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1.3081885714285715</v>
      </c>
      <c r="J188" s="65" cm="1">
        <f t="array" ref="J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1.3081885714285715</v>
      </c>
      <c r="K188" s="65" cm="1">
        <f t="array" ref="K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1.3081885714285715</v>
      </c>
    </row>
    <row r="189" spans="1:11" ht="15.5" outlineLevel="1" collapsed="1">
      <c r="A189" s="1" t="s">
        <v>18</v>
      </c>
      <c r="C189" s="20" t="s">
        <v>124</v>
      </c>
      <c r="D189" s="20" t="s">
        <v>103</v>
      </c>
      <c r="E189" s="20" t="s">
        <v>68</v>
      </c>
      <c r="F189" s="20" t="s">
        <v>91</v>
      </c>
      <c r="G189" s="65" cm="1">
        <f t="array" ref="G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2.8255000000000001E-4</v>
      </c>
      <c r="H189" s="65" cm="1">
        <f t="array" ref="H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2.8255000000000001E-4</v>
      </c>
      <c r="I189" s="65" cm="1">
        <f t="array" ref="I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2.8255000000000001E-4</v>
      </c>
      <c r="J189" s="65" cm="1">
        <f t="array" ref="J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2.8255000000000001E-4</v>
      </c>
      <c r="K189" s="65" cm="1">
        <f t="array" ref="K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2.8255000000000001E-4</v>
      </c>
    </row>
    <row r="190" spans="1:11" outlineLevel="1">
      <c r="C190" s="20" t="s">
        <v>135</v>
      </c>
      <c r="D190" s="20" t="s">
        <v>103</v>
      </c>
      <c r="E190" s="20" t="s">
        <v>68</v>
      </c>
      <c r="F190" s="20" t="s">
        <v>91</v>
      </c>
      <c r="G190" s="65" cm="1">
        <f t="array" ref="G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H190" s="65" cm="1">
        <f t="array" ref="H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I190" s="65" cm="1">
        <f t="array" ref="I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J190" s="65" cm="1">
        <f t="array" ref="J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K190" s="65" cm="1">
        <f t="array" ref="K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191" spans="1:11" outlineLevel="1">
      <c r="C191" s="20" t="s">
        <v>125</v>
      </c>
      <c r="D191" s="20" t="s">
        <v>103</v>
      </c>
      <c r="E191" s="20" t="s">
        <v>68</v>
      </c>
      <c r="F191" s="20" t="s">
        <v>91</v>
      </c>
      <c r="G191" s="65" cm="1">
        <f t="array" ref="G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9.9959999999999998E-5</v>
      </c>
      <c r="H191" s="65" cm="1">
        <f t="array" ref="H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9.9959999999999998E-5</v>
      </c>
      <c r="I191" s="65" cm="1">
        <f t="array" ref="I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9.9959999999999998E-5</v>
      </c>
      <c r="J191" s="65" cm="1">
        <f t="array" ref="J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9.9959999999999998E-5</v>
      </c>
      <c r="K191" s="65" cm="1">
        <f t="array" ref="K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9.9959999999999998E-5</v>
      </c>
    </row>
    <row r="192" spans="1:11" outlineLevel="1">
      <c r="C192" s="20" t="s">
        <v>126</v>
      </c>
      <c r="D192" s="20" t="s">
        <v>103</v>
      </c>
      <c r="E192" s="20" t="s">
        <v>68</v>
      </c>
      <c r="F192" s="20" t="s">
        <v>91</v>
      </c>
      <c r="G192" s="65" cm="1">
        <f t="array" ref="G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1.184E-5</v>
      </c>
      <c r="H192" s="65" cm="1">
        <f t="array" ref="H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1.184E-5</v>
      </c>
      <c r="I192" s="65" cm="1">
        <f t="array" ref="I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1.184E-5</v>
      </c>
      <c r="J192" s="65" cm="1">
        <f t="array" ref="J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1.184E-5</v>
      </c>
      <c r="K192" s="65" cm="1">
        <f t="array" ref="K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1.184E-5</v>
      </c>
    </row>
    <row r="193" spans="2:11" outlineLevel="1">
      <c r="C193" s="40" t="s">
        <v>136</v>
      </c>
      <c r="D193" s="40" t="s">
        <v>103</v>
      </c>
      <c r="E193" s="20" t="s">
        <v>68</v>
      </c>
      <c r="F193" s="20" t="s">
        <v>91</v>
      </c>
      <c r="G193" s="65" cm="1">
        <f t="array" ref="G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4.8372136646610019E-4</v>
      </c>
      <c r="H193" s="65" cm="1">
        <f t="array" ref="H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4.8372136646610019E-4</v>
      </c>
      <c r="I193" s="65" cm="1">
        <f t="array" ref="I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4.8372136646610019E-4</v>
      </c>
      <c r="J193" s="65" cm="1">
        <f t="array" ref="J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4.8372136646610019E-4</v>
      </c>
      <c r="K193" s="65" cm="1">
        <f t="array" ref="K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4.8372136646610019E-4</v>
      </c>
    </row>
    <row r="194" spans="2:11" outlineLevel="1">
      <c r="C194" s="20" t="s">
        <v>521</v>
      </c>
      <c r="D194" s="20" t="s">
        <v>90</v>
      </c>
      <c r="E194" s="20" t="s">
        <v>134</v>
      </c>
      <c r="F194" s="20" t="s">
        <v>91</v>
      </c>
      <c r="G194" s="65" cm="1">
        <f t="array" ref="G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4.6100314285714283</v>
      </c>
      <c r="H194" s="65" cm="1">
        <f t="array" ref="H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4.6100314285714283</v>
      </c>
      <c r="I194" s="65" cm="1">
        <f t="array" ref="I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4.6100314285714283</v>
      </c>
      <c r="J194" s="65" cm="1">
        <f t="array" ref="J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4.6100314285714283</v>
      </c>
      <c r="K194" s="65" cm="1">
        <f t="array" ref="K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4.6100314285714283</v>
      </c>
    </row>
    <row r="195" spans="2:11" outlineLevel="1">
      <c r="C195" s="20" t="s">
        <v>522</v>
      </c>
      <c r="D195" s="20" t="s">
        <v>90</v>
      </c>
      <c r="E195" s="20" t="s">
        <v>134</v>
      </c>
      <c r="F195" s="20" t="s">
        <v>91</v>
      </c>
      <c r="G195" s="65" cm="1">
        <f t="array" ref="G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0.19345714285714286</v>
      </c>
      <c r="H195" s="65" cm="1">
        <f t="array" ref="H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0.19345714285714286</v>
      </c>
      <c r="I195" s="65" cm="1">
        <f t="array" ref="I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0.19345714285714286</v>
      </c>
      <c r="J195" s="65" cm="1">
        <f t="array" ref="J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0.19345714285714286</v>
      </c>
      <c r="K195" s="65" cm="1">
        <f t="array" ref="K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0.19345714285714286</v>
      </c>
    </row>
    <row r="196" spans="2:11" outlineLevel="1">
      <c r="C196" s="20" t="s">
        <v>527</v>
      </c>
      <c r="D196" s="20" t="s">
        <v>90</v>
      </c>
      <c r="E196" s="20" t="s">
        <v>134</v>
      </c>
      <c r="F196" s="20" t="s">
        <v>91</v>
      </c>
      <c r="G196" s="65" cm="1">
        <f t="array" ref="G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1.6307914285714284</v>
      </c>
      <c r="H196" s="65" cm="1">
        <f t="array" ref="H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1.6307914285714284</v>
      </c>
      <c r="I196" s="65" cm="1">
        <f t="array" ref="I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1.6307914285714284</v>
      </c>
      <c r="J196" s="65" cm="1">
        <f t="array" ref="J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1.6307914285714284</v>
      </c>
      <c r="K196" s="65" cm="1">
        <f t="array" ref="K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1.6307914285714284</v>
      </c>
    </row>
    <row r="197" spans="2:11" outlineLevel="1">
      <c r="C197" s="20" t="s">
        <v>515</v>
      </c>
      <c r="D197" s="20" t="s">
        <v>103</v>
      </c>
      <c r="E197" s="20" t="s">
        <v>68</v>
      </c>
      <c r="F197" s="20" t="s">
        <v>91</v>
      </c>
      <c r="G197" s="65" cm="1">
        <f t="array" ref="G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6.7748437528737052E-4</v>
      </c>
      <c r="H197" s="65" cm="1">
        <f t="array" ref="H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6.7748437528737052E-4</v>
      </c>
      <c r="I197" s="65" cm="1">
        <f t="array" ref="I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6.7748437528737052E-4</v>
      </c>
      <c r="J197" s="65" cm="1">
        <f t="array" ref="J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6.7748437528737052E-4</v>
      </c>
      <c r="K197" s="65" cm="1">
        <f t="array" ref="K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6.7748437528737052E-4</v>
      </c>
    </row>
    <row r="198" spans="2:11" outlineLevel="1">
      <c r="C198" s="20" t="s">
        <v>516</v>
      </c>
      <c r="D198" s="20" t="s">
        <v>103</v>
      </c>
      <c r="E198" s="20" t="s">
        <v>68</v>
      </c>
      <c r="F198" s="20" t="s">
        <v>91</v>
      </c>
      <c r="G198" s="65" cm="1">
        <f t="array" ref="G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1.2361749867236574E-4</v>
      </c>
      <c r="H198" s="65" cm="1">
        <f t="array" ref="H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1.2361749867236574E-4</v>
      </c>
      <c r="I198" s="65" cm="1">
        <f t="array" ref="I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1.2361749867236574E-4</v>
      </c>
      <c r="J198" s="65" cm="1">
        <f t="array" ref="J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1.2361749867236574E-4</v>
      </c>
      <c r="K198" s="65" cm="1">
        <f t="array" ref="K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1.2361749867236574E-4</v>
      </c>
    </row>
    <row r="199" spans="2:11" outlineLevel="1">
      <c r="C199" s="40" t="s">
        <v>517</v>
      </c>
      <c r="D199" s="40" t="s">
        <v>103</v>
      </c>
      <c r="E199" s="40" t="s">
        <v>68</v>
      </c>
      <c r="F199" s="20" t="s">
        <v>91</v>
      </c>
      <c r="G199" s="65" cm="1">
        <f t="array" ref="G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H199" s="65" cm="1">
        <f t="array" ref="H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I199" s="65" cm="1">
        <f t="array" ref="I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J199" s="65" cm="1">
        <f t="array" ref="J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c r="K199" s="65" cm="1">
        <f t="array" ref="K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item]],0),MATCH($D$5,Inputs!$C$8:$Y$8,0)))*IF(Calc_OtherCosts_1[[#This Row],[Unit]:[Unit]]="$",1,IF(Calc_OtherCosts_1[[#This Row],[Unit]:[Unit]]="$/week",WiLY)),
(IFERROR(INDEX(Calc_CPI_1[[CPI uplift factor]:[CPI uplift factor]],MATCH(Calc_OtherCosts_1[[#This Row],[Cost item]:[Cost item]],Calc_CPI_1[[Cost item]:[Cost item]],0),1),0)+
INDEX(Input_ForRateCalc[],MATCH(Calc_OtherCosts_1[[#This Row],[Cost item]:[Cost item]],Input_ForRateCalc[[Cost item]:[Cost item]],0),MATCH($D$5,Inputs!$C$8:$Y$8,0)))/1000),"-")</f>
        <v>0</v>
      </c>
    </row>
    <row r="201" spans="2:11" ht="16" thickBot="1">
      <c r="B201" s="216">
        <f ca="1">MAX(B$3:B200)+0.01</f>
        <v>13.049999999999999</v>
      </c>
      <c r="C201" s="25" t="s">
        <v>80</v>
      </c>
      <c r="D201" s="25"/>
      <c r="E201" s="25"/>
      <c r="F201" s="25"/>
      <c r="G201" s="25"/>
      <c r="H201" s="25"/>
      <c r="I201" s="25"/>
      <c r="J201" s="25"/>
      <c r="K201" s="25"/>
    </row>
    <row r="202" spans="2:11" outlineLevel="1"/>
    <row r="203" spans="2:11" ht="15.5" outlineLevel="1">
      <c r="C203" s="26" t="s">
        <v>137</v>
      </c>
    </row>
    <row r="204" spans="2:11" ht="15.5" outlineLevel="1">
      <c r="C204" s="39" t="s">
        <v>33</v>
      </c>
      <c r="D204" s="39" t="s">
        <v>88</v>
      </c>
      <c r="E204" s="39" t="s">
        <v>56</v>
      </c>
      <c r="F204" s="39" t="s">
        <v>57</v>
      </c>
      <c r="G204" s="54" t="s">
        <v>58</v>
      </c>
      <c r="H204" s="54" t="s">
        <v>59</v>
      </c>
      <c r="I204" s="54" t="s">
        <v>60</v>
      </c>
      <c r="J204" s="54" t="s">
        <v>61</v>
      </c>
      <c r="K204" s="54" t="s">
        <v>62</v>
      </c>
    </row>
    <row r="205" spans="2:11" outlineLevel="1">
      <c r="C205" s="20" t="s">
        <v>63</v>
      </c>
      <c r="D205" s="20" t="s">
        <v>90</v>
      </c>
      <c r="E205" s="20" t="s">
        <v>138</v>
      </c>
      <c r="F205" s="20" t="s">
        <v>65</v>
      </c>
      <c r="G205" s="65" cm="1">
        <f t="array" ref="G205">IFERROR(
IFERROR(INDEX(Calc_CPI_1[[CPI uplift factor]:[CPI uplift factor]],MATCH($C205,Calc_CPI_1[[Cost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132.87190000000001</v>
      </c>
      <c r="H205" s="65" cm="1">
        <f t="array" ref="H205">IFERROR(
IFERROR(INDEX(Calc_CPI_1[[CPI uplift factor]:[CPI uplift factor]],MATCH($C205,Calc_CPI_1[[Cost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90.255600000000001</v>
      </c>
      <c r="I205" s="65" cm="1">
        <f t="array" ref="I205">IFERROR(
IFERROR(INDEX(Calc_CPI_1[[CPI uplift factor]:[CPI uplift factor]],MATCH($C205,Calc_CPI_1[[Cost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96.846999999999994</v>
      </c>
      <c r="J205" s="65" cm="1">
        <f t="array" ref="J205">IFERROR(
IFERROR(INDEX(Calc_CPI_1[[CPI uplift factor]:[CPI uplift factor]],MATCH($C205,Calc_CPI_1[[Cost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140.36100000000002</v>
      </c>
      <c r="K205" s="65" cm="1">
        <f t="array" ref="K205">IFERROR(
IFERROR(INDEX(Calc_CPI_1[[CPI uplift factor]:[CPI uplift factor]],MATCH($C205,Calc_CPI_1[[Cost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90.218999999999994</v>
      </c>
    </row>
    <row r="206" spans="2:11" outlineLevel="1">
      <c r="C206" s="20" t="s">
        <v>63</v>
      </c>
      <c r="D206" s="20" t="s">
        <v>90</v>
      </c>
      <c r="E206" s="20" t="s">
        <v>138</v>
      </c>
      <c r="F206" s="20" t="s">
        <v>66</v>
      </c>
      <c r="G206" s="65" cm="1">
        <f t="array" ref="G206">IFERROR(
IFERROR(INDEX(Calc_CPI_1[[CPI uplift factor]:[CPI uplift factor]],MATCH($C206,Calc_CPI_1[[Cost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132.87190000000001</v>
      </c>
      <c r="H206" s="65" cm="1">
        <f t="array" ref="H206">IFERROR(
IFERROR(INDEX(Calc_CPI_1[[CPI uplift factor]:[CPI uplift factor]],MATCH($C206,Calc_CPI_1[[Cost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150.42600000000002</v>
      </c>
      <c r="I206" s="65" cm="1">
        <f t="array" ref="I206">IFERROR(
IFERROR(INDEX(Calc_CPI_1[[CPI uplift factor]:[CPI uplift factor]],MATCH($C206,Calc_CPI_1[[Cost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147.858</v>
      </c>
      <c r="J206" s="65" cm="1">
        <f t="array" ref="J206">IFERROR(
IFERROR(INDEX(Calc_CPI_1[[CPI uplift factor]:[CPI uplift factor]],MATCH($C206,Calc_CPI_1[[Cost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180.47460000000001</v>
      </c>
      <c r="K206" s="65" cm="1">
        <f t="array" ref="K206">IFERROR(
IFERROR(INDEX(Calc_CPI_1[[CPI uplift factor]:[CPI uplift factor]],MATCH($C206,Calc_CPI_1[[Cost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140.36100000000002</v>
      </c>
    </row>
    <row r="207" spans="2:11" outlineLevel="1">
      <c r="C207" s="20" t="s">
        <v>71</v>
      </c>
      <c r="D207" s="20" t="s">
        <v>90</v>
      </c>
      <c r="E207" s="20" t="s">
        <v>138</v>
      </c>
      <c r="F207" s="20" t="s">
        <v>65</v>
      </c>
      <c r="G207" s="65" cm="1">
        <f t="array" ref="G207">IFERROR(
IFERROR(INDEX(Calc_CPI_1[[CPI uplift factor]:[CPI uplift factor]],MATCH($C207,Calc_CPI_1[[Cost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132.87190000000001</v>
      </c>
      <c r="H207" s="65" cm="1">
        <f t="array" ref="H207">IFERROR(
IFERROR(INDEX(Calc_CPI_1[[CPI uplift factor]:[CPI uplift factor]],MATCH($C207,Calc_CPI_1[[Cost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90.255600000000001</v>
      </c>
      <c r="I207" s="65" cm="1">
        <f t="array" ref="I207">IFERROR(
IFERROR(INDEX(Calc_CPI_1[[CPI uplift factor]:[CPI uplift factor]],MATCH($C207,Calc_CPI_1[[Cost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96.846999999999994</v>
      </c>
      <c r="J207" s="65" cm="1">
        <f t="array" ref="J207">IFERROR(
IFERROR(INDEX(Calc_CPI_1[[CPI uplift factor]:[CPI uplift factor]],MATCH($C207,Calc_CPI_1[[Cost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140.36100000000002</v>
      </c>
      <c r="K207" s="65" cm="1">
        <f t="array" ref="K207">IFERROR(
IFERROR(INDEX(Calc_CPI_1[[CPI uplift factor]:[CPI uplift factor]],MATCH($C207,Calc_CPI_1[[Cost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90.218999999999994</v>
      </c>
    </row>
    <row r="208" spans="2:11" outlineLevel="1">
      <c r="C208" s="20" t="s">
        <v>71</v>
      </c>
      <c r="D208" s="20" t="s">
        <v>90</v>
      </c>
      <c r="E208" s="20" t="s">
        <v>138</v>
      </c>
      <c r="F208" s="20" t="s">
        <v>66</v>
      </c>
      <c r="G208" s="65" cm="1">
        <f t="array" ref="G208">IFERROR(
IFERROR(INDEX(Calc_CPI_1[[CPI uplift factor]:[CPI uplift factor]],MATCH($C208,Calc_CPI_1[[Cost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132.87190000000001</v>
      </c>
      <c r="H208" s="65" cm="1">
        <f t="array" ref="H208">IFERROR(
IFERROR(INDEX(Calc_CPI_1[[CPI uplift factor]:[CPI uplift factor]],MATCH($C208,Calc_CPI_1[[Cost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150.42600000000002</v>
      </c>
      <c r="I208" s="65" cm="1">
        <f t="array" ref="I208">IFERROR(
IFERROR(INDEX(Calc_CPI_1[[CPI uplift factor]:[CPI uplift factor]],MATCH($C208,Calc_CPI_1[[Cost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265.79300000000001</v>
      </c>
      <c r="J208" s="65" cm="1">
        <f t="array" ref="J208">IFERROR(
IFERROR(INDEX(Calc_CPI_1[[CPI uplift factor]:[CPI uplift factor]],MATCH($C208,Calc_CPI_1[[Cost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180.47460000000001</v>
      </c>
      <c r="K208" s="65" cm="1">
        <f t="array" ref="K208">IFERROR(
IFERROR(INDEX(Calc_CPI_1[[CPI uplift factor]:[CPI uplift factor]],MATCH($C208,Calc_CPI_1[[Cost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140.36100000000002</v>
      </c>
    </row>
    <row r="209" spans="1:11" outlineLevel="1">
      <c r="C209" s="40" t="s">
        <v>94</v>
      </c>
      <c r="D209" s="40" t="s">
        <v>90</v>
      </c>
      <c r="E209" s="20" t="s">
        <v>138</v>
      </c>
      <c r="F209" s="20" t="s">
        <v>91</v>
      </c>
      <c r="G209" s="65" cm="1">
        <f t="array" ref="G209">IFERROR(
IFERROR(INDEX(Calc_CPI_1[[CPI uplift factor]:[CPI uplift factor]],MATCH($C209,Calc_CPI_1[[Cost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item]],0),MATCH($D$5,Inputs!$C$8:$Y$8,0)),"-")</f>
        <v>81.098642274190084</v>
      </c>
      <c r="H209" s="65" cm="1">
        <f t="array" ref="H209">IFERROR(
IFERROR(INDEX(Calc_CPI_1[[CPI uplift factor]:[CPI uplift factor]],MATCH($C209,Calc_CPI_1[[Cost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item]],0),MATCH($D$5,Inputs!$C$8:$Y$8,0)),"-")</f>
        <v>69.333895686956055</v>
      </c>
      <c r="I209" s="65" cm="1">
        <f t="array" ref="I209">IFERROR(
IFERROR(INDEX(Calc_CPI_1[[CPI uplift factor]:[CPI uplift factor]],MATCH($C209,Calc_CPI_1[[Cost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item]],0),MATCH($D$5,Inputs!$C$8:$Y$8,0)),"-")</f>
        <v>60.012342755043747</v>
      </c>
      <c r="J209" s="65" cm="1">
        <f t="array" ref="J209">IFERROR(
IFERROR(INDEX(Calc_CPI_1[[CPI uplift factor]:[CPI uplift factor]],MATCH($C209,Calc_CPI_1[[Cost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item]],0),MATCH($D$5,Inputs!$C$8:$Y$8,0)),"-")</f>
        <v>65.762555105520235</v>
      </c>
      <c r="K209" s="65" cm="1">
        <f t="array" ref="K209">IFERROR(
IFERROR(INDEX(Calc_CPI_1[[CPI uplift factor]:[CPI uplift factor]],MATCH($C209,Calc_CPI_1[[Cost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item]],0),MATCH($D$5,Inputs!$C$8:$Y$8,0)),"-")</f>
        <v>46.962287631947568</v>
      </c>
    </row>
    <row r="210" spans="1:11" outlineLevel="1"/>
    <row r="211" spans="1:11" ht="15.5" outlineLevel="1">
      <c r="C211" s="26" t="s">
        <v>139</v>
      </c>
    </row>
    <row r="212" spans="1:11" ht="15.5" outlineLevel="1">
      <c r="C212" s="39" t="s">
        <v>33</v>
      </c>
      <c r="D212" s="39" t="s">
        <v>88</v>
      </c>
      <c r="E212" s="39" t="s">
        <v>56</v>
      </c>
      <c r="F212" s="39" t="s">
        <v>57</v>
      </c>
      <c r="G212" s="54" t="s">
        <v>58</v>
      </c>
      <c r="H212" s="54" t="s">
        <v>59</v>
      </c>
      <c r="I212" s="54" t="s">
        <v>60</v>
      </c>
      <c r="J212" s="54" t="s">
        <v>61</v>
      </c>
      <c r="K212" s="54" t="s">
        <v>62</v>
      </c>
    </row>
    <row r="213" spans="1:11" outlineLevel="1">
      <c r="C213" s="20" t="s">
        <v>67</v>
      </c>
      <c r="D213" s="20" t="s">
        <v>103</v>
      </c>
      <c r="E213" s="20" t="s">
        <v>68</v>
      </c>
      <c r="F213" s="20" t="s">
        <v>65</v>
      </c>
      <c r="G213" s="65" cm="1">
        <f t="array" ref="G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0.1309807741874299</v>
      </c>
      <c r="H213" s="65" t="str" cm="1">
        <f t="array" ref="H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v>
      </c>
      <c r="I213" s="65" t="str" cm="1">
        <f t="array" ref="I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v>
      </c>
      <c r="J213" s="65" t="str" cm="1">
        <f t="array" ref="J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v>
      </c>
      <c r="K213" s="65" t="str" cm="1">
        <f t="array" ref="K21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v>
      </c>
    </row>
    <row r="214" spans="1:11" outlineLevel="1">
      <c r="C214" s="20" t="s">
        <v>69</v>
      </c>
      <c r="D214" s="20" t="s">
        <v>103</v>
      </c>
      <c r="E214" s="20" t="s">
        <v>68</v>
      </c>
      <c r="F214" s="20" t="s">
        <v>65</v>
      </c>
      <c r="G214" s="65" cm="1">
        <f t="array" ref="G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0.13989069468735993</v>
      </c>
      <c r="H214" s="65" t="str" cm="1">
        <f t="array" ref="H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v>
      </c>
      <c r="I214" s="65" t="str" cm="1">
        <f t="array" ref="I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v>
      </c>
      <c r="J214" s="65" t="str" cm="1">
        <f t="array" ref="J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v>
      </c>
      <c r="K214" s="65" t="str" cm="1">
        <f t="array" ref="K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v>
      </c>
    </row>
    <row r="215" spans="1:11" outlineLevel="1">
      <c r="C215" s="20" t="s">
        <v>70</v>
      </c>
      <c r="D215" s="20" t="s">
        <v>103</v>
      </c>
      <c r="E215" s="20" t="s">
        <v>68</v>
      </c>
      <c r="F215" s="20" t="s">
        <v>65</v>
      </c>
      <c r="G215" s="65" t="str" cm="1">
        <f t="array" ref="G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v>
      </c>
      <c r="H215" s="65" cm="1">
        <f t="array" ref="H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7.3700000000000002E-2</v>
      </c>
      <c r="I215" s="65" cm="1">
        <f t="array" ref="I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8.9770000000000003E-2</v>
      </c>
      <c r="J215" s="65" cm="1">
        <f t="array" ref="J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8.77E-2</v>
      </c>
      <c r="K215" s="65" cm="1">
        <f t="array" ref="K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8.5400000000000004E-2</v>
      </c>
    </row>
    <row r="216" spans="1:11" outlineLevel="1">
      <c r="C216" s="20" t="s">
        <v>72</v>
      </c>
      <c r="D216" s="20" t="s">
        <v>103</v>
      </c>
      <c r="E216" s="20" t="s">
        <v>68</v>
      </c>
      <c r="F216" s="20" t="s">
        <v>65</v>
      </c>
      <c r="G216" s="65" cm="1">
        <f t="array" ref="G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0.22405517942110717</v>
      </c>
      <c r="H216" s="65" cm="1">
        <f t="array" ref="H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0.1467</v>
      </c>
      <c r="I216" s="65" cm="1">
        <f t="array" ref="I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0.14771999999999999</v>
      </c>
      <c r="J216" s="65" cm="1">
        <f t="array" ref="J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0.1714</v>
      </c>
      <c r="K216" s="65" cm="1">
        <f t="array" ref="K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0.1668</v>
      </c>
    </row>
    <row r="217" spans="1:11" outlineLevel="1">
      <c r="C217" s="20" t="s">
        <v>73</v>
      </c>
      <c r="D217" s="20" t="s">
        <v>103</v>
      </c>
      <c r="E217" s="20" t="s">
        <v>68</v>
      </c>
      <c r="F217" s="20" t="s">
        <v>65</v>
      </c>
      <c r="G217" s="65" cm="1">
        <f t="array" ref="G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4.6393863430805989E-2</v>
      </c>
      <c r="H217" s="65" cm="1">
        <f t="array" ref="H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3.6699999999999997E-2</v>
      </c>
      <c r="I217" s="65" cm="1">
        <f t="array" ref="I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4.3120000000000006E-2</v>
      </c>
      <c r="J217" s="65" cm="1">
        <f t="array" ref="J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4.2900000000000001E-2</v>
      </c>
      <c r="K217" s="65" cm="1">
        <f t="array" ref="K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4.1599999999999998E-2</v>
      </c>
    </row>
    <row r="218" spans="1:11" outlineLevel="1">
      <c r="C218" s="20" t="s">
        <v>74</v>
      </c>
      <c r="D218" s="20" t="s">
        <v>103</v>
      </c>
      <c r="E218" s="20" t="s">
        <v>68</v>
      </c>
      <c r="F218" s="20" t="s">
        <v>65</v>
      </c>
      <c r="G218" s="65" cm="1">
        <f t="array" ref="G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4.6393863430805989E-2</v>
      </c>
      <c r="H218" s="65" cm="1">
        <f t="array" ref="H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2.2099999999999998E-2</v>
      </c>
      <c r="I218" s="65" cm="1">
        <f t="array" ref="I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3.6950000000000004E-2</v>
      </c>
      <c r="J218" s="65" cm="1">
        <f t="array" ref="J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2.46E-2</v>
      </c>
      <c r="K218" s="65" cm="1">
        <f t="array" ref="K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2.4399999999999998E-2</v>
      </c>
    </row>
    <row r="219" spans="1:11" outlineLevel="1">
      <c r="C219" s="20" t="s">
        <v>67</v>
      </c>
      <c r="D219" s="20" t="s">
        <v>103</v>
      </c>
      <c r="E219" s="20" t="s">
        <v>68</v>
      </c>
      <c r="F219" s="20" t="s">
        <v>66</v>
      </c>
      <c r="G219" s="65" cm="1">
        <f t="array" ref="G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0.18668411930490375</v>
      </c>
      <c r="H219" s="65" t="str" cm="1">
        <f t="array" ref="H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v>
      </c>
      <c r="I219" s="65" t="str" cm="1">
        <f t="array" ref="I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v>
      </c>
      <c r="J219" s="65" t="str" cm="1">
        <f t="array" ref="J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v>
      </c>
      <c r="K219" s="65" t="str" cm="1">
        <f t="array" ref="K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v>
      </c>
    </row>
    <row r="220" spans="1:11" outlineLevel="1">
      <c r="C220" s="20" t="s">
        <v>69</v>
      </c>
      <c r="D220" s="20" t="s">
        <v>103</v>
      </c>
      <c r="E220" s="20" t="s">
        <v>68</v>
      </c>
      <c r="F220" s="20" t="s">
        <v>66</v>
      </c>
      <c r="G220" s="65" cm="1">
        <f t="array" ref="G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0.20620858559880922</v>
      </c>
      <c r="H220" s="65" t="str" cm="1">
        <f t="array" ref="H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v>
      </c>
      <c r="I220" s="65" t="str" cm="1">
        <f t="array" ref="I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v>
      </c>
      <c r="J220" s="65" t="str" cm="1">
        <f t="array" ref="J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v>
      </c>
      <c r="K220" s="65" t="str" cm="1">
        <f t="array" ref="K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v>
      </c>
    </row>
    <row r="221" spans="1:11" ht="15.5" outlineLevel="1" collapsed="1">
      <c r="A221" s="1" t="s">
        <v>18</v>
      </c>
      <c r="C221" s="20" t="s">
        <v>70</v>
      </c>
      <c r="D221" s="20" t="s">
        <v>103</v>
      </c>
      <c r="E221" s="20" t="s">
        <v>68</v>
      </c>
      <c r="F221" s="20" t="s">
        <v>66</v>
      </c>
      <c r="G221" s="65" t="str" cm="1">
        <f t="array" ref="G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v>
      </c>
      <c r="H221" s="65" cm="1">
        <f t="array" ref="H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8.1500000000000003E-2</v>
      </c>
      <c r="I221" s="65" cm="1">
        <f t="array" ref="I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0.11834</v>
      </c>
      <c r="J221" s="65" cm="1">
        <f t="array" ref="J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9.8100000000000007E-2</v>
      </c>
      <c r="K221" s="65" cm="1">
        <f t="array" ref="K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9.3900000000000011E-2</v>
      </c>
    </row>
    <row r="222" spans="1:11" outlineLevel="1">
      <c r="C222" s="20" t="s">
        <v>72</v>
      </c>
      <c r="D222" s="20" t="s">
        <v>103</v>
      </c>
      <c r="E222" s="20" t="s">
        <v>68</v>
      </c>
      <c r="F222" s="20" t="s">
        <v>66</v>
      </c>
      <c r="G222" s="65" cm="1">
        <f t="array" ref="G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0.19642449948699095</v>
      </c>
      <c r="H222" s="65" cm="1">
        <f t="array" ref="H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0.13269999999999998</v>
      </c>
      <c r="I222" s="65" cm="1">
        <f t="array" ref="I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0.15096999999999999</v>
      </c>
      <c r="J222" s="65" cm="1">
        <f t="array" ref="J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0.17460000000000001</v>
      </c>
      <c r="K222" s="65" cm="1">
        <f t="array" ref="K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0.15410000000000001</v>
      </c>
    </row>
    <row r="223" spans="1:11" outlineLevel="1">
      <c r="C223" s="20" t="s">
        <v>73</v>
      </c>
      <c r="D223" s="40" t="s">
        <v>103</v>
      </c>
      <c r="E223" s="20" t="s">
        <v>68</v>
      </c>
      <c r="F223" s="20" t="s">
        <v>66</v>
      </c>
      <c r="G223" s="65" cm="1">
        <f t="array" ref="G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MATCH($D$5,Inputs!$C$8:$Y$8,0)))/100,"-")</f>
        <v>4.7425752712530557E-2</v>
      </c>
      <c r="H223" s="65" cm="1">
        <f t="array" ref="H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MATCH($D$5,Inputs!$C$8:$Y$8,0)))/100,"-")</f>
        <v>2.9500000000000002E-2</v>
      </c>
      <c r="I223" s="65" cm="1">
        <f t="array" ref="I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MATCH($D$5,Inputs!$C$8:$Y$8,0)))/100,"-")</f>
        <v>3.2259999999999997E-2</v>
      </c>
      <c r="J223" s="65" cm="1">
        <f t="array" ref="J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MATCH($D$5,Inputs!$C$8:$Y$8,0)))/100,"-")</f>
        <v>3.8800000000000001E-2</v>
      </c>
      <c r="K223" s="65" cm="1">
        <f t="array" ref="K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MATCH($D$5,Inputs!$C$8:$Y$8,0)))/100,"-")</f>
        <v>3.4299999999999997E-2</v>
      </c>
    </row>
    <row r="225" spans="1:11" ht="16" thickBot="1">
      <c r="B225" s="216">
        <f ca="1">MAX(B$3:B224)+0.01</f>
        <v>13.059999999999999</v>
      </c>
      <c r="C225" s="25" t="s">
        <v>140</v>
      </c>
      <c r="D225" s="25"/>
      <c r="E225" s="25"/>
      <c r="F225" s="25"/>
      <c r="G225" s="25"/>
      <c r="H225" s="25"/>
      <c r="I225" s="25"/>
      <c r="J225" s="25"/>
      <c r="K225" s="25"/>
    </row>
    <row r="226" spans="1:11" outlineLevel="1"/>
    <row r="227" spans="1:11" ht="15.5" outlineLevel="1">
      <c r="C227" s="26" t="s">
        <v>141</v>
      </c>
    </row>
    <row r="228" spans="1:11" ht="15.5" outlineLevel="1">
      <c r="C228" s="39" t="s">
        <v>33</v>
      </c>
      <c r="D228" s="39" t="s">
        <v>88</v>
      </c>
      <c r="E228" s="39" t="s">
        <v>56</v>
      </c>
      <c r="F228" s="39" t="s">
        <v>57</v>
      </c>
      <c r="G228" s="54" t="s">
        <v>58</v>
      </c>
      <c r="H228" s="54" t="s">
        <v>59</v>
      </c>
      <c r="I228" s="54" t="s">
        <v>60</v>
      </c>
      <c r="J228" s="54" t="s">
        <v>61</v>
      </c>
      <c r="K228" s="54" t="s">
        <v>62</v>
      </c>
    </row>
    <row r="229" spans="1:11" outlineLevel="1">
      <c r="C229" s="20" t="s">
        <v>142</v>
      </c>
      <c r="D229" s="20" t="s">
        <v>103</v>
      </c>
      <c r="E229" s="20" t="s">
        <v>68</v>
      </c>
      <c r="F229" s="20" t="s">
        <v>65</v>
      </c>
      <c r="G229" s="65" cm="1">
        <f t="array" ref="G229">IFERROR(
(IFERROR(INDEX(Calc_CPI_1[[CPI uplift factor]:[CPI uplift factor]],MATCH(Calc_WholesaleRES_1[[#This Row],[Cost item]:[Cost item]],Calc_CPI_1[[Cost item]:[Cost item]],0),1),0)+
INDEX(Input_ForRateCalc[],MATCH(Calc_WholesaleRES_1[[#This Row],[Cost item]:[Cost item]]&amp;" - "&amp;Calc_WholesaleRES_1[[#Headers],[Ausnet]],Input_ForRateCalc[[Cost item]:[Cost item]],0),MATCH($D$5,Inputs!$C$8:$Y$8,0)))/1000,"-")</f>
        <v>0.15506744437670936</v>
      </c>
      <c r="H229" s="65" cm="1">
        <f t="array" ref="H229">IFERROR(
(IFERROR(INDEX(Calc_CPI_1[[CPI uplift factor]:[CPI uplift factor]],MATCH(Calc_WholesaleRES_1[[#This Row],[Cost item]:[Cost item]],Calc_CPI_1[[Cost item]:[Cost item]],0),1),0)+
INDEX(Input_ForRateCalc[],MATCH(Calc_WholesaleRES_1[[#This Row],[Cost item]:[Cost item]]&amp;" - "&amp;Calc_WholesaleRES_1[[#Headers],[Citipower]],Input_ForRateCalc[[Cost item]:[Cost item]],0),MATCH($D$5,Inputs!$C$8:$Y$8,0)))/1000,"-")</f>
        <v>0.1363646130755708</v>
      </c>
      <c r="I229" s="65" cm="1">
        <f t="array" ref="I229">IFERROR(
(IFERROR(INDEX(Calc_CPI_1[[CPI uplift factor]:[CPI uplift factor]],MATCH(Calc_WholesaleRES_1[[#This Row],[Cost item]:[Cost item]],Calc_CPI_1[[Cost item]:[Cost item]],0),1),0)+
INDEX(Input_ForRateCalc[],MATCH(Calc_WholesaleRES_1[[#This Row],[Cost item]:[Cost item]]&amp;" - "&amp;Calc_WholesaleRES_1[[#Headers],[Jemena]],Input_ForRateCalc[[Cost item]:[Cost item]],0),MATCH($D$5,Inputs!$C$8:$Y$8,0)))/1000,"-")</f>
        <v>0.15223433176569595</v>
      </c>
      <c r="J229" s="65" cm="1">
        <f t="array" ref="J229">IFERROR(
(IFERROR(INDEX(Calc_CPI_1[[CPI uplift factor]:[CPI uplift factor]],MATCH(Calc_WholesaleRES_1[[#This Row],[Cost item]:[Cost item]],Calc_CPI_1[[Cost item]:[Cost item]],0),1),0)+
INDEX(Input_ForRateCalc[],MATCH(Calc_WholesaleRES_1[[#This Row],[Cost item]:[Cost item]]&amp;" - "&amp;Calc_WholesaleRES_1[[#Headers],[Powercor]],Input_ForRateCalc[[Cost item]:[Cost item]],0),MATCH($D$5,Inputs!$C$8:$Y$8,0)))/1000,"-")</f>
        <v>0.15294289200433886</v>
      </c>
      <c r="K229" s="65" cm="1">
        <f t="array" ref="K229">IFERROR(
(IFERROR(INDEX(Calc_CPI_1[[CPI uplift factor]:[CPI uplift factor]],MATCH(Calc_WholesaleRES_1[[#This Row],[Cost item]:[Cost item]],Calc_CPI_1[[Cost item]:[Cost item]],0),1),0)+
INDEX(Input_ForRateCalc[],MATCH(Calc_WholesaleRES_1[[#This Row],[Cost item]:[Cost item]]&amp;" - "&amp;Calc_WholesaleRES_1[[#Headers],[United Energy]],Input_ForRateCalc[[Cost item]:[Cost item]],0),MATCH($D$5,Inputs!$C$8:$Y$8,0)))/1000,"-")</f>
        <v>0.14974862262361766</v>
      </c>
    </row>
    <row r="230" spans="1:11" outlineLevel="1">
      <c r="C230" s="20" t="s">
        <v>143</v>
      </c>
      <c r="D230" s="20" t="s">
        <v>103</v>
      </c>
      <c r="E230" s="20" t="s">
        <v>68</v>
      </c>
      <c r="F230" s="20" t="s">
        <v>65</v>
      </c>
      <c r="G230" s="65" cm="1">
        <f t="array" ref="G230">IFERROR(
(IFERROR(INDEX(Calc_CPI_1[[CPI uplift factor]:[CPI uplift factor]],MATCH(Calc_WholesaleRES_1[[#This Row],[Cost item]:[Cost item]],Calc_CPI_1[[Cost item]:[Cost item]],0),1),0)+
INDEX(Input_ForRateCalc[],MATCH(Calc_WholesaleRES_1[[#This Row],[Cost item]:[Cost item]]&amp;" - "&amp;Calc_WholesaleRES_1[[#Headers],[Ausnet]],Input_ForRateCalc[[Cost item]:[Cost item]],0),MATCH($D$5,Inputs!$C$8:$Y$8,0)))/1000,"-")</f>
        <v>7.5597283903685198E-4</v>
      </c>
      <c r="H230" s="65" cm="1">
        <f t="array" ref="H230">IFERROR(
(IFERROR(INDEX(Calc_CPI_1[[CPI uplift factor]:[CPI uplift factor]],MATCH(Calc_WholesaleRES_1[[#This Row],[Cost item]:[Cost item]],Calc_CPI_1[[Cost item]:[Cost item]],0),1),0)+
INDEX(Input_ForRateCalc[],MATCH(Calc_WholesaleRES_1[[#This Row],[Cost item]:[Cost item]]&amp;" - "&amp;Calc_WholesaleRES_1[[#Headers],[Citipower]],Input_ForRateCalc[[Cost item]:[Cost item]],0),MATCH($D$5,Inputs!$C$8:$Y$8,0)))/1000,"-")</f>
        <v>6.3406351167904606E-4</v>
      </c>
      <c r="I230" s="65" cm="1">
        <f t="array" ref="I230">IFERROR(
(IFERROR(INDEX(Calc_CPI_1[[CPI uplift factor]:[CPI uplift factor]],MATCH(Calc_WholesaleRES_1[[#This Row],[Cost item]:[Cost item]],Calc_CPI_1[[Cost item]:[Cost item]],0),1),0)+
INDEX(Input_ForRateCalc[],MATCH(Calc_WholesaleRES_1[[#This Row],[Cost item]:[Cost item]]&amp;" - "&amp;Calc_WholesaleRES_1[[#Headers],[Jemena]],Input_ForRateCalc[[Cost item]:[Cost item]],0),MATCH($D$5,Inputs!$C$8:$Y$8,0)))/1000,"-")</f>
        <v>7.5975138343267377E-4</v>
      </c>
      <c r="J230" s="65" cm="1">
        <f t="array" ref="J230">IFERROR(
(IFERROR(INDEX(Calc_CPI_1[[CPI uplift factor]:[CPI uplift factor]],MATCH(Calc_WholesaleRES_1[[#This Row],[Cost item]:[Cost item]],Calc_CPI_1[[Cost item]:[Cost item]],0),1),0)+
INDEX(Input_ForRateCalc[],MATCH(Calc_WholesaleRES_1[[#This Row],[Cost item]:[Cost item]]&amp;" - "&amp;Calc_WholesaleRES_1[[#Headers],[Powercor]],Input_ForRateCalc[[Cost item]:[Cost item]],0),MATCH($D$5,Inputs!$C$8:$Y$8,0)))/1000,"-")</f>
        <v>7.7200647873025953E-4</v>
      </c>
      <c r="K230" s="65" cm="1">
        <f t="array" ref="K230">IFERROR(
(IFERROR(INDEX(Calc_CPI_1[[CPI uplift factor]:[CPI uplift factor]],MATCH(Calc_WholesaleRES_1[[#This Row],[Cost item]:[Cost item]],Calc_CPI_1[[Cost item]:[Cost item]],0),1),0)+
INDEX(Input_ForRateCalc[],MATCH(Calc_WholesaleRES_1[[#This Row],[Cost item]:[Cost item]]&amp;" - "&amp;Calc_WholesaleRES_1[[#Headers],[United Energy]],Input_ForRateCalc[[Cost item]:[Cost item]],0),MATCH($D$5,Inputs!$C$8:$Y$8,0)))/1000,"-")</f>
        <v>7.2106076586370951E-4</v>
      </c>
    </row>
    <row r="231" spans="1:11" outlineLevel="1">
      <c r="C231" s="40" t="s">
        <v>104</v>
      </c>
      <c r="D231" s="40" t="s">
        <v>103</v>
      </c>
      <c r="E231" s="40" t="s">
        <v>68</v>
      </c>
      <c r="F231" s="20" t="s">
        <v>65</v>
      </c>
      <c r="G231" s="65">
        <f>IFERROR(G229+G230,"-")</f>
        <v>0.15582341721574622</v>
      </c>
      <c r="H231" s="65">
        <f t="shared" ref="H231:K231" si="44">IFERROR(H229+H230,"-")</f>
        <v>0.13699867658724985</v>
      </c>
      <c r="I231" s="65">
        <f t="shared" si="44"/>
        <v>0.15299408314912863</v>
      </c>
      <c r="J231" s="65">
        <f t="shared" si="44"/>
        <v>0.15371489848306913</v>
      </c>
      <c r="K231" s="65">
        <f t="shared" si="44"/>
        <v>0.15046968338948136</v>
      </c>
    </row>
    <row r="232" spans="1:11" outlineLevel="1"/>
    <row r="233" spans="1:11" ht="15.5" outlineLevel="1">
      <c r="C233" s="26" t="s">
        <v>144</v>
      </c>
    </row>
    <row r="234" spans="1:11" ht="15.5" outlineLevel="1">
      <c r="C234" s="39" t="s">
        <v>33</v>
      </c>
      <c r="D234" s="39" t="s">
        <v>88</v>
      </c>
      <c r="E234" s="39" t="s">
        <v>56</v>
      </c>
      <c r="F234" s="39" t="s">
        <v>57</v>
      </c>
      <c r="G234" s="54" t="s">
        <v>58</v>
      </c>
      <c r="H234" s="54" t="s">
        <v>59</v>
      </c>
      <c r="I234" s="54" t="s">
        <v>60</v>
      </c>
      <c r="J234" s="54" t="s">
        <v>61</v>
      </c>
      <c r="K234" s="54" t="s">
        <v>62</v>
      </c>
    </row>
    <row r="235" spans="1:11" ht="15.5" outlineLevel="1" collapsed="1">
      <c r="A235" s="1" t="s">
        <v>18</v>
      </c>
      <c r="C235" s="20" t="s">
        <v>145</v>
      </c>
      <c r="D235" s="20" t="s">
        <v>103</v>
      </c>
      <c r="E235" s="20" t="s">
        <v>68</v>
      </c>
      <c r="F235" s="20" t="s">
        <v>66</v>
      </c>
      <c r="G235" s="65" cm="1">
        <f t="array" ref="G235">IFERROR(
(IFERROR(INDEX(Calc_CPI_1[[CPI uplift factor]:[CPI uplift factor]],MATCH(Calc_WholesaleSME_1[[#This Row],[Cost item]:[Cost item]],Calc_CPI_1[[Cost item]:[Cost item]],0),1),0)+
INDEX(Input_ForRateCalc[],MATCH(Calc_WholesaleSME_1[[#This Row],[Cost item]:[Cost item]]&amp;" - "&amp;Calc_WholesaleSME_1[[#Headers],[Ausnet]],Input_ForRateCalc[[Cost item]:[Cost item]],0),MATCH($D$5,Inputs!$C$8:$Y$8,0)))/1000,"-")</f>
        <v>0.12799318301307452</v>
      </c>
      <c r="H235" s="65" cm="1">
        <f t="array" ref="H235">IFERROR(
(IFERROR(INDEX(Calc_CPI_1[[CPI uplift factor]:[CPI uplift factor]],MATCH(Calc_WholesaleSME_1[[#This Row],[Cost item]:[Cost item]],Calc_CPI_1[[Cost item]:[Cost item]],0),1),0)+
INDEX(Input_ForRateCalc[],MATCH(Calc_WholesaleSME_1[[#This Row],[Cost item]:[Cost item]]&amp;" - "&amp;Calc_WholesaleSME_1[[#Headers],[Citipower]],Input_ForRateCalc[[Cost item]:[Cost item]],0),MATCH($D$5,Inputs!$C$8:$Y$8,0)))/1000,"-")</f>
        <v>0.12581685844288595</v>
      </c>
      <c r="I235" s="65" cm="1">
        <f t="array" ref="I235">IFERROR(
(IFERROR(INDEX(Calc_CPI_1[[CPI uplift factor]:[CPI uplift factor]],MATCH(Calc_WholesaleSME_1[[#This Row],[Cost item]:[Cost item]],Calc_CPI_1[[Cost item]:[Cost item]],0),1),0)+
INDEX(Input_ForRateCalc[],MATCH(Calc_WholesaleSME_1[[#This Row],[Cost item]:[Cost item]]&amp;" - "&amp;Calc_WholesaleSME_1[[#Headers],[Jemena]],Input_ForRateCalc[[Cost item]:[Cost item]],0),MATCH($D$5,Inputs!$C$8:$Y$8,0)))/1000,"-")</f>
        <v>0.12959099346565389</v>
      </c>
      <c r="J235" s="65" cm="1">
        <f t="array" ref="J235">IFERROR(
(IFERROR(INDEX(Calc_CPI_1[[CPI uplift factor]:[CPI uplift factor]],MATCH(Calc_WholesaleSME_1[[#This Row],[Cost item]:[Cost item]],Calc_CPI_1[[Cost item]:[Cost item]],0),1),0)+
INDEX(Input_ForRateCalc[],MATCH(Calc_WholesaleSME_1[[#This Row],[Cost item]:[Cost item]]&amp;" - "&amp;Calc_WholesaleSME_1[[#Headers],[Powercor]],Input_ForRateCalc[[Cost item]:[Cost item]],0),MATCH($D$5,Inputs!$C$8:$Y$8,0)))/1000,"-")</f>
        <v>0.12483628413435757</v>
      </c>
      <c r="K235" s="65" cm="1">
        <f t="array" ref="K235">IFERROR(
(IFERROR(INDEX(Calc_CPI_1[[CPI uplift factor]:[CPI uplift factor]],MATCH(Calc_WholesaleSME_1[[#This Row],[Cost item]:[Cost item]],Calc_CPI_1[[Cost item]:[Cost item]],0),1),0)+
INDEX(Input_ForRateCalc[],MATCH(Calc_WholesaleSME_1[[#This Row],[Cost item]:[Cost item]]&amp;" - "&amp;Calc_WholesaleSME_1[[#Headers],[United Energy]],Input_ForRateCalc[[Cost item]:[Cost item]],0),MATCH($D$5,Inputs!$C$8:$Y$8,0)))/1000,"-")</f>
        <v>0.12974650834657042</v>
      </c>
    </row>
    <row r="236" spans="1:11" outlineLevel="1">
      <c r="C236" s="20" t="s">
        <v>146</v>
      </c>
      <c r="D236" s="20" t="s">
        <v>103</v>
      </c>
      <c r="E236" s="20" t="s">
        <v>68</v>
      </c>
      <c r="F236" s="20" t="s">
        <v>66</v>
      </c>
      <c r="G236" s="65" cm="1">
        <f t="array" ref="G236">IFERROR(
(IFERROR(INDEX(Calc_CPI_1[[CPI uplift factor]:[CPI uplift factor]],MATCH(Calc_WholesaleSME_1[[#This Row],[Cost item]:[Cost item]],Calc_CPI_1[[Cost item]:[Cost item]],0),1),0)+
INDEX(Input_ForRateCalc[],MATCH(Calc_WholesaleSME_1[[#This Row],[Cost item]:[Cost item]]&amp;" - "&amp;Calc_WholesaleSME_1[[#Headers],[Ausnet]],Input_ForRateCalc[[Cost item]:[Cost item]],0),MATCH($D$5,Inputs!$C$8:$Y$8,0)))/1000,"-")</f>
        <v>5.6983788306049486E-4</v>
      </c>
      <c r="H236" s="65" cm="1">
        <f t="array" ref="H236">IFERROR(
(IFERROR(INDEX(Calc_CPI_1[[CPI uplift factor]:[CPI uplift factor]],MATCH(Calc_WholesaleSME_1[[#This Row],[Cost item]:[Cost item]],Calc_CPI_1[[Cost item]:[Cost item]],0),1),0)+
INDEX(Input_ForRateCalc[],MATCH(Calc_WholesaleSME_1[[#This Row],[Cost item]:[Cost item]]&amp;" - "&amp;Calc_WholesaleSME_1[[#Headers],[Citipower]],Input_ForRateCalc[[Cost item]:[Cost item]],0),MATCH($D$5,Inputs!$C$8:$Y$8,0)))/1000,"-")</f>
        <v>6.6754117444073444E-4</v>
      </c>
      <c r="I236" s="65" cm="1">
        <f t="array" ref="I236">IFERROR(
(IFERROR(INDEX(Calc_CPI_1[[CPI uplift factor]:[CPI uplift factor]],MATCH(Calc_WholesaleSME_1[[#This Row],[Cost item]:[Cost item]],Calc_CPI_1[[Cost item]:[Cost item]],0),1),0)+
INDEX(Input_ForRateCalc[],MATCH(Calc_WholesaleSME_1[[#This Row],[Cost item]:[Cost item]]&amp;" - "&amp;Calc_WholesaleSME_1[[#Headers],[Jemena]],Input_ForRateCalc[[Cost item]:[Cost item]],0),MATCH($D$5,Inputs!$C$8:$Y$8,0)))/1000,"-")</f>
        <v>6.1921571486875523E-4</v>
      </c>
      <c r="J236" s="65" cm="1">
        <f t="array" ref="J236">IFERROR(
(IFERROR(INDEX(Calc_CPI_1[[CPI uplift factor]:[CPI uplift factor]],MATCH(Calc_WholesaleSME_1[[#This Row],[Cost item]:[Cost item]],Calc_CPI_1[[Cost item]:[Cost item]],0),1),0)+
INDEX(Input_ForRateCalc[],MATCH(Calc_WholesaleSME_1[[#This Row],[Cost item]:[Cost item]]&amp;" - "&amp;Calc_WholesaleSME_1[[#Headers],[Powercor]],Input_ForRateCalc[[Cost item]:[Cost item]],0),MATCH($D$5,Inputs!$C$8:$Y$8,0)))/1000,"-")</f>
        <v>6.4465204102732076E-4</v>
      </c>
      <c r="K236" s="65" cm="1">
        <f t="array" ref="K236">IFERROR(
(IFERROR(INDEX(Calc_CPI_1[[CPI uplift factor]:[CPI uplift factor]],MATCH(Calc_WholesaleSME_1[[#This Row],[Cost item]:[Cost item]],Calc_CPI_1[[Cost item]:[Cost item]],0),1),0)+
INDEX(Input_ForRateCalc[],MATCH(Calc_WholesaleSME_1[[#This Row],[Cost item]:[Cost item]]&amp;" - "&amp;Calc_WholesaleSME_1[[#Headers],[United Energy]],Input_ForRateCalc[[Cost item]:[Cost item]],0),MATCH($D$5,Inputs!$C$8:$Y$8,0)))/1000,"-")</f>
        <v>6.290345258566153E-4</v>
      </c>
    </row>
    <row r="237" spans="1:11" outlineLevel="1">
      <c r="C237" s="40" t="s">
        <v>104</v>
      </c>
      <c r="D237" s="40" t="s">
        <v>103</v>
      </c>
      <c r="E237" s="40" t="s">
        <v>68</v>
      </c>
      <c r="F237" s="20" t="s">
        <v>66</v>
      </c>
      <c r="G237" s="65">
        <f>IFERROR(G235+G236,"-")</f>
        <v>0.12856302089613503</v>
      </c>
      <c r="H237" s="65">
        <f t="shared" ref="H237:K237" si="45">IFERROR(H235+H236,"-")</f>
        <v>0.12648439961732669</v>
      </c>
      <c r="I237" s="65">
        <f t="shared" si="45"/>
        <v>0.13021020918052265</v>
      </c>
      <c r="J237" s="65">
        <f t="shared" si="45"/>
        <v>0.12548093617538489</v>
      </c>
      <c r="K237" s="65">
        <f t="shared" si="45"/>
        <v>0.13037554287242703</v>
      </c>
    </row>
    <row r="239" spans="1:11" ht="16" thickBot="1">
      <c r="B239" s="216">
        <f ca="1">MAX(B$3:B238)+0.01</f>
        <v>13.069999999999999</v>
      </c>
      <c r="C239" s="25" t="s">
        <v>147</v>
      </c>
      <c r="D239" s="25"/>
      <c r="E239" s="25"/>
      <c r="F239" s="25"/>
      <c r="G239" s="25"/>
      <c r="H239" s="25"/>
      <c r="I239" s="25"/>
      <c r="J239" s="25"/>
      <c r="K239" s="25"/>
    </row>
    <row r="240" spans="1:11" outlineLevel="1"/>
    <row r="241" spans="3:14" ht="15.5" outlineLevel="1">
      <c r="C241" s="26" t="s">
        <v>148</v>
      </c>
    </row>
    <row r="242" spans="3:14" ht="15.5" outlineLevel="1">
      <c r="C242" s="39" t="s">
        <v>33</v>
      </c>
      <c r="D242" s="39" t="s">
        <v>88</v>
      </c>
      <c r="E242" s="39" t="s">
        <v>56</v>
      </c>
      <c r="F242" s="39" t="s">
        <v>57</v>
      </c>
      <c r="G242" s="54" t="s">
        <v>58</v>
      </c>
      <c r="H242" s="54" t="s">
        <v>59</v>
      </c>
      <c r="I242" s="54" t="s">
        <v>60</v>
      </c>
      <c r="J242" s="54" t="s">
        <v>61</v>
      </c>
      <c r="K242" s="54" t="s">
        <v>62</v>
      </c>
    </row>
    <row r="243" spans="3:14" outlineLevel="1">
      <c r="C243" s="20" t="s">
        <v>149</v>
      </c>
      <c r="D243" s="20" t="s">
        <v>103</v>
      </c>
      <c r="E243" s="20" t="s">
        <v>150</v>
      </c>
      <c r="F243" s="20" t="s">
        <v>91</v>
      </c>
      <c r="G243" s="65" cm="1">
        <f t="array" ref="G243">IFERROR(
(IFERROR(INDEX(Calc_CPI_1[[CPI uplift factor]:[CPI uplift factor]],MATCH(Calc_EnviroVEU_1[[#This Row],[Cost item]:[Cost item]],Calc_CPI_1[[Cost item]:[Cost item]],0),1),0)+
INDEX(Input_ForRateCalc[],MATCH(Calc_EnviroVEU_1[[#This Row],[Cost item]:[Cost item]],Input_ForRateCalc[[Cost item]:[Cost item]],0),MATCH($D$5,Inputs!$C$8:$Y$8,0))),"-")</f>
        <v>68.562227396360115</v>
      </c>
      <c r="H243" s="65" cm="1">
        <f t="array" ref="H243">IFERROR(
(IFERROR(INDEX(Calc_CPI_1[[CPI uplift factor]:[CPI uplift factor]],MATCH(Calc_EnviroVEU_1[[#This Row],[Cost item]:[Cost item]],Calc_CPI_1[[Cost item]:[Cost item]],0),1),0)+
INDEX(Input_ForRateCalc[],MATCH(Calc_EnviroVEU_1[[#This Row],[Cost item]:[Cost item]],Input_ForRateCalc[[Cost item]:[Cost item]],0),MATCH($D$5,Inputs!$C$8:$Y$8,0))),"-")</f>
        <v>68.562227396360115</v>
      </c>
      <c r="I243" s="65" cm="1">
        <f t="array" ref="I243">IFERROR(
(IFERROR(INDEX(Calc_CPI_1[[CPI uplift factor]:[CPI uplift factor]],MATCH(Calc_EnviroVEU_1[[#This Row],[Cost item]:[Cost item]],Calc_CPI_1[[Cost item]:[Cost item]],0),1),0)+
INDEX(Input_ForRateCalc[],MATCH(Calc_EnviroVEU_1[[#This Row],[Cost item]:[Cost item]],Input_ForRateCalc[[Cost item]:[Cost item]],0),MATCH($D$5,Inputs!$C$8:$Y$8,0))),"-")</f>
        <v>68.562227396360115</v>
      </c>
      <c r="J243" s="65" cm="1">
        <f t="array" ref="J243">IFERROR(
(IFERROR(INDEX(Calc_CPI_1[[CPI uplift factor]:[CPI uplift factor]],MATCH(Calc_EnviroVEU_1[[#This Row],[Cost item]:[Cost item]],Calc_CPI_1[[Cost item]:[Cost item]],0),1),0)+
INDEX(Input_ForRateCalc[],MATCH(Calc_EnviroVEU_1[[#This Row],[Cost item]:[Cost item]],Input_ForRateCalc[[Cost item]:[Cost item]],0),MATCH($D$5,Inputs!$C$8:$Y$8,0))),"-")</f>
        <v>68.562227396360115</v>
      </c>
      <c r="K243" s="65" cm="1">
        <f t="array" ref="K243">IFERROR(
(IFERROR(INDEX(Calc_CPI_1[[CPI uplift factor]:[CPI uplift factor]],MATCH(Calc_EnviroVEU_1[[#This Row],[Cost item]:[Cost item]],Calc_CPI_1[[Cost item]:[Cost item]],0),1),0)+
INDEX(Input_ForRateCalc[],MATCH(Calc_EnviroVEU_1[[#This Row],[Cost item]:[Cost item]],Input_ForRateCalc[[Cost item]:[Cost item]],0),MATCH($D$5,Inputs!$C$8:$Y$8,0))),"-")</f>
        <v>68.562227396360115</v>
      </c>
    </row>
    <row r="244" spans="3:14" outlineLevel="1">
      <c r="C244" s="20" t="s">
        <v>151</v>
      </c>
      <c r="D244" s="20" t="s">
        <v>103</v>
      </c>
      <c r="E244" s="20" t="s">
        <v>152</v>
      </c>
      <c r="F244" s="20" t="s">
        <v>91</v>
      </c>
      <c r="G244" s="65" cm="1">
        <f t="array" ref="G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c r="H244" s="65" cm="1">
        <f t="array" ref="H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c r="I244" s="65" cm="1">
        <f t="array" ref="I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c r="J244" s="65" cm="1">
        <f t="array" ref="J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c r="K244" s="65" cm="1">
        <f t="array" ref="K244">IFERROR(
(IFERROR(INDEX(Calc_CPI_1[[CPI uplift factor]:[CPI uplift factor]],MATCH(Calc_EnviroVEU_1[[#This Row],[Cost item]:[Cost item]],Calc_CPI_1[[Cost item]:[Cost item]],0),1),0)+
INDEX(Input_ForRateCalc[],MATCH(Calc_EnviroVEU_1[[#This Row],[Cost item]:[Cost item]],Input_ForRateCalc[[Cost item]:[Cost item]],0),MATCH($D$5,Inputs!$C$8:$Y$8,0))),"-")</f>
        <v>0.16306999999999999</v>
      </c>
    </row>
    <row r="245" spans="3:14" outlineLevel="1">
      <c r="C245" s="40" t="s">
        <v>153</v>
      </c>
      <c r="D245" s="40" t="s">
        <v>103</v>
      </c>
      <c r="E245" s="40" t="s">
        <v>68</v>
      </c>
      <c r="F245" s="20" t="s">
        <v>91</v>
      </c>
      <c r="G245" s="65">
        <f>IFERROR(
IFERROR(INDEX(Calc_CPI_1[[CPI uplift factor]:[CPI uplift factor]],MATCH($C245,Calc_CPI_1[[Cost item]:[Cost item]],0),1),0)+(G243*G244)/1000,"-")</f>
        <v>1.1180442421524443E-2</v>
      </c>
      <c r="H245" s="65">
        <f>IFERROR(
IFERROR(INDEX(Calc_CPI_1[[CPI uplift factor]:[CPI uplift factor]],MATCH($C245,Calc_CPI_1[[Cost item]:[Cost item]],0),1),0)+(H243*H244)/1000,"-")</f>
        <v>1.1180442421524443E-2</v>
      </c>
      <c r="I245" s="65">
        <f>IFERROR(
IFERROR(INDEX(Calc_CPI_1[[CPI uplift factor]:[CPI uplift factor]],MATCH($C245,Calc_CPI_1[[Cost item]:[Cost item]],0),1),0)+(I243*I244)/1000,"-")</f>
        <v>1.1180442421524443E-2</v>
      </c>
      <c r="J245" s="65">
        <f>IFERROR(
IFERROR(INDEX(Calc_CPI_1[[CPI uplift factor]:[CPI uplift factor]],MATCH($C245,Calc_CPI_1[[Cost item]:[Cost item]],0),1),0)+(J243*J244)/1000,"-")</f>
        <v>1.1180442421524443E-2</v>
      </c>
      <c r="K245" s="65">
        <f>IFERROR(
IFERROR(INDEX(Calc_CPI_1[[CPI uplift factor]:[CPI uplift factor]],MATCH($C245,Calc_CPI_1[[Cost item]:[Cost item]],0),1),0)+(K243*K244)/1000,"-")</f>
        <v>1.1180442421524443E-2</v>
      </c>
      <c r="M245" s="71"/>
      <c r="N245" s="71"/>
    </row>
    <row r="246" spans="3:14" outlineLevel="1">
      <c r="G246" s="71"/>
    </row>
    <row r="247" spans="3:14" ht="15.5" outlineLevel="1">
      <c r="C247" s="26" t="s">
        <v>154</v>
      </c>
      <c r="N247" s="71"/>
    </row>
    <row r="248" spans="3:14" ht="15.5" outlineLevel="1">
      <c r="C248" s="39" t="s">
        <v>33</v>
      </c>
      <c r="D248" s="39" t="s">
        <v>88</v>
      </c>
      <c r="E248" s="39" t="s">
        <v>56</v>
      </c>
      <c r="F248" s="39" t="s">
        <v>57</v>
      </c>
      <c r="G248" s="54" t="s">
        <v>58</v>
      </c>
      <c r="H248" s="54" t="s">
        <v>59</v>
      </c>
      <c r="I248" s="54" t="s">
        <v>60</v>
      </c>
      <c r="J248" s="54" t="s">
        <v>61</v>
      </c>
      <c r="K248" s="54" t="s">
        <v>62</v>
      </c>
    </row>
    <row r="249" spans="3:14" outlineLevel="1">
      <c r="C249" s="20" t="s">
        <v>155</v>
      </c>
      <c r="D249" s="20" t="s">
        <v>103</v>
      </c>
      <c r="E249" s="20" t="s">
        <v>150</v>
      </c>
      <c r="F249" s="20" t="s">
        <v>91</v>
      </c>
      <c r="G249" s="65" cm="1">
        <f t="array" ref="G249">IFERROR(
(IFERROR(INDEX(Calc_CPI_1[[CPI uplift factor]:[CPI uplift factor]],MATCH(Calc_EnviroLRET_1[[#This Row],[Cost item]:[Cost item]],Calc_CPI_1[[Cost item]:[Cost item]],0),1),0)+
INDEX(Input_ForRateCalc[],MATCH(Calc_EnviroLRET_1[[#This Row],[Cost item]:[Cost item]],Input_ForRateCalc[[Cost item]:[Cost item]],0),MATCH($D$5,Inputs!$C$8:$Y$8,0))),"-")</f>
        <v>54.83</v>
      </c>
      <c r="H249" s="65" cm="1">
        <f t="array" ref="H249">IFERROR(
(IFERROR(INDEX(Calc_CPI_1[[CPI uplift factor]:[CPI uplift factor]],MATCH(Calc_EnviroLRET_1[[#This Row],[Cost item]:[Cost item]],Calc_CPI_1[[Cost item]:[Cost item]],0),1),0)+
INDEX(Input_ForRateCalc[],MATCH(Calc_EnviroLRET_1[[#This Row],[Cost item]:[Cost item]],Input_ForRateCalc[[Cost item]:[Cost item]],0),MATCH($D$5,Inputs!$C$8:$Y$8,0))),"-")</f>
        <v>54.83</v>
      </c>
      <c r="I249" s="65" cm="1">
        <f t="array" ref="I249">IFERROR(
(IFERROR(INDEX(Calc_CPI_1[[CPI uplift factor]:[CPI uplift factor]],MATCH(Calc_EnviroLRET_1[[#This Row],[Cost item]:[Cost item]],Calc_CPI_1[[Cost item]:[Cost item]],0),1),0)+
INDEX(Input_ForRateCalc[],MATCH(Calc_EnviroLRET_1[[#This Row],[Cost item]:[Cost item]],Input_ForRateCalc[[Cost item]:[Cost item]],0),MATCH($D$5,Inputs!$C$8:$Y$8,0))),"-")</f>
        <v>54.83</v>
      </c>
      <c r="J249" s="65" cm="1">
        <f t="array" ref="J249">IFERROR(
(IFERROR(INDEX(Calc_CPI_1[[CPI uplift factor]:[CPI uplift factor]],MATCH(Calc_EnviroLRET_1[[#This Row],[Cost item]:[Cost item]],Calc_CPI_1[[Cost item]:[Cost item]],0),1),0)+
INDEX(Input_ForRateCalc[],MATCH(Calc_EnviroLRET_1[[#This Row],[Cost item]:[Cost item]],Input_ForRateCalc[[Cost item]:[Cost item]],0),MATCH($D$5,Inputs!$C$8:$Y$8,0))),"-")</f>
        <v>54.83</v>
      </c>
      <c r="K249" s="65" cm="1">
        <f t="array" ref="K249">IFERROR(
(IFERROR(INDEX(Calc_CPI_1[[CPI uplift factor]:[CPI uplift factor]],MATCH(Calc_EnviroLRET_1[[#This Row],[Cost item]:[Cost item]],Calc_CPI_1[[Cost item]:[Cost item]],0),1),0)+
INDEX(Input_ForRateCalc[],MATCH(Calc_EnviroLRET_1[[#This Row],[Cost item]:[Cost item]],Input_ForRateCalc[[Cost item]:[Cost item]],0),MATCH($D$5,Inputs!$C$8:$Y$8,0))),"-")</f>
        <v>54.83</v>
      </c>
    </row>
    <row r="250" spans="3:14" outlineLevel="1">
      <c r="C250" s="20" t="s">
        <v>156</v>
      </c>
      <c r="D250" s="20" t="s">
        <v>103</v>
      </c>
      <c r="E250" s="20" t="s">
        <v>152</v>
      </c>
      <c r="F250" s="20" t="s">
        <v>91</v>
      </c>
      <c r="G250" s="65" cm="1">
        <f t="array" ref="G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c r="H250" s="65" cm="1">
        <f t="array" ref="H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c r="I250" s="65" cm="1">
        <f t="array" ref="I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c r="J250" s="65" cm="1">
        <f t="array" ref="J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c r="K250" s="65" cm="1">
        <f t="array" ref="K250">IFERROR(
(IFERROR(INDEX(Calc_CPI_1[[CPI uplift factor]:[CPI uplift factor]],MATCH(Calc_EnviroLRET_1[[#This Row],[Cost item]:[Cost item]],Calc_CPI_1[[Cost item]:[Cost item]],0),1),0)+
INDEX(Input_ForRateCalc[],MATCH(Calc_EnviroLRET_1[[#This Row],[Cost item]:[Cost item]],Input_ForRateCalc[[Cost item]:[Cost item]],0),MATCH($D$5,Inputs!$C$8:$Y$8,0))),"-")</f>
        <v>0.18959999999999999</v>
      </c>
    </row>
    <row r="251" spans="3:14" outlineLevel="1">
      <c r="C251" s="40" t="s">
        <v>157</v>
      </c>
      <c r="D251" s="40" t="s">
        <v>103</v>
      </c>
      <c r="E251" s="40" t="s">
        <v>68</v>
      </c>
      <c r="F251" s="20" t="s">
        <v>91</v>
      </c>
      <c r="G251" s="65">
        <f>IFERROR(
IFERROR(INDEX(Calc_CPI_1[[CPI uplift factor]:[CPI uplift factor]],MATCH($C251,Calc_CPI_1[[Cost item]:[Cost item]],0),1),0)+(G249*G250)/1000,"-")</f>
        <v>1.0395767999999998E-2</v>
      </c>
      <c r="H251" s="65">
        <f>IFERROR(
IFERROR(INDEX(Calc_CPI_1[[CPI uplift factor]:[CPI uplift factor]],MATCH($C251,Calc_CPI_1[[Cost item]:[Cost item]],0),1),0)+(H249*H250)/1000,"-")</f>
        <v>1.0395767999999998E-2</v>
      </c>
      <c r="I251" s="65">
        <f>IFERROR(
IFERROR(INDEX(Calc_CPI_1[[CPI uplift factor]:[CPI uplift factor]],MATCH($C251,Calc_CPI_1[[Cost item]:[Cost item]],0),1),0)+(I249*I250)/1000,"-")</f>
        <v>1.0395767999999998E-2</v>
      </c>
      <c r="J251" s="65">
        <f>IFERROR(
IFERROR(INDEX(Calc_CPI_1[[CPI uplift factor]:[CPI uplift factor]],MATCH($C251,Calc_CPI_1[[Cost item]:[Cost item]],0),1),0)+(J249*J250)/1000,"-")</f>
        <v>1.0395767999999998E-2</v>
      </c>
      <c r="K251" s="65">
        <f>IFERROR(
IFERROR(INDEX(Calc_CPI_1[[CPI uplift factor]:[CPI uplift factor]],MATCH($C251,Calc_CPI_1[[Cost item]:[Cost item]],0),1),0)+(K249*K250)/1000,"-")</f>
        <v>1.0395767999999998E-2</v>
      </c>
      <c r="M251" s="71"/>
    </row>
    <row r="252" spans="3:14" outlineLevel="1"/>
    <row r="253" spans="3:14" ht="15.5" outlineLevel="1">
      <c r="C253" s="26" t="s">
        <v>158</v>
      </c>
    </row>
    <row r="254" spans="3:14" ht="15.5" outlineLevel="1">
      <c r="C254" s="39" t="s">
        <v>33</v>
      </c>
      <c r="D254" s="39" t="s">
        <v>88</v>
      </c>
      <c r="E254" s="39" t="s">
        <v>56</v>
      </c>
      <c r="F254" s="39" t="s">
        <v>57</v>
      </c>
      <c r="G254" s="54" t="s">
        <v>58</v>
      </c>
      <c r="H254" s="54" t="s">
        <v>59</v>
      </c>
      <c r="I254" s="54" t="s">
        <v>60</v>
      </c>
      <c r="J254" s="54" t="s">
        <v>61</v>
      </c>
      <c r="K254" s="54" t="s">
        <v>62</v>
      </c>
    </row>
    <row r="255" spans="3:14" outlineLevel="1">
      <c r="C255" s="20" t="s">
        <v>159</v>
      </c>
      <c r="D255" s="20" t="s">
        <v>103</v>
      </c>
      <c r="E255" s="20" t="s">
        <v>150</v>
      </c>
      <c r="F255" s="20" t="s">
        <v>91</v>
      </c>
      <c r="G255" s="65" cm="1">
        <f t="array" ref="G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c r="H255" s="65" cm="1">
        <f t="array" ref="H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c r="I255" s="65" cm="1">
        <f t="array" ref="I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c r="J255" s="65" cm="1">
        <f t="array" ref="J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c r="K255" s="65" cm="1">
        <f t="array" ref="K255">IFERROR(
(IFERROR(INDEX(Calc_CPI_1[[CPI uplift factor]:[CPI uplift factor]],MATCH(Calc_EnviroSRES_1[[#This Row],[Cost item]:[Cost item]],Calc_CPI_1[[Cost item]:[Cost item]],0),1),0)+
INDEX(Input_ForRateCalc[],MATCH(Calc_EnviroSRES_1[[#This Row],[Cost item]:[Cost item]],Input_ForRateCalc[[Cost item]:[Cost item]],0),MATCH($D$5,Inputs!$C$8:$Y$8,0))),"-")</f>
        <v>40</v>
      </c>
    </row>
    <row r="256" spans="3:14" outlineLevel="1">
      <c r="C256" s="20" t="s">
        <v>160</v>
      </c>
      <c r="D256" s="20" t="s">
        <v>103</v>
      </c>
      <c r="E256" s="20" t="s">
        <v>152</v>
      </c>
      <c r="F256" s="20" t="s">
        <v>91</v>
      </c>
      <c r="G256" s="65" cm="1">
        <f t="array" ref="G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c r="H256" s="65" cm="1">
        <f t="array" ref="H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c r="I256" s="65" cm="1">
        <f t="array" ref="I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c r="J256" s="65" cm="1">
        <f t="array" ref="J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c r="K256" s="65" cm="1">
        <f t="array" ref="K256">IFERROR(
(IFERROR(INDEX(Calc_CPI_1[[CPI uplift factor]:[CPI uplift factor]],MATCH(Calc_EnviroSRES_1[[#This Row],[Cost item]:[Cost item]],Calc_CPI_1[[Cost item]:[Cost item]],0),1),0)+
INDEX(Input_ForRateCalc[],MATCH(Calc_EnviroSRES_1[[#This Row],[Cost item]:[Cost item]],Input_ForRateCalc[[Cost item]:[Cost item]],0),MATCH($D$5,Inputs!$C$8:$Y$8,0))),"-")</f>
        <v>0.1714</v>
      </c>
    </row>
    <row r="257" spans="1:13" outlineLevel="1">
      <c r="C257" s="40" t="s">
        <v>161</v>
      </c>
      <c r="D257" s="40" t="s">
        <v>103</v>
      </c>
      <c r="E257" s="40" t="s">
        <v>68</v>
      </c>
      <c r="F257" s="20" t="s">
        <v>91</v>
      </c>
      <c r="G257" s="65">
        <f>IFERROR(
IFERROR(INDEX(Calc_CPI_1[[CPI uplift factor]:[CPI uplift factor]],MATCH($C257,Calc_CPI_1[[Cost item]:[Cost item]],0),1),0)+(G255*G256)/1000,"-")</f>
        <v>6.8560000000000001E-3</v>
      </c>
      <c r="H257" s="65">
        <f>IFERROR(
IFERROR(INDEX(Calc_CPI_1[[CPI uplift factor]:[CPI uplift factor]],MATCH($C257,Calc_CPI_1[[Cost item]:[Cost item]],0),1),0)+(H255*H256)/1000,"-")</f>
        <v>6.8560000000000001E-3</v>
      </c>
      <c r="I257" s="65">
        <f>IFERROR(
IFERROR(INDEX(Calc_CPI_1[[CPI uplift factor]:[CPI uplift factor]],MATCH($C257,Calc_CPI_1[[Cost item]:[Cost item]],0),1),0)+(I255*I256)/1000,"-")</f>
        <v>6.8560000000000001E-3</v>
      </c>
      <c r="J257" s="65">
        <f>IFERROR(
IFERROR(INDEX(Calc_CPI_1[[CPI uplift factor]:[CPI uplift factor]],MATCH($C257,Calc_CPI_1[[Cost item]:[Cost item]],0),1),0)+(J255*J256)/1000,"-")</f>
        <v>6.8560000000000001E-3</v>
      </c>
      <c r="K257" s="65">
        <f>IFERROR(
IFERROR(INDEX(Calc_CPI_1[[CPI uplift factor]:[CPI uplift factor]],MATCH($C257,Calc_CPI_1[[Cost item]:[Cost item]],0),1),0)+(K255*K256)/1000,"-")</f>
        <v>6.8560000000000001E-3</v>
      </c>
      <c r="M257" s="71"/>
    </row>
    <row r="258" spans="1:13" outlineLevel="1"/>
    <row r="259" spans="1:13" ht="15.5" outlineLevel="1" collapsed="1">
      <c r="A259" s="1" t="s">
        <v>18</v>
      </c>
      <c r="C259" s="26" t="s">
        <v>162</v>
      </c>
    </row>
    <row r="260" spans="1:13" ht="15.5" outlineLevel="1">
      <c r="C260" s="39" t="s">
        <v>33</v>
      </c>
      <c r="D260" s="39" t="s">
        <v>88</v>
      </c>
      <c r="E260" s="39" t="s">
        <v>56</v>
      </c>
      <c r="F260" s="39" t="s">
        <v>57</v>
      </c>
      <c r="G260" s="54" t="s">
        <v>58</v>
      </c>
      <c r="H260" s="54" t="s">
        <v>59</v>
      </c>
      <c r="I260" s="54" t="s">
        <v>60</v>
      </c>
      <c r="J260" s="54" t="s">
        <v>61</v>
      </c>
      <c r="K260" s="54" t="s">
        <v>62</v>
      </c>
    </row>
    <row r="261" spans="1:13" outlineLevel="1">
      <c r="C261" s="40" t="s">
        <v>119</v>
      </c>
      <c r="D261" s="40" t="s">
        <v>90</v>
      </c>
      <c r="E261" s="20" t="s">
        <v>64</v>
      </c>
      <c r="F261" s="20" t="s">
        <v>91</v>
      </c>
      <c r="G261" s="65" cm="1">
        <f t="array" ref="G261">IFERROR(
(IFERROR(INDEX(Calc_CPI_1[[CPI uplift factor]:[CPI uplift factor]],MATCH(Calc_FiT_1[[#This Row],[Cost item]:[Cost item]],Calc_CPI_1[[Cost item]:[Cost item]],0),1),0)+
INDEX(Input_ForRateCalc[],MATCH(Calc_FiT_1[[#This Row],[Cost item]:[Cost item]],Input_ForRateCalc[[Cost item]:[Cost item]],0),MATCH($D$5,Inputs!$C$8:$Y$8,0))),"-")</f>
        <v>16.945572514842485</v>
      </c>
      <c r="H261" s="65" cm="1">
        <f t="array" ref="H261">IFERROR(
(IFERROR(INDEX(Calc_CPI_1[[CPI uplift factor]:[CPI uplift factor]],MATCH(Calc_FiT_1[[#This Row],[Cost item]:[Cost item]],Calc_CPI_1[[Cost item]:[Cost item]],0),1),0)+
INDEX(Input_ForRateCalc[],MATCH(Calc_FiT_1[[#This Row],[Cost item]:[Cost item]],Input_ForRateCalc[[Cost item]:[Cost item]],0),MATCH($D$5,Inputs!$C$8:$Y$8,0))),"-")</f>
        <v>16.945572514842485</v>
      </c>
      <c r="I261" s="65" cm="1">
        <f t="array" ref="I261">IFERROR(
(IFERROR(INDEX(Calc_CPI_1[[CPI uplift factor]:[CPI uplift factor]],MATCH(Calc_FiT_1[[#This Row],[Cost item]:[Cost item]],Calc_CPI_1[[Cost item]:[Cost item]],0),1),0)+
INDEX(Input_ForRateCalc[],MATCH(Calc_FiT_1[[#This Row],[Cost item]:[Cost item]],Input_ForRateCalc[[Cost item]:[Cost item]],0),MATCH($D$5,Inputs!$C$8:$Y$8,0))),"-")</f>
        <v>16.945572514842485</v>
      </c>
      <c r="J261" s="65" cm="1">
        <f t="array" ref="J261">IFERROR(
(IFERROR(INDEX(Calc_CPI_1[[CPI uplift factor]:[CPI uplift factor]],MATCH(Calc_FiT_1[[#This Row],[Cost item]:[Cost item]],Calc_CPI_1[[Cost item]:[Cost item]],0),1),0)+
INDEX(Input_ForRateCalc[],MATCH(Calc_FiT_1[[#This Row],[Cost item]:[Cost item]],Input_ForRateCalc[[Cost item]:[Cost item]],0),MATCH($D$5,Inputs!$C$8:$Y$8,0))),"-")</f>
        <v>16.945572514842485</v>
      </c>
      <c r="K261" s="65" cm="1">
        <f t="array" ref="K261">IFERROR(
(IFERROR(INDEX(Calc_CPI_1[[CPI uplift factor]:[CPI uplift factor]],MATCH(Calc_FiT_1[[#This Row],[Cost item]:[Cost item]],Calc_CPI_1[[Cost item]:[Cost item]],0),1),0)+
INDEX(Input_ForRateCalc[],MATCH(Calc_FiT_1[[#This Row],[Cost item]:[Cost item]],Input_ForRateCalc[[Cost item]:[Cost item]],0),MATCH($D$5,Inputs!$C$8:$Y$8,0))),"-")</f>
        <v>16.945572514842485</v>
      </c>
    </row>
    <row r="264" spans="1:13" ht="15.5">
      <c r="A264" s="1" t="s">
        <v>18</v>
      </c>
    </row>
    <row r="266" spans="1:13" ht="15.5">
      <c r="B266"/>
      <c r="C266" s="49" t="s">
        <v>31</v>
      </c>
      <c r="D266" s="88" t="s">
        <v>85</v>
      </c>
    </row>
    <row r="267" spans="1:13">
      <c r="B267"/>
    </row>
    <row r="268" spans="1:13" ht="16" thickBot="1">
      <c r="B268" s="216">
        <f ca="1">MAX(B$3:B267)+0.01</f>
        <v>13.079999999999998</v>
      </c>
      <c r="C268" s="25" t="s">
        <v>86</v>
      </c>
      <c r="D268" s="25"/>
      <c r="E268" s="25"/>
      <c r="F268" s="25"/>
      <c r="G268" s="25"/>
      <c r="H268" s="25"/>
      <c r="I268" s="25"/>
      <c r="J268" s="25"/>
      <c r="K268" s="25"/>
    </row>
    <row r="269" spans="1:13">
      <c r="B269"/>
      <c r="I269" s="78"/>
    </row>
    <row r="270" spans="1:13" ht="15.5">
      <c r="B270"/>
      <c r="C270" s="39" t="s">
        <v>87</v>
      </c>
      <c r="D270" s="39" t="s">
        <v>88</v>
      </c>
      <c r="E270" s="39" t="s">
        <v>56</v>
      </c>
      <c r="F270" s="39" t="s">
        <v>57</v>
      </c>
      <c r="G270" s="54" t="s">
        <v>58</v>
      </c>
      <c r="H270" s="54" t="s">
        <v>59</v>
      </c>
      <c r="I270" s="54" t="s">
        <v>60</v>
      </c>
      <c r="J270" s="54" t="s">
        <v>61</v>
      </c>
      <c r="K270" s="54" t="s">
        <v>62</v>
      </c>
    </row>
    <row r="271" spans="1:13">
      <c r="B271"/>
      <c r="C271" s="20" t="s">
        <v>89</v>
      </c>
      <c r="D271" s="20" t="s">
        <v>90</v>
      </c>
      <c r="E271" s="20" t="s">
        <v>64</v>
      </c>
      <c r="F271" s="20" t="s">
        <v>91</v>
      </c>
      <c r="G271" s="66">
        <f>SUMIFS(Calc_Retail_2[Ausnet],Calc_Retail_2[Fixed/Variable],$D271,Calc_Retail_2[Customer type],$F271)</f>
        <v>187.35930628726288</v>
      </c>
      <c r="H271" s="66">
        <f>SUMIFS(Calc_Retail_2[Citipower],Calc_Retail_2[[Fixed/Variable]:[Fixed/Variable]],$D271,Calc_Retail_2[[Customer type]:[Customer type]],$F271)</f>
        <v>187.35930628726288</v>
      </c>
      <c r="I271" s="66">
        <f>SUMIFS(Calc_Retail_2[Jemena],Calc_Retail_2[[Fixed/Variable]:[Fixed/Variable]],$D271,Calc_Retail_2[[Customer type]:[Customer type]],$F271)</f>
        <v>187.35930628726288</v>
      </c>
      <c r="J271" s="66">
        <f>SUMIFS(Calc_Retail_2[Powercor],Calc_Retail_2[[Fixed/Variable]:[Fixed/Variable]],$D271,Calc_Retail_2[[Customer type]:[Customer type]],$F271)</f>
        <v>187.35930628726288</v>
      </c>
      <c r="K271" s="66">
        <f>SUMIFS(Calc_Retail_2[United Energy],Calc_Retail_2[[Fixed/Variable]:[Fixed/Variable]],$D271,Calc_Retail_2[[Customer type]:[Customer type]],$F271)</f>
        <v>187.35930628726288</v>
      </c>
    </row>
    <row r="272" spans="1:13">
      <c r="B272"/>
      <c r="C272" s="20" t="s">
        <v>92</v>
      </c>
      <c r="D272" s="20" t="s">
        <v>90</v>
      </c>
      <c r="E272" s="20" t="s">
        <v>64</v>
      </c>
      <c r="F272" s="20" t="s">
        <v>91</v>
      </c>
      <c r="G272" s="70">
        <f>SUMIFS(Calc_OtherCosts_2[Ausnet],Calc_OtherCosts_2[[Fixed/Variable]:[Fixed/Variable]],$D272,Calc_OtherCosts_2[[Customer type]:[Customer type]],$F272)</f>
        <v>4.1192540518137655</v>
      </c>
      <c r="H272" s="66">
        <f>SUMIFS(Calc_OtherCosts_2[Citipower],Calc_OtherCosts_2[[Fixed/Variable]:[Fixed/Variable]],$D272,Calc_OtherCosts_2[[Customer type]:[Customer type]],$F272)</f>
        <v>4.1192540518137655</v>
      </c>
      <c r="I272" s="66">
        <f>SUMIFS(Calc_OtherCosts_2[Jemena],Calc_OtherCosts_2[[Fixed/Variable]:[Fixed/Variable]],$D272,Calc_OtherCosts_2[[Customer type]:[Customer type]],$F272)</f>
        <v>4.1192540518137655</v>
      </c>
      <c r="J272" s="66">
        <f>SUMIFS(Calc_OtherCosts_2[Powercor],Calc_OtherCosts_2[[Fixed/Variable]:[Fixed/Variable]],$D272,Calc_OtherCosts_2[[Customer type]:[Customer type]],$F272)</f>
        <v>4.1192540518137655</v>
      </c>
      <c r="K272" s="66">
        <f>SUMIFS(Calc_OtherCosts_2[United Energy],Calc_OtherCosts_2[[Fixed/Variable]:[Fixed/Variable]],$D272,Calc_OtherCosts_2[[Customer type]:[Customer type]],$F272)</f>
        <v>4.1192540518137655</v>
      </c>
    </row>
    <row r="273" spans="2:16">
      <c r="B273"/>
      <c r="C273" s="20" t="s">
        <v>93</v>
      </c>
      <c r="D273" s="20" t="s">
        <v>90</v>
      </c>
      <c r="E273" s="20" t="s">
        <v>64</v>
      </c>
      <c r="F273" s="20" t="s">
        <v>91</v>
      </c>
      <c r="G273" s="66">
        <f>SUMIFS(Calc_FiT_2[Ausnet],Calc_FiT_2[[Fixed/Variable]:[Fixed/Variable]],$D273,Calc_FiT_2[[Customer type]:[Customer type]],$F273)</f>
        <v>16.375320494428642</v>
      </c>
      <c r="H273" s="66">
        <f>SUMIFS(Calc_FiT_2[Citipower],Calc_FiT_2[[Fixed/Variable]:[Fixed/Variable]],$D273,Calc_FiT_2[[Customer type]:[Customer type]],$F273)</f>
        <v>16.375320494428642</v>
      </c>
      <c r="I273" s="66">
        <f>SUMIFS(Calc_FiT_2[Jemena],Calc_FiT_2[[Fixed/Variable]:[Fixed/Variable]],$D273,Calc_FiT_2[[Customer type]:[Customer type]],$F273)</f>
        <v>16.375320494428642</v>
      </c>
      <c r="J273" s="66">
        <f>SUMIFS(Calc_FiT_2[Powercor],Calc_FiT_2[[Fixed/Variable]:[Fixed/Variable]],$D273,Calc_FiT_2[[Customer type]:[Customer type]],$F273)</f>
        <v>16.375320494428642</v>
      </c>
      <c r="K273" s="66">
        <f>SUMIFS(Calc_FiT_2[United Energy],Calc_FiT_2[[Fixed/Variable]:[Fixed/Variable]],$D273,Calc_FiT_2[[Customer type]:[Customer type]],$F273)</f>
        <v>16.375320494428642</v>
      </c>
      <c r="P273" s="78"/>
    </row>
    <row r="274" spans="2:16">
      <c r="B274"/>
      <c r="C274" s="20" t="s">
        <v>94</v>
      </c>
      <c r="D274" s="20" t="s">
        <v>90</v>
      </c>
      <c r="E274" s="20" t="s">
        <v>64</v>
      </c>
      <c r="F274" s="20" t="s">
        <v>91</v>
      </c>
      <c r="G274" s="66">
        <f>SUMIFS(Calc_NetworkF_2[Ausnet],Calc_NetworkF_2[[Fixed/Variable]:[Fixed/Variable]],$D274,Calc_NetworkF_2[[Customer type]:[Customer type]],$F274)</f>
        <v>73.687691673983423</v>
      </c>
      <c r="H274" s="66">
        <f>SUMIFS(Calc_NetworkF_2[Citipower],Calc_NetworkF_2[[Fixed/Variable]:[Fixed/Variable]],$D274,Calc_NetworkF_2[[Customer type]:[Customer type]],$F274)</f>
        <v>65.843069177343665</v>
      </c>
      <c r="I274" s="66">
        <f>SUMIFS(Calc_NetworkF_2[Jemena],Calc_NetworkF_2[[Fixed/Variable]:[Fixed/Variable]],$D274,Calc_NetworkF_2[[Customer type]:[Customer type]],$F274)</f>
        <v>64.709012434113291</v>
      </c>
      <c r="J274" s="66">
        <f>SUMIFS(Calc_NetworkF_2[Powercor],Calc_NetworkF_2[[Fixed/Variable]:[Fixed/Variable]],$D274,Calc_NetworkF_2[[Customer type]:[Customer type]],$F274)</f>
        <v>62.150631405968483</v>
      </c>
      <c r="K274" s="66">
        <f>SUMIFS(Calc_NetworkF_2[United Energy],Calc_NetworkF_2[[Fixed/Variable]:[Fixed/Variable]],$D274,Calc_NetworkF_2[[Customer type]:[Customer type]],$F274)</f>
        <v>43.604260842124496</v>
      </c>
    </row>
    <row r="275" spans="2:16">
      <c r="B275"/>
    </row>
    <row r="276" spans="2:16" ht="15.5">
      <c r="B276"/>
      <c r="C276" s="26" t="s">
        <v>95</v>
      </c>
    </row>
    <row r="277" spans="2:16" ht="15.5" outlineLevel="1">
      <c r="B277"/>
      <c r="C277" s="74" t="s">
        <v>63</v>
      </c>
    </row>
    <row r="278" spans="2:16" outlineLevel="1">
      <c r="B278"/>
      <c r="C278" s="20" t="s">
        <v>96</v>
      </c>
      <c r="D278" s="20" t="s">
        <v>7</v>
      </c>
      <c r="E278" s="20" t="s">
        <v>64</v>
      </c>
      <c r="F278" s="20" t="s">
        <v>65</v>
      </c>
      <c r="G278" s="55">
        <f>SUMIFS(Calc_NetworkF_2[Ausnet],Calc_NetworkF_2[[Cost item]:[Cost item]],$C277,Calc_NetworkF_2[[Customer type]:[Customer type]],$F278)</f>
        <v>125.072</v>
      </c>
      <c r="H278" s="55">
        <f>SUMIFS(Calc_NetworkF_2[Citipower],Calc_NetworkF_2[[Cost item]:[Cost item]],$C277,Calc_NetworkF_2[[Customer type]:[Customer type]],$F278)</f>
        <v>90.009</v>
      </c>
      <c r="I278" s="55">
        <f>SUMIFS(Calc_NetworkF_2[Jemena],Calc_NetworkF_2[[Cost item]:[Cost item]],$C277,Calc_NetworkF_2[[Customer type]:[Customer type]],$F278)</f>
        <v>89.69</v>
      </c>
      <c r="J278" s="55">
        <f>SUMIFS(Calc_NetworkF_2[Powercor],Calc_NetworkF_2[[Cost item]:[Cost item]],$C277,Calc_NetworkF_2[[Customer type]:[Customer type]],$F278)</f>
        <v>139.97749999999999</v>
      </c>
      <c r="K278" s="55">
        <f>SUMIFS(Calc_NetworkF_2[United Energy],Calc_NetworkF_2[[Cost item]:[Cost item]],$C277,Calc_NetworkF_2[[Customer type]:[Customer type]],$F278)</f>
        <v>85.008499999999998</v>
      </c>
    </row>
    <row r="279" spans="2:16" outlineLevel="1">
      <c r="B279"/>
      <c r="C279" s="20" t="s">
        <v>87</v>
      </c>
      <c r="D279" s="20" t="s">
        <v>7</v>
      </c>
      <c r="E279" s="20" t="s">
        <v>64</v>
      </c>
      <c r="F279" s="20" t="s">
        <v>65</v>
      </c>
      <c r="G279" s="66">
        <f>IF(G278=0,"-",SUMIFS(Calc_Fixed_2[Ausnet],Calc_Fixed_2[Customer type],"All")+SUMIFS(Calc_Fixed_2[Ausnet],Calc_Fixed_2[Customer type],$F279))</f>
        <v>281.5415725074887</v>
      </c>
      <c r="H279" s="66">
        <f>IF(H278=0,"-",SUMIFS(Calc_Fixed_2[Citipower],Calc_Fixed_2[[Customer type]:[Customer type]],"All")+SUMIFS(Calc_Fixed_2[Citipower],Calc_Fixed_2[[Customer type]:[Customer type]],$F280))</f>
        <v>273.69695001084892</v>
      </c>
      <c r="I279" s="66">
        <f>IF(I278=0,"-",SUMIFS(Calc_Fixed_2[Jemena],Calc_Fixed_2[[Customer type]:[Customer type]],"All")+SUMIFS(Calc_Fixed_2[Jemena],Calc_Fixed_2[[Customer type]:[Customer type]],$F280))</f>
        <v>272.56289326761856</v>
      </c>
      <c r="J279" s="66">
        <f>IF(J278=0,"-",SUMIFS(Calc_Fixed_2[Powercor],Calc_Fixed_2[[Customer type]:[Customer type]],"All")+SUMIFS(Calc_Fixed_2[Powercor],Calc_Fixed_2[[Customer type]:[Customer type]],$F280))</f>
        <v>270.0045122394738</v>
      </c>
      <c r="K279" s="66">
        <f>IF(K278=0,"-",SUMIFS(Calc_Fixed_2[United Energy],Calc_Fixed_2[[Customer type]:[Customer type]],"All")+SUMIFS(Calc_Fixed_2[United Energy],Calc_Fixed_2[[Customer type]:[Customer type]],$F280))</f>
        <v>251.45814167562978</v>
      </c>
    </row>
    <row r="280" spans="2:16" outlineLevel="1">
      <c r="B280"/>
      <c r="C280" s="20" t="s">
        <v>97</v>
      </c>
      <c r="D280" s="20" t="s">
        <v>7</v>
      </c>
      <c r="E280" s="20" t="s">
        <v>64</v>
      </c>
      <c r="F280" s="20" t="s">
        <v>65</v>
      </c>
      <c r="G280" s="66" cm="1">
        <f t="array" ref="G280">IF(G278=0,"-",(G278+G279)*Calc_ROM_2[Ausnet])</f>
        <v>24.559459779452318</v>
      </c>
      <c r="H280" s="66" cm="1">
        <f t="array" ref="H280">IF(H278=0,"-",(H278+H279)*Calc_ROM_2[Citipower])</f>
        <v>21.967839380655278</v>
      </c>
      <c r="I280" s="66" cm="1">
        <f t="array" ref="I280">IF(I278=0,"-",(I278+I279)*Calc_ROM_2[Jemena])</f>
        <v>21.880074753364163</v>
      </c>
      <c r="J280" s="66" cm="1">
        <f t="array" ref="J280">IF(J278=0,"-",(J278+J279)*Calc_ROM_2[Powercor])</f>
        <v>24.762913539264215</v>
      </c>
      <c r="K280" s="66" cm="1">
        <f t="array" ref="K280">IF(K278=0,"-",(K278+K279)*Calc_ROM_2[United Energy])</f>
        <v>20.322585157208039</v>
      </c>
    </row>
    <row r="281" spans="2:16" outlineLevel="1">
      <c r="B281"/>
      <c r="C281" s="20" t="s">
        <v>98</v>
      </c>
      <c r="D281" s="20" t="s">
        <v>7</v>
      </c>
      <c r="E281" s="20" t="s">
        <v>64</v>
      </c>
      <c r="F281" s="20" t="s">
        <v>65</v>
      </c>
      <c r="G281" s="66">
        <f>IF(G278=0,"-",(G278+G279+G280)*GST)</f>
        <v>43.117303228694105</v>
      </c>
      <c r="H281" s="66">
        <f>IF(H278=0,"-",(H278+H279+H280)*GST)</f>
        <v>38.567378939150423</v>
      </c>
      <c r="I281" s="66">
        <f>IF(I278=0,"-",(I278+I279+I280)*GST)</f>
        <v>38.413296802098273</v>
      </c>
      <c r="J281" s="66">
        <f>IF(J278=0,"-",(J278+J279+J280)*GST)</f>
        <v>43.474492577873804</v>
      </c>
      <c r="K281" s="66">
        <f>IF(K278=0,"-",(K278+K279+K280)*GST)</f>
        <v>35.67892268328378</v>
      </c>
    </row>
    <row r="282" spans="2:16" outlineLevel="1">
      <c r="B282"/>
      <c r="C282" s="20" t="s">
        <v>99</v>
      </c>
      <c r="D282" s="20" t="s">
        <v>7</v>
      </c>
      <c r="E282" s="20" t="s">
        <v>64</v>
      </c>
      <c r="F282" s="20" t="s">
        <v>65</v>
      </c>
      <c r="G282" s="66">
        <f>IF(G278=0,"-",G278+G279+G280+G281)</f>
        <v>474.29033551563509</v>
      </c>
      <c r="H282" s="66">
        <f t="shared" ref="H282" si="46">IF(H278=0,"-",H278+H279+H280+H281)</f>
        <v>424.24116833065466</v>
      </c>
      <c r="I282" s="66">
        <f t="shared" ref="I282" si="47">IF(I278=0,"-",I278+I279+I280+I281)</f>
        <v>422.546264823081</v>
      </c>
      <c r="J282" s="66">
        <f t="shared" ref="J282" si="48">IF(J278=0,"-",J278+J279+J280+J281)</f>
        <v>478.21941835661175</v>
      </c>
      <c r="K282" s="66">
        <f t="shared" ref="K282" si="49">IF(K278=0,"-",K278+K279+K280+K281)</f>
        <v>392.46814951612157</v>
      </c>
    </row>
    <row r="283" spans="2:16" outlineLevel="1">
      <c r="B283"/>
      <c r="C283" s="20" t="str">
        <f>C277</f>
        <v>Anytime - supply</v>
      </c>
      <c r="D283" s="20" t="s">
        <v>7</v>
      </c>
      <c r="E283" s="20" t="s">
        <v>64</v>
      </c>
      <c r="F283" s="20" t="s">
        <v>65</v>
      </c>
      <c r="G283" s="67">
        <f>IF(G278=0,"-",G282/DiY)</f>
        <v>1.2994255767551646</v>
      </c>
      <c r="H283" s="67">
        <f>IF(H278=0,"-",H282/DiY)</f>
        <v>1.1623045707689168</v>
      </c>
      <c r="I283" s="67">
        <f>IF(I278=0,"-",I282/DiY)</f>
        <v>1.1576609995152904</v>
      </c>
      <c r="J283" s="67">
        <f>IF(J278=0,"-",J282/DiY)</f>
        <v>1.3101901872783883</v>
      </c>
      <c r="K283" s="67">
        <f>IF(K278=0,"-",K282/DiY)</f>
        <v>1.0752552041537577</v>
      </c>
    </row>
    <row r="284" spans="2:16" outlineLevel="1">
      <c r="B284"/>
      <c r="G284" s="94" cm="1">
        <f t="array" ref="G284">IF(ROUND(G283,8)=ROUND((((
SUMIFS(Calc_NetworkF_2[Ausnet],Calc_NetworkF_2[Cost item],$C277,Calc_NetworkF_2[Customer type],$F278)+
SUMIFS(Calc_Fixed_2[Ausnet],Calc_Fixed_2[Customer type],Calc_Rates!$F283)+
SUMIFS(Calc_Fixed_2[Ausnet],Calc_Fixed_2[Customer type],"All"))*(1+Calc_ROM_2[Ausnet]))*(1+GST))/DiY,8),0,1)</f>
        <v>0</v>
      </c>
      <c r="H284" s="94" cm="1">
        <f t="array" ref="H284">IF(ROUND(H283,8)=ROUND((((
SUMIFS(Calc_NetworkF_2[Citipower],Calc_NetworkF_2[Cost item],$C277,Calc_NetworkF_2[Customer type],$F278)+
SUMIFS(Calc_Fixed_2[Citipower],Calc_Fixed_2[Customer type],Calc_Rates!$F283)+
SUMIFS(Calc_Fixed_2[Citipower],Calc_Fixed_2[Customer type],"All"))*(1+Calc_ROM_2[Citipower]))*(1+GST))/DiY,8),0,1)</f>
        <v>0</v>
      </c>
      <c r="I284" s="94" cm="1">
        <f t="array" ref="I284">IF(ROUND(I283,8)=ROUND((((
SUMIFS(Calc_NetworkF_2[Jemena],Calc_NetworkF_2[Cost item],$C277,Calc_NetworkF_2[Customer type],$F278)+
SUMIFS(Calc_Fixed_2[Jemena],Calc_Fixed_2[Customer type],Calc_Rates!$F283)+
SUMIFS(Calc_Fixed_2[Jemena],Calc_Fixed_2[Customer type],"All"))*(1+Calc_ROM_2[Jemena]))*(1+GST))/DiY,8),0,1)</f>
        <v>0</v>
      </c>
      <c r="J284" s="94" cm="1">
        <f t="array" ref="J284">IF(ROUND(J283,8)=ROUND((((
SUMIFS(Calc_NetworkF_2[Powercor],Calc_NetworkF_2[[Cost item]:[Cost item]],$C277,Calc_NetworkF_2[[Customer type]:[Customer type]],$F278)+
SUMIFS(Calc_Fixed_2[Powercor],Calc_Fixed_2[[Customer type]:[Customer type]],Calc_Rates!$F283)+
SUMIFS(Calc_Fixed_2[Powercor],Calc_Fixed_2[[Customer type]:[Customer type]],"All"))*(1+Calc_ROM_2[Powercor]))*(1+GST))/DiY,8),0,1)</f>
        <v>0</v>
      </c>
      <c r="K284" s="94" cm="1">
        <f t="array" ref="K284">IF(ROUND(K283,8)=ROUND((((
SUMIFS(Calc_NetworkF_2[United Energy],Calc_NetworkF_2[[Cost item]:[Cost item]],$C277,Calc_NetworkF_2[[Customer type]:[Customer type]],$F278)+
SUMIFS(Calc_Fixed_2[United Energy],Calc_Fixed_2[[Customer type]:[Customer type]],Calc_Rates!$F283)+
SUMIFS(Calc_Fixed_2[United Energy],Calc_Fixed_2[[Customer type]:[Customer type]],"All"))*(1+Calc_ROM_2[United Energy]))*(1+GST))/DiY,8),0,1)</f>
        <v>0</v>
      </c>
    </row>
    <row r="285" spans="2:16" ht="15.5" outlineLevel="1">
      <c r="B285"/>
      <c r="C285" s="74" t="s">
        <v>71</v>
      </c>
    </row>
    <row r="286" spans="2:16" outlineLevel="1">
      <c r="B286"/>
      <c r="C286" s="20" t="s">
        <v>96</v>
      </c>
      <c r="D286" s="20" t="s">
        <v>7</v>
      </c>
      <c r="E286" s="20" t="s">
        <v>64</v>
      </c>
      <c r="F286" s="20" t="s">
        <v>65</v>
      </c>
      <c r="G286" s="55">
        <f>SUMIFS(Calc_NetworkF_2[Ausnet],Calc_NetworkF_2[[Cost item]:[Cost item]],$C285,Calc_NetworkF_2[[Customer type]:[Customer type]],$F286)</f>
        <v>125.072</v>
      </c>
      <c r="H286" s="55">
        <f>SUMIFS(Calc_NetworkF_2[Citipower],Calc_NetworkF_2[[Cost item]:[Cost item]],$C285,Calc_NetworkF_2[[Customer type]:[Customer type]],$F286)</f>
        <v>90.009</v>
      </c>
      <c r="I286" s="55">
        <f>SUMIFS(Calc_NetworkF_2[Jemena],Calc_NetworkF_2[[Cost item]:[Cost item]],$C285,Calc_NetworkF_2[[Customer type]:[Customer type]],$F286)</f>
        <v>89.69</v>
      </c>
      <c r="J286" s="55">
        <f>SUMIFS(Calc_NetworkF_2[Powercor],Calc_NetworkF_2[[Cost item]:[Cost item]],$C285,Calc_NetworkF_2[[Customer type]:[Customer type]],$F286)</f>
        <v>139.97749999999999</v>
      </c>
      <c r="K286" s="55">
        <f>SUMIFS(Calc_NetworkF_2[United Energy],Calc_NetworkF_2[[Cost item]:[Cost item]],$C285,Calc_NetworkF_2[[Customer type]:[Customer type]],$F286)</f>
        <v>85.008499999999998</v>
      </c>
    </row>
    <row r="287" spans="2:16" outlineLevel="1">
      <c r="B287"/>
      <c r="C287" s="20" t="s">
        <v>87</v>
      </c>
      <c r="D287" s="20" t="s">
        <v>7</v>
      </c>
      <c r="E287" s="20" t="s">
        <v>64</v>
      </c>
      <c r="F287" s="20" t="s">
        <v>65</v>
      </c>
      <c r="G287" s="66">
        <f>IF(G286=0,"-",SUMIFS(Calc_Fixed_2[Ausnet],Calc_Fixed_2[[Customer type]:[Customer type]],"All")+SUMIFS(Calc_Fixed_2[Ausnet],Calc_Fixed_2[[Customer type]:[Customer type]],$F287))</f>
        <v>281.5415725074887</v>
      </c>
      <c r="H287" s="66">
        <f>IF(H286=0,"-",SUMIFS(Calc_Fixed_2[Citipower],Calc_Fixed_2[[Customer type]:[Customer type]],"All")+SUMIFS(Calc_Fixed_2[Citipower],Calc_Fixed_2[[Customer type]:[Customer type]],$F288))</f>
        <v>273.69695001084892</v>
      </c>
      <c r="I287" s="66">
        <f>IF(I286=0,"-",SUMIFS(Calc_Fixed_2[Jemena],Calc_Fixed_2[[Customer type]:[Customer type]],"All")+SUMIFS(Calc_Fixed_2[Jemena],Calc_Fixed_2[[Customer type]:[Customer type]],$F288))</f>
        <v>272.56289326761856</v>
      </c>
      <c r="J287" s="66">
        <f>IF(J286=0,"-",SUMIFS(Calc_Fixed_2[Powercor],Calc_Fixed_2[[Customer type]:[Customer type]],"All")+SUMIFS(Calc_Fixed_2[Powercor],Calc_Fixed_2[[Customer type]:[Customer type]],$F288))</f>
        <v>270.0045122394738</v>
      </c>
      <c r="K287" s="66">
        <f>IF(K286=0,"-",SUMIFS(Calc_Fixed_2[United Energy],Calc_Fixed_2[[Customer type]:[Customer type]],"All")+SUMIFS(Calc_Fixed_2[United Energy],Calc_Fixed_2[[Customer type]:[Customer type]],$F288))</f>
        <v>251.45814167562978</v>
      </c>
    </row>
    <row r="288" spans="2:16" outlineLevel="1">
      <c r="B288"/>
      <c r="C288" s="20" t="s">
        <v>97</v>
      </c>
      <c r="D288" s="20" t="s">
        <v>7</v>
      </c>
      <c r="E288" s="20" t="s">
        <v>64</v>
      </c>
      <c r="F288" s="20" t="s">
        <v>65</v>
      </c>
      <c r="G288" s="66" cm="1">
        <f t="array" ref="G288">IF(G286=0,"-",(G286+G287)*Calc_ROM_2[Ausnet])</f>
        <v>24.559459779452318</v>
      </c>
      <c r="H288" s="66" cm="1">
        <f t="array" ref="H288">IF(H286=0,"-",(H286+H287)*Calc_ROM_2[Citipower])</f>
        <v>21.967839380655278</v>
      </c>
      <c r="I288" s="66" cm="1">
        <f t="array" ref="I288">IF(I286=0,"-",(I286+I287)*Calc_ROM_2[Jemena])</f>
        <v>21.880074753364163</v>
      </c>
      <c r="J288" s="66" cm="1">
        <f t="array" ref="J288">IF(J286=0,"-",(J286+J287)*Calc_ROM_2[Powercor])</f>
        <v>24.762913539264215</v>
      </c>
      <c r="K288" s="66" cm="1">
        <f t="array" ref="K288">IF(K286=0,"-",(K286+K287)*Calc_ROM_2[United Energy])</f>
        <v>20.322585157208039</v>
      </c>
    </row>
    <row r="289" spans="2:11" outlineLevel="1">
      <c r="B289"/>
      <c r="C289" s="20" t="s">
        <v>98</v>
      </c>
      <c r="D289" s="20" t="s">
        <v>7</v>
      </c>
      <c r="E289" s="20" t="s">
        <v>64</v>
      </c>
      <c r="F289" s="20" t="s">
        <v>65</v>
      </c>
      <c r="G289" s="66">
        <f>IF(G286=0,"-",(G286+G287+G288)*GST)</f>
        <v>43.117303228694105</v>
      </c>
      <c r="H289" s="66">
        <f>IF(H286=0,"-",(H286+H287+H288)*GST)</f>
        <v>38.567378939150423</v>
      </c>
      <c r="I289" s="66">
        <f>IF(I286=0,"-",(I286+I287+I288)*GST)</f>
        <v>38.413296802098273</v>
      </c>
      <c r="J289" s="66">
        <f>IF(J286=0,"-",(J286+J287+J288)*GST)</f>
        <v>43.474492577873804</v>
      </c>
      <c r="K289" s="66">
        <f>IF(K286=0,"-",(K286+K287+K288)*GST)</f>
        <v>35.67892268328378</v>
      </c>
    </row>
    <row r="290" spans="2:11" outlineLevel="1">
      <c r="B290"/>
      <c r="C290" s="20" t="s">
        <v>99</v>
      </c>
      <c r="D290" s="20" t="s">
        <v>7</v>
      </c>
      <c r="E290" s="20" t="s">
        <v>64</v>
      </c>
      <c r="F290" s="20" t="s">
        <v>65</v>
      </c>
      <c r="G290" s="66">
        <f>IF(G286=0,"-",G286+G287+G288+G289)</f>
        <v>474.29033551563509</v>
      </c>
      <c r="H290" s="66">
        <f t="shared" ref="H290" si="50">IF(H286=0,"-",H286+H287+H288+H289)</f>
        <v>424.24116833065466</v>
      </c>
      <c r="I290" s="66">
        <f t="shared" ref="I290" si="51">IF(I286=0,"-",I286+I287+I288+I289)</f>
        <v>422.546264823081</v>
      </c>
      <c r="J290" s="66">
        <f t="shared" ref="J290" si="52">IF(J286=0,"-",J286+J287+J288+J289)</f>
        <v>478.21941835661175</v>
      </c>
      <c r="K290" s="66">
        <f t="shared" ref="K290" si="53">IF(K286=0,"-",K286+K287+K288+K289)</f>
        <v>392.46814951612157</v>
      </c>
    </row>
    <row r="291" spans="2:11" outlineLevel="1">
      <c r="B291"/>
      <c r="C291" s="20" t="str">
        <f>C285</f>
        <v>TOU - supply</v>
      </c>
      <c r="D291" s="20" t="s">
        <v>7</v>
      </c>
      <c r="E291" s="20" t="s">
        <v>64</v>
      </c>
      <c r="F291" s="20" t="s">
        <v>65</v>
      </c>
      <c r="G291" s="67">
        <f>IF(G286=0,"-",G290/DiY)</f>
        <v>1.2994255767551646</v>
      </c>
      <c r="H291" s="67">
        <f>IF(H286=0,"-",H290/DiY)</f>
        <v>1.1623045707689168</v>
      </c>
      <c r="I291" s="67">
        <f>IF(I286=0,"-",I290/DiY)</f>
        <v>1.1576609995152904</v>
      </c>
      <c r="J291" s="67">
        <f>IF(J286=0,"-",J290/DiY)</f>
        <v>1.3101901872783883</v>
      </c>
      <c r="K291" s="67">
        <f>IF(K286=0,"-",K290/DiY)</f>
        <v>1.0752552041537577</v>
      </c>
    </row>
    <row r="292" spans="2:11" outlineLevel="1">
      <c r="B292"/>
      <c r="G292" s="94" cm="1">
        <f t="array" ref="G292">IF(ROUND(G291,8)=ROUND((((
SUMIFS(Calc_NetworkF_2[Ausnet],Calc_NetworkF_2[Cost item],$C285,Calc_NetworkF_2[Customer type],$F286)+
SUMIFS(Calc_Fixed_2[Ausnet],Calc_Fixed_2[Customer type],Calc_Rates!$F291)+
SUMIFS(Calc_Fixed_2[Ausnet],Calc_Fixed_2[Customer type],"All"))*(1+Calc_ROM_2[Ausnet]))*(1+GST))/DiY,8),0,1)</f>
        <v>0</v>
      </c>
      <c r="H292" s="94" cm="1">
        <f t="array" ref="H292">IF(ROUND(H291,8)=ROUND((((
SUMIFS(Calc_NetworkF_2[Citipower],Calc_NetworkF_2[Cost item],$C285,Calc_NetworkF_2[Customer type],$F286)+
SUMIFS(Calc_Fixed_2[Citipower],Calc_Fixed_2[Customer type],Calc_Rates!$F291)+
SUMIFS(Calc_Fixed_2[Citipower],Calc_Fixed_2[Customer type],"All"))*(1+Calc_ROM_2[Citipower]))*(1+GST))/DiY,8),0,1)</f>
        <v>0</v>
      </c>
      <c r="I292" s="94" cm="1">
        <f t="array" ref="I292">IF(ROUND(I291,8)=ROUND((((
SUMIFS(Calc_NetworkF_2[Jemena],Calc_NetworkF_2[Cost item],$C285,Calc_NetworkF_2[Customer type],$F286)+
SUMIFS(Calc_Fixed_2[Jemena],Calc_Fixed_2[Customer type],Calc_Rates!$F291)+
SUMIFS(Calc_Fixed_2[Jemena],Calc_Fixed_2[Customer type],"All"))*(1+Calc_ROM_2[Jemena]))*(1+GST))/DiY,8),0,1)</f>
        <v>0</v>
      </c>
      <c r="J292" s="94" cm="1">
        <f t="array" ref="J292">IF(ROUND(J291,8)=ROUND((((
SUMIFS(Calc_NetworkF_2[Powercor],Calc_NetworkF_2[[Cost item]:[Cost item]],$C285,Calc_NetworkF_2[[Customer type]:[Customer type]],$F286)+
SUMIFS(Calc_Fixed_2[Powercor],Calc_Fixed_2[[Customer type]:[Customer type]],Calc_Rates!$F291)+
SUMIFS(Calc_Fixed_2[Powercor],Calc_Fixed_2[[Customer type]:[Customer type]],"All"))*(1+Calc_ROM_2[Powercor]))*(1+GST))/DiY,8),0,1)</f>
        <v>0</v>
      </c>
      <c r="K292" s="94" cm="1">
        <f t="array" ref="K292">IF(ROUND(K291,8)=ROUND((((
SUMIFS(Calc_NetworkF_2[United Energy],Calc_NetworkF_2[[Cost item]:[Cost item]],$C285,Calc_NetworkF_2[[Customer type]:[Customer type]],$F286)+
SUMIFS(Calc_Fixed_2[United Energy],Calc_Fixed_2[[Customer type]:[Customer type]],Calc_Rates!$F291)+
SUMIFS(Calc_Fixed_2[United Energy],Calc_Fixed_2[[Customer type]:[Customer type]],"All"))*(1+Calc_ROM_2[United Energy]))*(1+GST))/DiY,8),0,1)</f>
        <v>0</v>
      </c>
    </row>
    <row r="293" spans="2:11" ht="15.5">
      <c r="B293"/>
      <c r="C293" s="26" t="s">
        <v>100</v>
      </c>
    </row>
    <row r="294" spans="2:11" ht="15.5" outlineLevel="1">
      <c r="B294"/>
      <c r="C294" s="74" t="s">
        <v>63</v>
      </c>
    </row>
    <row r="295" spans="2:11" outlineLevel="1">
      <c r="B295"/>
      <c r="C295" s="20" t="s">
        <v>96</v>
      </c>
      <c r="D295" s="20" t="s">
        <v>7</v>
      </c>
      <c r="E295" s="20" t="s">
        <v>64</v>
      </c>
      <c r="F295" s="20" t="s">
        <v>66</v>
      </c>
      <c r="G295" s="55">
        <f>SUMIFS(Calc_NetworkF_2[Ausnet],Calc_NetworkF_2[[Cost item]:[Cost item]],$C294,Calc_NetworkF_2[[Customer type]:[Customer type]],$F295)</f>
        <v>125.072</v>
      </c>
      <c r="H295" s="55">
        <f>SUMIFS(Calc_NetworkF_2[Citipower],Calc_NetworkF_2[[Cost item]:[Cost item]],$C294,Calc_NetworkF_2[[Customer type]:[Customer type]],$F295)</f>
        <v>160.01599999999999</v>
      </c>
      <c r="I295" s="55">
        <f>SUMIFS(Calc_NetworkF_2[Jemena],Calc_NetworkF_2[[Cost item]:[Cost item]],$C294,Calc_NetworkF_2[[Customer type]:[Customer type]],$F295)</f>
        <v>136.95400000000001</v>
      </c>
      <c r="J295" s="55">
        <f>SUMIFS(Calc_NetworkF_2[Powercor],Calc_NetworkF_2[[Cost item]:[Cost item]],$C294,Calc_NetworkF_2[[Customer type]:[Customer type]],$F295)</f>
        <v>179.98150000000001</v>
      </c>
      <c r="K295" s="55">
        <f>SUMIFS(Calc_NetworkF_2[United Energy],Calc_NetworkF_2[[Cost item]:[Cost item]],$C294,Calc_NetworkF_2[[Customer type]:[Customer type]],$F295)</f>
        <v>130.01300000000001</v>
      </c>
    </row>
    <row r="296" spans="2:11" outlineLevel="1">
      <c r="B296"/>
      <c r="C296" s="20" t="s">
        <v>87</v>
      </c>
      <c r="D296" s="20" t="s">
        <v>7</v>
      </c>
      <c r="E296" s="20" t="s">
        <v>64</v>
      </c>
      <c r="F296" s="20" t="s">
        <v>66</v>
      </c>
      <c r="G296" s="66">
        <f>IF(G295=0,"-",SUMIFS(Calc_Fixed_2[Ausnet],Calc_Fixed_2[[Customer type]:[Customer type]],"All")+SUMIFS(Calc_Fixed_2[Ausnet],Calc_Fixed_2[[Customer type]:[Customer type]],$F296))</f>
        <v>281.5415725074887</v>
      </c>
      <c r="H296" s="66">
        <f>IF(H295=0,"-",SUMIFS(Calc_Fixed_2[Citipower],Calc_Fixed_2[[Customer type]:[Customer type]],"All")+SUMIFS(Calc_Fixed_2[Citipower],Calc_Fixed_2[[Customer type]:[Customer type]],$F297))</f>
        <v>273.69695001084892</v>
      </c>
      <c r="I296" s="66">
        <f>IF(I295=0,"-",SUMIFS(Calc_Fixed_2[Jemena],Calc_Fixed_2[[Customer type]:[Customer type]],"All")+SUMIFS(Calc_Fixed_2[Jemena],Calc_Fixed_2[[Customer type]:[Customer type]],$F297))</f>
        <v>272.56289326761856</v>
      </c>
      <c r="J296" s="66">
        <f>IF(J295=0,"-",SUMIFS(Calc_Fixed_2[Powercor],Calc_Fixed_2[[Customer type]:[Customer type]],"All")+SUMIFS(Calc_Fixed_2[Powercor],Calc_Fixed_2[[Customer type]:[Customer type]],$F297))</f>
        <v>270.0045122394738</v>
      </c>
      <c r="K296" s="66">
        <f>IF(K295=0,"-",SUMIFS(Calc_Fixed_2[United Energy],Calc_Fixed_2[[Customer type]:[Customer type]],"All")+SUMIFS(Calc_Fixed_2[United Energy],Calc_Fixed_2[[Customer type]:[Customer type]],$F297))</f>
        <v>251.45814167562978</v>
      </c>
    </row>
    <row r="297" spans="2:11" outlineLevel="1">
      <c r="B297"/>
      <c r="C297" s="20" t="s">
        <v>97</v>
      </c>
      <c r="D297" s="20" t="s">
        <v>7</v>
      </c>
      <c r="E297" s="20" t="s">
        <v>64</v>
      </c>
      <c r="F297" s="20" t="s">
        <v>66</v>
      </c>
      <c r="G297" s="66" cm="1">
        <f t="array" ref="G297">IF(G295=0,"-",(G295+G296)*Calc_ROM_2[Ausnet])</f>
        <v>24.559459779452318</v>
      </c>
      <c r="H297" s="66" cm="1">
        <f t="array" ref="H297">IF(H295=0,"-",(H295+H296)*Calc_ROM_2[Citipower])</f>
        <v>26.196262180655275</v>
      </c>
      <c r="I297" s="66" cm="1">
        <f t="array" ref="I297">IF(I295=0,"-",(I295+I296)*Calc_ROM_2[Jemena])</f>
        <v>24.734820353364164</v>
      </c>
      <c r="J297" s="66" cm="1">
        <f t="array" ref="J297">IF(J295=0,"-",(J295+J296)*Calc_ROM_2[Powercor])</f>
        <v>27.179155139264218</v>
      </c>
      <c r="K297" s="66" cm="1">
        <f t="array" ref="K297">IF(K295=0,"-",(K295+K296)*Calc_ROM_2[United Energy])</f>
        <v>23.040856957208039</v>
      </c>
    </row>
    <row r="298" spans="2:11" outlineLevel="1">
      <c r="B298"/>
      <c r="C298" s="20" t="s">
        <v>98</v>
      </c>
      <c r="D298" s="20" t="s">
        <v>7</v>
      </c>
      <c r="E298" s="20" t="s">
        <v>64</v>
      </c>
      <c r="F298" s="20" t="s">
        <v>66</v>
      </c>
      <c r="G298" s="66">
        <f>IF(G295=0,"-",(G295+G296+G297)*GST)</f>
        <v>43.117303228694105</v>
      </c>
      <c r="H298" s="66">
        <f>IF(H295=0,"-",(H295+H296+H297)*GST)</f>
        <v>45.990921219150415</v>
      </c>
      <c r="I298" s="66">
        <f>IF(I295=0,"-",(I295+I296+I297)*GST)</f>
        <v>43.425171362098276</v>
      </c>
      <c r="J298" s="66">
        <f>IF(J295=0,"-",(J295+J296+J297)*GST)</f>
        <v>47.716516737873803</v>
      </c>
      <c r="K298" s="66">
        <f>IF(K295=0,"-",(K295+K296+K297)*GST)</f>
        <v>40.45119986328379</v>
      </c>
    </row>
    <row r="299" spans="2:11" outlineLevel="1">
      <c r="B299"/>
      <c r="C299" s="20" t="s">
        <v>99</v>
      </c>
      <c r="D299" s="20" t="s">
        <v>7</v>
      </c>
      <c r="E299" s="20" t="s">
        <v>64</v>
      </c>
      <c r="F299" s="20" t="s">
        <v>66</v>
      </c>
      <c r="G299" s="66">
        <f>IF(G295=0,"-",G295+G296+G297+G298)</f>
        <v>474.29033551563509</v>
      </c>
      <c r="H299" s="66">
        <f t="shared" ref="H299" si="54">IF(H295=0,"-",H295+H296+H297+H298)</f>
        <v>505.90013341065458</v>
      </c>
      <c r="I299" s="66">
        <f t="shared" ref="I299" si="55">IF(I295=0,"-",I295+I296+I297+I298)</f>
        <v>477.67688498308104</v>
      </c>
      <c r="J299" s="66">
        <f t="shared" ref="J299" si="56">IF(J295=0,"-",J295+J296+J297+J298)</f>
        <v>524.88168411661172</v>
      </c>
      <c r="K299" s="66">
        <f t="shared" ref="K299" si="57">IF(K295=0,"-",K295+K296+K297+K298)</f>
        <v>444.96319849612166</v>
      </c>
    </row>
    <row r="300" spans="2:11" outlineLevel="1">
      <c r="B300"/>
      <c r="C300" s="20" t="str">
        <f>C294</f>
        <v>Anytime - supply</v>
      </c>
      <c r="D300" s="20" t="s">
        <v>7</v>
      </c>
      <c r="E300" s="20" t="s">
        <v>64</v>
      </c>
      <c r="F300" s="20" t="s">
        <v>66</v>
      </c>
      <c r="G300" s="67">
        <f>IF(G295=0,"-",G299/DiY)</f>
        <v>1.2994255767551646</v>
      </c>
      <c r="H300" s="67">
        <f>IF(H295=0,"-",H299/DiY)</f>
        <v>1.3860277627689166</v>
      </c>
      <c r="I300" s="67">
        <f>IF(I295=0,"-",I299/DiY)</f>
        <v>1.3087037944741946</v>
      </c>
      <c r="J300" s="67">
        <f>IF(J295=0,"-",J299/DiY)</f>
        <v>1.4380320112783882</v>
      </c>
      <c r="K300" s="67">
        <f>IF(K295=0,"-",K299/DiY)</f>
        <v>1.2190772561537579</v>
      </c>
    </row>
    <row r="301" spans="2:11" outlineLevel="1">
      <c r="B301"/>
      <c r="G301" s="94" cm="1">
        <f t="array" ref="G301">IF(ROUND(G300,8)=ROUND((((
SUMIFS(Calc_NetworkF_2[Ausnet],Calc_NetworkF_2[Cost item],$C294,Calc_NetworkF_2[Customer type],$F295)+
SUMIFS(Calc_Fixed_2[Ausnet],Calc_Fixed_2[Customer type],Calc_Rates!$F300)+
SUMIFS(Calc_Fixed_2[Ausnet],Calc_Fixed_2[Customer type],"All"))*(1+Calc_ROM_2[Ausnet]))*(1+GST))/DiY,8),0,1)</f>
        <v>0</v>
      </c>
      <c r="H301" s="94" cm="1">
        <f t="array" ref="H301">IF(ROUND(H300,8)=ROUND((((
SUMIFS(Calc_NetworkF_2[Citipower],Calc_NetworkF_2[Cost item],$C294,Calc_NetworkF_2[Customer type],$F295)+
SUMIFS(Calc_Fixed_2[Citipower],Calc_Fixed_2[Customer type],Calc_Rates!$F300)+
SUMIFS(Calc_Fixed_2[Citipower],Calc_Fixed_2[Customer type],"All"))*(1+Calc_ROM_2[Citipower]))*(1+GST))/DiY,8),0,1)</f>
        <v>0</v>
      </c>
      <c r="I301" s="94" cm="1">
        <f t="array" ref="I301">IF(ROUND(I300,8)=ROUND((((
SUMIFS(Calc_NetworkF_2[Jemena],Calc_NetworkF_2[Cost item],$C294,Calc_NetworkF_2[Customer type],$F295)+
SUMIFS(Calc_Fixed_2[Jemena],Calc_Fixed_2[Customer type],Calc_Rates!$F300)+
SUMIFS(Calc_Fixed_2[Jemena],Calc_Fixed_2[Customer type],"All"))*(1+Calc_ROM_2[Jemena]))*(1+GST))/DiY,8),0,1)</f>
        <v>0</v>
      </c>
      <c r="J301" s="94" cm="1">
        <f t="array" ref="J301">IF(ROUND(J300,8)=ROUND((((
SUMIFS(Calc_NetworkF_2[Powercor],Calc_NetworkF_2[[Cost item]:[Cost item]],$C294,Calc_NetworkF_2[[Customer type]:[Customer type]],$F295)+
SUMIFS(Calc_Fixed_2[Powercor],Calc_Fixed_2[[Customer type]:[Customer type]],Calc_Rates!$F300)+
SUMIFS(Calc_Fixed_2[Powercor],Calc_Fixed_2[[Customer type]:[Customer type]],"All"))*(1+Calc_ROM_2[Powercor]))*(1+GST))/DiY,8),0,1)</f>
        <v>0</v>
      </c>
      <c r="K301" s="94" cm="1">
        <f t="array" ref="K301">IF(ROUND(K300,8)=ROUND((((
SUMIFS(Calc_NetworkF_2[United Energy],Calc_NetworkF_2[[Cost item]:[Cost item]],$C294,Calc_NetworkF_2[[Customer type]:[Customer type]],$F295)+
SUMIFS(Calc_Fixed_2[United Energy],Calc_Fixed_2[[Customer type]:[Customer type]],Calc_Rates!$F300)+
SUMIFS(Calc_Fixed_2[United Energy],Calc_Fixed_2[[Customer type]:[Customer type]],"All"))*(1+Calc_ROM_2[United Energy]))*(1+GST))/DiY,8),0,1)</f>
        <v>0</v>
      </c>
    </row>
    <row r="302" spans="2:11" ht="15.5" outlineLevel="1">
      <c r="B302"/>
      <c r="C302" s="74" t="s">
        <v>71</v>
      </c>
    </row>
    <row r="303" spans="2:11" outlineLevel="1">
      <c r="B303"/>
      <c r="C303" s="20" t="s">
        <v>96</v>
      </c>
      <c r="D303" s="20" t="s">
        <v>7</v>
      </c>
      <c r="E303" s="20" t="s">
        <v>64</v>
      </c>
      <c r="F303" s="20" t="s">
        <v>66</v>
      </c>
      <c r="G303" s="55">
        <f>SUMIFS(Calc_NetworkF_2[Ausnet],Calc_NetworkF_2[[Cost item]:[Cost item]],$C302,Calc_NetworkF_2[[Customer type]:[Customer type]],$F303)</f>
        <v>125.072</v>
      </c>
      <c r="H303" s="55">
        <f>SUMIFS(Calc_NetworkF_2[Citipower],Calc_NetworkF_2[[Cost item]:[Cost item]],$C302,Calc_NetworkF_2[[Customer type]:[Customer type]],$F303)</f>
        <v>160.01599999999999</v>
      </c>
      <c r="I303" s="55">
        <f>SUMIFS(Calc_NetworkF_2[Jemena],Calc_NetworkF_2[[Cost item]:[Cost item]],$C302,Calc_NetworkF_2[[Customer type]:[Customer type]],$F303)</f>
        <v>244.18</v>
      </c>
      <c r="J303" s="55">
        <f>SUMIFS(Calc_NetworkF_2[Powercor],Calc_NetworkF_2[[Cost item]:[Cost item]],$C302,Calc_NetworkF_2[[Customer type]:[Customer type]],$F303)</f>
        <v>179.98150000000001</v>
      </c>
      <c r="K303" s="55">
        <f>SUMIFS(Calc_NetworkF_2[United Energy],Calc_NetworkF_2[[Cost item]:[Cost item]],$C302,Calc_NetworkF_2[[Customer type]:[Customer type]],$F303)</f>
        <v>130.01300000000001</v>
      </c>
    </row>
    <row r="304" spans="2:11" outlineLevel="1">
      <c r="B304"/>
      <c r="C304" s="20" t="s">
        <v>87</v>
      </c>
      <c r="D304" s="20" t="s">
        <v>7</v>
      </c>
      <c r="E304" s="20" t="s">
        <v>64</v>
      </c>
      <c r="F304" s="20" t="s">
        <v>66</v>
      </c>
      <c r="G304" s="66">
        <f>IF(G303=0,"-",SUMIFS(Calc_Fixed_2[Ausnet],Calc_Fixed_2[[Customer type]:[Customer type]],"All")+SUMIFS(Calc_Fixed_2[Ausnet],Calc_Fixed_2[[Customer type]:[Customer type]],$F304))</f>
        <v>281.5415725074887</v>
      </c>
      <c r="H304" s="66">
        <f>IF(H303=0,"-",SUMIFS(Calc_Fixed_2[Citipower],Calc_Fixed_2[[Customer type]:[Customer type]],"All")+SUMIFS(Calc_Fixed_2[Citipower],Calc_Fixed_2[[Customer type]:[Customer type]],$F305))</f>
        <v>273.69695001084892</v>
      </c>
      <c r="I304" s="66">
        <f>IF(I303=0,"-",SUMIFS(Calc_Fixed_2[Jemena],Calc_Fixed_2[[Customer type]:[Customer type]],"All")+SUMIFS(Calc_Fixed_2[Jemena],Calc_Fixed_2[[Customer type]:[Customer type]],$F305))</f>
        <v>272.56289326761856</v>
      </c>
      <c r="J304" s="66">
        <f>IF(J303=0,"-",SUMIFS(Calc_Fixed_2[Powercor],Calc_Fixed_2[[Customer type]:[Customer type]],"All")+SUMIFS(Calc_Fixed_2[Powercor],Calc_Fixed_2[[Customer type]:[Customer type]],$F305))</f>
        <v>270.0045122394738</v>
      </c>
      <c r="K304" s="66">
        <f>IF(K303=0,"-",SUMIFS(Calc_Fixed_2[United Energy],Calc_Fixed_2[[Customer type]:[Customer type]],"All")+SUMIFS(Calc_Fixed_2[United Energy],Calc_Fixed_2[[Customer type]:[Customer type]],$F305))</f>
        <v>251.45814167562978</v>
      </c>
    </row>
    <row r="305" spans="2:14" outlineLevel="1">
      <c r="B305"/>
      <c r="C305" s="20" t="s">
        <v>97</v>
      </c>
      <c r="D305" s="20" t="s">
        <v>7</v>
      </c>
      <c r="E305" s="20" t="s">
        <v>64</v>
      </c>
      <c r="F305" s="20" t="s">
        <v>66</v>
      </c>
      <c r="G305" s="66" cm="1">
        <f t="array" ref="G305">IF(G303=0,"-",(G303+G304)*Calc_ROM_2[Ausnet])</f>
        <v>24.559459779452318</v>
      </c>
      <c r="H305" s="66" cm="1">
        <f t="array" ref="H305">IF(H303=0,"-",(H303+H304)*Calc_ROM_2[Citipower])</f>
        <v>26.196262180655275</v>
      </c>
      <c r="I305" s="66" cm="1">
        <f t="array" ref="I305">IF(I303=0,"-",(I303+I304)*Calc_ROM_2[Jemena])</f>
        <v>31.211270753364161</v>
      </c>
      <c r="J305" s="66" cm="1">
        <f t="array" ref="J305">IF(J303=0,"-",(J303+J304)*Calc_ROM_2[Powercor])</f>
        <v>27.179155139264218</v>
      </c>
      <c r="K305" s="66" cm="1">
        <f t="array" ref="K305">IF(K303=0,"-",(K303+K304)*Calc_ROM_2[United Energy])</f>
        <v>23.040856957208039</v>
      </c>
    </row>
    <row r="306" spans="2:14" outlineLevel="1">
      <c r="B306"/>
      <c r="C306" s="20" t="s">
        <v>98</v>
      </c>
      <c r="D306" s="20" t="s">
        <v>7</v>
      </c>
      <c r="E306" s="20" t="s">
        <v>64</v>
      </c>
      <c r="F306" s="20" t="s">
        <v>66</v>
      </c>
      <c r="G306" s="66">
        <f>IF(G303=0,"-",(G303+G304+G305)*GST)</f>
        <v>43.117303228694105</v>
      </c>
      <c r="H306" s="66">
        <f>IF(H303=0,"-",(H303+H304+H305)*GST)</f>
        <v>45.990921219150415</v>
      </c>
      <c r="I306" s="66">
        <f>IF(I303=0,"-",(I303+I304+I305)*GST)</f>
        <v>54.795416402098276</v>
      </c>
      <c r="J306" s="66">
        <f>IF(J303=0,"-",(J303+J304+J305)*GST)</f>
        <v>47.716516737873803</v>
      </c>
      <c r="K306" s="66">
        <f>IF(K303=0,"-",(K303+K304+K305)*GST)</f>
        <v>40.45119986328379</v>
      </c>
    </row>
    <row r="307" spans="2:14" outlineLevel="1">
      <c r="B307"/>
      <c r="C307" s="20" t="s">
        <v>99</v>
      </c>
      <c r="D307" s="20" t="s">
        <v>7</v>
      </c>
      <c r="E307" s="20" t="s">
        <v>64</v>
      </c>
      <c r="F307" s="20" t="s">
        <v>66</v>
      </c>
      <c r="G307" s="66">
        <f>IF(G303=0,"-",G303+G304+G305+G306)</f>
        <v>474.29033551563509</v>
      </c>
      <c r="H307" s="66">
        <f t="shared" ref="H307" si="58">IF(H303=0,"-",H303+H304+H305+H306)</f>
        <v>505.90013341065458</v>
      </c>
      <c r="I307" s="66">
        <f t="shared" ref="I307" si="59">IF(I303=0,"-",I303+I304+I305+I306)</f>
        <v>602.74958042308094</v>
      </c>
      <c r="J307" s="66">
        <f t="shared" ref="J307" si="60">IF(J303=0,"-",J303+J304+J305+J306)</f>
        <v>524.88168411661172</v>
      </c>
      <c r="K307" s="66">
        <f t="shared" ref="K307" si="61">IF(K303=0,"-",K303+K304+K305+K306)</f>
        <v>444.96319849612166</v>
      </c>
    </row>
    <row r="308" spans="2:14" outlineLevel="1">
      <c r="B308"/>
      <c r="C308" s="20" t="str">
        <f>C302</f>
        <v>TOU - supply</v>
      </c>
      <c r="D308" s="20" t="s">
        <v>7</v>
      </c>
      <c r="E308" s="20" t="s">
        <v>64</v>
      </c>
      <c r="F308" s="20" t="s">
        <v>66</v>
      </c>
      <c r="G308" s="67">
        <f>IF(G303=0,"-",G307/DiY)</f>
        <v>1.2994255767551646</v>
      </c>
      <c r="H308" s="67">
        <f>IF(H303=0,"-",H307/DiY)</f>
        <v>1.3860277627689166</v>
      </c>
      <c r="I308" s="67">
        <f>IF(I303=0,"-",I307/DiY)</f>
        <v>1.6513687134878929</v>
      </c>
      <c r="J308" s="67">
        <f>IF(J303=0,"-",J307/DiY)</f>
        <v>1.4380320112783882</v>
      </c>
      <c r="K308" s="67">
        <f>IF(K303=0,"-",K307/DiY)</f>
        <v>1.2190772561537579</v>
      </c>
    </row>
    <row r="309" spans="2:14" outlineLevel="1">
      <c r="B309"/>
      <c r="G309" s="94" cm="1">
        <f t="array" ref="G309">IF(ROUND(G308,8)=ROUND((((
SUMIFS(Calc_NetworkF_2[Ausnet],Calc_NetworkF_2[Cost item],$C302,Calc_NetworkF_2[Customer type],$F303)+
SUMIFS(Calc_Fixed_2[Ausnet],Calc_Fixed_2[Customer type],Calc_Rates!$F308)+
SUMIFS(Calc_Fixed_2[Ausnet],Calc_Fixed_2[Customer type],"All"))*(1+Calc_ROM_2[Ausnet]))*(1+GST))/DiY,8),0,1)</f>
        <v>0</v>
      </c>
      <c r="H309" s="94" cm="1">
        <f t="array" ref="H309">IF(ROUND(H308,8)=ROUND((((
SUMIFS(Calc_NetworkF_2[Citipower],Calc_NetworkF_2[Cost item],$C302,Calc_NetworkF_2[Customer type],$F303)+
SUMIFS(Calc_Fixed_2[Citipower],Calc_Fixed_2[Customer type],Calc_Rates!$F308)+
SUMIFS(Calc_Fixed_2[Citipower],Calc_Fixed_2[Customer type],"All"))*(1+Calc_ROM_2[Citipower]))*(1+GST))/DiY,8),0,1)</f>
        <v>0</v>
      </c>
      <c r="I309" s="94" cm="1">
        <f t="array" ref="I309">IF(ROUND(I308,8)=ROUND((((
SUMIFS(Calc_NetworkF_2[Jemena],Calc_NetworkF_2[Cost item],$C302,Calc_NetworkF_2[Customer type],$F303)+
SUMIFS(Calc_Fixed_2[Jemena],Calc_Fixed_2[Customer type],Calc_Rates!$F308)+
SUMIFS(Calc_Fixed_2[Jemena],Calc_Fixed_2[Customer type],"All"))*(1+Calc_ROM_2[Jemena]))*(1+GST))/DiY,8),0,1)</f>
        <v>0</v>
      </c>
      <c r="J309" s="94" cm="1">
        <f t="array" ref="J309">IF(ROUND(J308,8)=ROUND((((
SUMIFS(Calc_NetworkF_2[Powercor],Calc_NetworkF_2[[Cost item]:[Cost item]],$C302,Calc_NetworkF_2[[Customer type]:[Customer type]],$F303)+
SUMIFS(Calc_Fixed_2[Powercor],Calc_Fixed_2[[Customer type]:[Customer type]],Calc_Rates!$F308)+
SUMIFS(Calc_Fixed_2[Powercor],Calc_Fixed_2[[Customer type]:[Customer type]],"All"))*(1+Calc_ROM_2[Powercor]))*(1+GST))/DiY,8),0,1)</f>
        <v>0</v>
      </c>
      <c r="K309" s="94" cm="1">
        <f t="array" ref="K309">IF(ROUND(K308,8)=ROUND((((
SUMIFS(Calc_NetworkF_2[United Energy],Calc_NetworkF_2[[Cost item]:[Cost item]],$C302,Calc_NetworkF_2[[Customer type]:[Customer type]],$F303)+
SUMIFS(Calc_Fixed_2[United Energy],Calc_Fixed_2[[Customer type]:[Customer type]],Calc_Rates!$F308)+
SUMIFS(Calc_Fixed_2[United Energy],Calc_Fixed_2[[Customer type]:[Customer type]],"All"))*(1+Calc_ROM_2[United Energy]))*(1+GST))/DiY,8),0,1)</f>
        <v>0</v>
      </c>
    </row>
    <row r="310" spans="2:14">
      <c r="B310"/>
    </row>
    <row r="311" spans="2:14" ht="15.5">
      <c r="B311"/>
      <c r="C311" s="39" t="s">
        <v>101</v>
      </c>
      <c r="D311" s="39" t="s">
        <v>88</v>
      </c>
      <c r="E311" s="39" t="s">
        <v>56</v>
      </c>
      <c r="F311" s="39" t="s">
        <v>57</v>
      </c>
      <c r="G311" s="54" t="s">
        <v>58</v>
      </c>
      <c r="H311" s="54" t="s">
        <v>59</v>
      </c>
      <c r="I311" s="54" t="s">
        <v>60</v>
      </c>
      <c r="J311" s="54" t="s">
        <v>61</v>
      </c>
      <c r="K311" s="54" t="s">
        <v>62</v>
      </c>
      <c r="N311" s="72"/>
    </row>
    <row r="312" spans="2:14">
      <c r="B312"/>
      <c r="C312" s="20" t="s">
        <v>102</v>
      </c>
      <c r="D312" s="20" t="s">
        <v>103</v>
      </c>
      <c r="E312" s="20" t="s">
        <v>68</v>
      </c>
      <c r="F312" s="20" t="s">
        <v>91</v>
      </c>
      <c r="G312" s="73">
        <f>SUMIFS(Calc_EnviroVEU_2[Ausnet],Calc_EnviroVEU_2[[Fixed/Variable]:[Fixed/Variable]],$D312,Calc_EnviroVEU_2[[Customer type]:[Customer type]],$F312,Calc_EnviroVEU_2[[Cost item]:[Cost item]],"VEU cost")+
SUMIFS(Calc_EnviroLRET_2[Ausnet],Calc_EnviroLRET_2[[Fixed/Variable]:[Fixed/Variable]],$D312,Calc_EnviroLRET_2[[Customer type]:[Customer type]],$F312,Calc_EnviroLRET_2[[Cost item]:[Cost item]],"LRET cost")+
SUMIFS(Calc_EnviroSRES_2[Ausnet],Calc_EnviroSRES_2[[Fixed/Variable]:[Fixed/Variable]],$D312,Calc_EnviroSRES_2[[Customer type]:[Customer type]],$F312,Calc_EnviroSRES_2[[Cost item]:[Cost item]],"SRES cost")</f>
        <v>2.8392779758481347E-2</v>
      </c>
      <c r="H312" s="73">
        <f>SUMIFS(Calc_EnviroVEU_2[Citipower],Calc_EnviroVEU_2[[Fixed/Variable]:[Fixed/Variable]],$D312,Calc_EnviroVEU_2[[Customer type]:[Customer type]],$F312,Calc_EnviroVEU_2[[Cost item]:[Cost item]],"VEU cost")+
SUMIFS(Calc_EnviroLRET_2[Citipower],Calc_EnviroLRET_2[[Fixed/Variable]:[Fixed/Variable]],$D312,Calc_EnviroLRET_2[[Customer type]:[Customer type]],$F312,Calc_EnviroLRET_2[[Cost item]:[Cost item]],"LRET cost")+
SUMIFS(Calc_EnviroSRES_2[Citipower],Calc_EnviroSRES_2[[Fixed/Variable]:[Fixed/Variable]],$D312,Calc_EnviroSRES_2[[Customer type]:[Customer type]],$F312,Calc_EnviroSRES_2[[Cost item]:[Cost item]],"SRES cost")</f>
        <v>2.8392779758481347E-2</v>
      </c>
      <c r="I312" s="73">
        <f>SUMIFS(Calc_EnviroVEU_2[Jemena],Calc_EnviroVEU_2[[Fixed/Variable]:[Fixed/Variable]],$D312,Calc_EnviroVEU_2[[Customer type]:[Customer type]],$F312,Calc_EnviroVEU_2[[Cost item]:[Cost item]],"VEU cost")+
SUMIFS(Calc_EnviroLRET_2[Jemena],Calc_EnviroLRET_2[[Fixed/Variable]:[Fixed/Variable]],$D312,Calc_EnviroLRET_2[[Customer type]:[Customer type]],$F312,Calc_EnviroLRET_2[[Cost item]:[Cost item]],"LRET cost")+
SUMIFS(Calc_EnviroSRES_2[Jemena],Calc_EnviroSRES_2[[Fixed/Variable]:[Fixed/Variable]],$D312,Calc_EnviroSRES_2[[Customer type]:[Customer type]],$F312,Calc_EnviroSRES_2[[Cost item]:[Cost item]],"SRES cost")</f>
        <v>2.8392779758481347E-2</v>
      </c>
      <c r="J312" s="73">
        <f>SUMIFS(Calc_EnviroVEU_2[Powercor],Calc_EnviroVEU_2[[Fixed/Variable]:[Fixed/Variable]],$D312,Calc_EnviroVEU_2[[Customer type]:[Customer type]],$F312,Calc_EnviroVEU_2[[Cost item]:[Cost item]],"VEU cost")+
SUMIFS(Calc_EnviroLRET_2[Powercor],Calc_EnviroLRET_2[[Fixed/Variable]:[Fixed/Variable]],$D312,Calc_EnviroLRET_2[[Customer type]:[Customer type]],$F312,Calc_EnviroLRET_2[[Cost item]:[Cost item]],"LRET cost")+
SUMIFS(Calc_EnviroSRES_2[Powercor],Calc_EnviroSRES_2[[Fixed/Variable]:[Fixed/Variable]],$D312,Calc_EnviroSRES_2[[Customer type]:[Customer type]],$F312,Calc_EnviroSRES_2[[Cost item]:[Cost item]],"SRES cost")</f>
        <v>2.8392779758481347E-2</v>
      </c>
      <c r="K312" s="73">
        <f>SUMIFS(Calc_EnviroVEU_2[United Energy],Calc_EnviroVEU_2[[Fixed/Variable]:[Fixed/Variable]],$D312,Calc_EnviroVEU_2[[Customer type]:[Customer type]],$F312,Calc_EnviroVEU_2[[Cost item]:[Cost item]],"VEU cost")+
SUMIFS(Calc_EnviroLRET_2[United Energy],Calc_EnviroLRET_2[[Fixed/Variable]:[Fixed/Variable]],$D312,Calc_EnviroLRET_2[[Customer type]:[Customer type]],$F312,Calc_EnviroLRET_2[[Cost item]:[Cost item]],"LRET cost")+
SUMIFS(Calc_EnviroSRES_2[United Energy],Calc_EnviroSRES_2[[Fixed/Variable]:[Fixed/Variable]],$D312,Calc_EnviroSRES_2[[Customer type]:[Customer type]],$F312,Calc_EnviroSRES_2[[Cost item]:[Cost item]],"SRES cost")</f>
        <v>2.8392779758481347E-2</v>
      </c>
    </row>
    <row r="313" spans="2:14">
      <c r="B313"/>
      <c r="C313" s="20" t="s">
        <v>92</v>
      </c>
      <c r="D313" s="20" t="s">
        <v>103</v>
      </c>
      <c r="E313" s="20" t="s">
        <v>68</v>
      </c>
      <c r="F313" s="20" t="s">
        <v>91</v>
      </c>
      <c r="G313" s="73">
        <f>SUMIFS(Calc_OtherCosts_2[Ausnet],Calc_OtherCosts_2[[Fixed/Variable]:[Fixed/Variable]],$D313,Calc_OtherCosts_2[[Customer type]:[Customer type]],$F313)</f>
        <v>1.3383290735317938E-3</v>
      </c>
      <c r="H313" s="73">
        <f>SUMIFS(Calc_OtherCosts_2[Citipower],Calc_OtherCosts_2[[Fixed/Variable]:[Fixed/Variable]],$D313,Calc_OtherCosts_2[[Customer type]:[Customer type]],$F313)</f>
        <v>1.3383290735317938E-3</v>
      </c>
      <c r="I313" s="73">
        <f>SUMIFS(Calc_OtherCosts_2[Jemena],Calc_OtherCosts_2[[Fixed/Variable]:[Fixed/Variable]],$D313,Calc_OtherCosts_2[[Customer type]:[Customer type]],$F313)</f>
        <v>1.3383290735317938E-3</v>
      </c>
      <c r="J313" s="73">
        <f>SUMIFS(Calc_OtherCosts_2[Powercor],Calc_OtherCosts_2[[Fixed/Variable]:[Fixed/Variable]],$D313,Calc_OtherCosts_2[[Customer type]:[Customer type]],$F313)</f>
        <v>1.3383290735317938E-3</v>
      </c>
      <c r="K313" s="73">
        <f>SUMIFS(Calc_OtherCosts_2[United Energy],Calc_OtherCosts_2[[Fixed/Variable]:[Fixed/Variable]],$D313,Calc_OtherCosts_2[[Customer type]:[Customer type]],$F313)</f>
        <v>1.3383290735317938E-3</v>
      </c>
    </row>
    <row r="314" spans="2:14">
      <c r="B314"/>
      <c r="C314" s="20" t="s">
        <v>104</v>
      </c>
      <c r="D314" s="20" t="s">
        <v>103</v>
      </c>
      <c r="E314" s="20" t="s">
        <v>68</v>
      </c>
      <c r="F314" s="20" t="s">
        <v>65</v>
      </c>
      <c r="G314" s="70">
        <f>SUMIFS(Calc_WholesaleRES_2[Ausnet],Calc_WholesaleRES_2[[Fixed/Variable]:[Fixed/Variable]],$D314,Calc_WholesaleRES_2[[Customer type]:[Customer type]],$F314,Calc_WholesaleRES_2[[Cost item]:[Cost item]],$C314)</f>
        <v>8.1839999999999996E-2</v>
      </c>
      <c r="H314" s="70">
        <f>SUMIFS(Calc_WholesaleRES_2[Citipower],Calc_WholesaleRES_2[[Fixed/Variable]:[Fixed/Variable]],$D314,Calc_WholesaleRES_2[[Customer type]:[Customer type]],$F314,Calc_WholesaleRES_2[[Cost item]:[Cost item]],$C314)</f>
        <v>7.6960000000000001E-2</v>
      </c>
      <c r="I314" s="70">
        <f>SUMIFS(Calc_WholesaleRES_2[Jemena],Calc_WholesaleRES_2[[Fixed/Variable]:[Fixed/Variable]],$D314,Calc_WholesaleRES_2[[Customer type]:[Customer type]],$F314,Calc_WholesaleRES_2[[Cost item]:[Cost item]],$C314)</f>
        <v>8.2209999999999991E-2</v>
      </c>
      <c r="J314" s="70">
        <f>SUMIFS(Calc_WholesaleRES_2[Powercor],Calc_WholesaleRES_2[[Fixed/Variable]:[Fixed/Variable]],$D314,Calc_WholesaleRES_2[[Customer type]:[Customer type]],$F314,Calc_WholesaleRES_2[[Cost item]:[Cost item]],$C314)</f>
        <v>8.0710000000000004E-2</v>
      </c>
      <c r="K314" s="70">
        <f>SUMIFS(Calc_WholesaleRES_2[United Energy],Calc_WholesaleRES_2[[Fixed/Variable]:[Fixed/Variable]],$D314,Calc_WholesaleRES_2[[Customer type]:[Customer type]],$F314,Calc_WholesaleRES_2[[Cost item]:[Cost item]],$C314)</f>
        <v>8.1509999999999999E-2</v>
      </c>
    </row>
    <row r="315" spans="2:14">
      <c r="B315"/>
      <c r="C315" s="20" t="s">
        <v>104</v>
      </c>
      <c r="D315" s="20" t="s">
        <v>103</v>
      </c>
      <c r="E315" s="20" t="s">
        <v>68</v>
      </c>
      <c r="F315" s="20" t="s">
        <v>66</v>
      </c>
      <c r="G315" s="70">
        <f>SUMIFS(Calc_WholesaleSME_2[Ausnet],Calc_WholesaleSME_2[[Fixed/Variable]:[Fixed/Variable]],$D315,Calc_WholesaleSME_2[[Customer type]:[Customer type]],$F315,Calc_WholesaleSME_2[[Cost item]:[Cost item]],$C315)</f>
        <v>7.0609999999999992E-2</v>
      </c>
      <c r="H315" s="70">
        <f>SUMIFS(Calc_WholesaleSME_2[Citipower],Calc_WholesaleSME_2[[Fixed/Variable]:[Fixed/Variable]],$D315,Calc_WholesaleSME_2[[Customer type]:[Customer type]],$F315,Calc_WholesaleSME_2[[Cost item]:[Cost item]],$C315)</f>
        <v>7.0660000000000001E-2</v>
      </c>
      <c r="I315" s="70">
        <f>SUMIFS(Calc_WholesaleSME_2[Jemena],Calc_WholesaleSME_2[[Fixed/Variable]:[Fixed/Variable]],$D315,Calc_WholesaleSME_2[[Customer type]:[Customer type]],$F315,Calc_WholesaleSME_2[[Cost item]:[Cost item]],$C315)</f>
        <v>6.9330000000000003E-2</v>
      </c>
      <c r="J315" s="70">
        <f>SUMIFS(Calc_WholesaleSME_2[Powercor],Calc_WholesaleSME_2[[Fixed/Variable]:[Fixed/Variable]],$D315,Calc_WholesaleSME_2[[Customer type]:[Customer type]],$F315,Calc_WholesaleSME_2[[Cost item]:[Cost item]],$C315)</f>
        <v>7.0069999999999993E-2</v>
      </c>
      <c r="K315" s="70">
        <f>SUMIFS(Calc_WholesaleSME_2[United Energy],Calc_WholesaleSME_2[[Fixed/Variable]:[Fixed/Variable]],$D315,Calc_WholesaleSME_2[[Customer type]:[Customer type]],$F315,Calc_WholesaleSME_2[[Cost item]:[Cost item]],$C315)</f>
        <v>6.9539999999999991E-2</v>
      </c>
    </row>
    <row r="316" spans="2:14">
      <c r="B316"/>
      <c r="C316" s="20" t="s">
        <v>105</v>
      </c>
      <c r="D316" s="20" t="s">
        <v>103</v>
      </c>
      <c r="E316" s="20" t="s">
        <v>68</v>
      </c>
      <c r="F316" s="20" t="s">
        <v>65</v>
      </c>
      <c r="G316" s="73">
        <f>(SUMIFS(G$312:G$315,$F$312:$F$315,"All")+SUMIFS(G$312:G$315,$F$312:$F$315,$F316))*INDEX(Calc_Losses_2[[Ausnet]:[United Energy]],MATCH("Total loss factor",Calc_Losses_2[[Cost item]:[Cost item]],0),MATCH(G$311,Calc_Losses_2[[#Headers],[Ausnet]:[United Energy]],0))</f>
        <v>8.8218688172222275E-3</v>
      </c>
      <c r="H316" s="73">
        <f>(SUMIFS(H$312:H$315,$F$312:$F$315,"All")+SUMIFS(H$312:H$315,$F$312:$F$315,$F316))*INDEX(Calc_Losses_2[[Ausnet]:[United Energy]],MATCH("Total loss factor",Calc_Losses_2[[Cost item]:[Cost item]],0),MATCH(H$311,Calc_Losses_2[[#Headers],[Ausnet]:[United Energy]],0))</f>
        <v>4.97042210127247E-3</v>
      </c>
      <c r="I316" s="73">
        <f>(SUMIFS(I$312:I$315,$F$312:$F$315,"All")+SUMIFS(I$312:I$315,$F$312:$F$315,$F316))*INDEX(Calc_Losses_2[[Ausnet]:[United Energy]],MATCH("Total loss factor",Calc_Losses_2[[Cost item]:[Cost item]],0),MATCH(I$311,Calc_Losses_2[[#Headers],[Ausnet]:[United Energy]],0))</f>
        <v>4.217878993401248E-3</v>
      </c>
      <c r="J316" s="73">
        <f>(SUMIFS(J$312:J$315,$F$312:$F$315,"All")+SUMIFS(J$312:J$315,$F$312:$F$315,$F316))*INDEX(Calc_Losses_2[[Ausnet]:[United Energy]],MATCH("Total loss factor",Calc_Losses_2[[Cost item]:[Cost item]],0),MATCH(J$311,Calc_Losses_2[[#Headers],[Ausnet]:[United Energy]],0))</f>
        <v>7.677870585327505E-3</v>
      </c>
      <c r="K316" s="73">
        <f>(SUMIFS(K$312:K$315,$F$312:$F$315,"All")+SUMIFS(K$312:K$315,$F$312:$F$315,$F316))*INDEX(Calc_Losses_2[[Ausnet]:[United Energy]],MATCH("Total loss factor",Calc_Losses_2[[Cost item]:[Cost item]],0),MATCH(K$311,Calc_Losses_2[[#Headers],[Ausnet]:[United Energy]],0))</f>
        <v>4.8656595034685148E-3</v>
      </c>
    </row>
    <row r="317" spans="2:14">
      <c r="B317"/>
      <c r="C317" s="20" t="s">
        <v>105</v>
      </c>
      <c r="D317" s="20" t="s">
        <v>103</v>
      </c>
      <c r="E317" s="20" t="s">
        <v>68</v>
      </c>
      <c r="F317" s="20" t="s">
        <v>66</v>
      </c>
      <c r="G317" s="73">
        <f>(SUMIFS(G$312:G$315,$F$312:$F$315,"All")+SUMIFS(G$312:G$315,$F$312:$F$315,$F317))*INDEX(Calc_Losses_2[[Ausnet]:[United Energy]],MATCH("Total loss factor",Calc_Losses_2[[Cost item]:[Cost item]],0),MATCH(G$311,Calc_Losses_2[[#Headers],[Ausnet]:[United Energy]],0))</f>
        <v>7.9339186314212641E-3</v>
      </c>
      <c r="H317" s="73">
        <f>(SUMIFS(H$312:H$315,$F$312:$F$315,"All")+SUMIFS(H$312:H$315,$F$312:$F$315,$F317))*INDEX(Calc_Losses_2[[Ausnet]:[United Energy]],MATCH("Total loss factor",Calc_Losses_2[[Cost item]:[Cost item]],0),MATCH(H$311,Calc_Losses_2[[#Headers],[Ausnet]:[United Energy]],0))</f>
        <v>4.676923799672471E-3</v>
      </c>
      <c r="I317" s="73">
        <f>(SUMIFS(I$312:I$315,$F$312:$F$315,"All")+SUMIFS(I$312:I$315,$F$312:$F$315,$F317))*INDEX(Calc_Losses_2[[Ausnet]:[United Energy]],MATCH("Total loss factor",Calc_Losses_2[[Cost item]:[Cost item]],0),MATCH(I$311,Calc_Losses_2[[#Headers],[Ausnet]:[United Energy]],0))</f>
        <v>3.7325677257012478E-3</v>
      </c>
      <c r="J317" s="73">
        <f>(SUMIFS(J$312:J$315,$F$312:$F$315,"All")+SUMIFS(J$312:J$315,$F$312:$F$315,$F317))*INDEX(Calc_Losses_2[[Ausnet]:[United Energy]],MATCH("Total loss factor",Calc_Losses_2[[Cost item]:[Cost item]],0),MATCH(J$311,Calc_Losses_2[[#Headers],[Ausnet]:[United Energy]],0))</f>
        <v>6.9381773325900347E-3</v>
      </c>
      <c r="K317" s="73">
        <f>(SUMIFS(K$312:K$315,$F$312:$F$315,"All")+SUMIFS(K$312:K$315,$F$312:$F$315,$F317))*INDEX(Calc_Losses_2[[Ausnet]:[United Energy]],MATCH("Total loss factor",Calc_Losses_2[[Cost item]:[Cost item]],0),MATCH(K$311,Calc_Losses_2[[#Headers],[Ausnet]:[United Energy]],0))</f>
        <v>4.3420945653980915E-3</v>
      </c>
    </row>
    <row r="318" spans="2:14">
      <c r="B318"/>
    </row>
    <row r="319" spans="2:14" ht="15.5">
      <c r="B319"/>
      <c r="C319" s="26" t="s">
        <v>106</v>
      </c>
    </row>
    <row r="320" spans="2:14" ht="15.5" outlineLevel="1">
      <c r="B320"/>
      <c r="C320" s="1" t="s">
        <v>107</v>
      </c>
    </row>
    <row r="321" spans="2:11" ht="15.5" outlineLevel="1">
      <c r="B321"/>
      <c r="C321" s="74" t="s">
        <v>67</v>
      </c>
    </row>
    <row r="322" spans="2:11" outlineLevel="1">
      <c r="B322"/>
      <c r="C322" s="20" t="s">
        <v>96</v>
      </c>
      <c r="D322" s="20" t="s">
        <v>7</v>
      </c>
      <c r="E322" s="20" t="s">
        <v>68</v>
      </c>
      <c r="F322" s="20" t="s">
        <v>65</v>
      </c>
      <c r="G322" s="55">
        <f>SUMIFS(Calc_NetworkV_2[Ausnet],Calc_NetworkV_2[[Cost item]:[Cost item]],$C321,Calc_NetworkV_2[[Customer type]:[Customer type]],$F322)</f>
        <v>0.12721199999999999</v>
      </c>
      <c r="H322" s="55">
        <f>SUMIFS(Calc_NetworkV_2[Citipower],Calc_NetworkV_2[[Cost item]:[Cost item]],$C321,Calc_NetworkV_2[[Customer type]:[Customer type]],$F322)</f>
        <v>0</v>
      </c>
      <c r="I322" s="55">
        <f>SUMIFS(Calc_NetworkV_2[Jemena],Calc_NetworkV_2[[Cost item]:[Cost item]],$C321,Calc_NetworkV_2[[Customer type]:[Customer type]],$F322)</f>
        <v>0</v>
      </c>
      <c r="J322" s="55">
        <f>SUMIFS(Calc_NetworkV_2[Powercor],Calc_NetworkV_2[[Cost item]:[Cost item]],$C321,Calc_NetworkV_2[[Customer type]:[Customer type]],$F322)</f>
        <v>0</v>
      </c>
      <c r="K322" s="55">
        <f>SUMIFS(Calc_NetworkV_2[United Energy],Calc_NetworkV_2[[Cost item]:[Cost item]],$C321,Calc_NetworkV_2[[Customer type]:[Customer type]],$F322)</f>
        <v>0</v>
      </c>
    </row>
    <row r="323" spans="2:11" outlineLevel="1">
      <c r="B323"/>
      <c r="C323" s="20" t="s">
        <v>101</v>
      </c>
      <c r="D323" s="20" t="s">
        <v>7</v>
      </c>
      <c r="E323" s="20" t="s">
        <v>68</v>
      </c>
      <c r="F323" s="20" t="s">
        <v>65</v>
      </c>
      <c r="G323" s="55">
        <f>SUMIFS(Calc_Variable_2[Ausnet],Calc_Variable_2[Customer type],"All")+SUMIFS(Calc_Variable_2[Ausnet],Calc_Variable_2[Customer type],$F323)</f>
        <v>0.12039297764923537</v>
      </c>
      <c r="H323" s="55">
        <f>SUMIFS(Calc_Variable_2[Citipower],Calc_Variable_2[[Customer type]:[Customer type]],"All")+SUMIFS(Calc_Variable_2[Citipower],Calc_Variable_2[[Customer type]:[Customer type]],$F323)</f>
        <v>0.11166153093328561</v>
      </c>
      <c r="I323" s="55">
        <f>SUMIFS(Calc_Variable_2[Jemena],Calc_Variable_2[[Customer type]:[Customer type]],"All")+SUMIFS(Calc_Variable_2[Jemena],Calc_Variable_2[[Customer type]:[Customer type]],$F323)</f>
        <v>0.11615898782541438</v>
      </c>
      <c r="J323" s="55">
        <f>SUMIFS(Calc_Variable_2[Powercor],Calc_Variable_2[[Customer type]:[Customer type]],"All")+SUMIFS(Calc_Variable_2[Powercor],Calc_Variable_2[[Customer type]:[Customer type]],$F323)</f>
        <v>0.11811897941734066</v>
      </c>
      <c r="K323" s="55">
        <f>SUMIFS(Calc_Variable_2[United Energy],Calc_Variable_2[[Customer type]:[Customer type]],"All")+SUMIFS(Calc_Variable_2[United Energy],Calc_Variable_2[[Customer type]:[Customer type]],$F323)</f>
        <v>0.11610676833548166</v>
      </c>
    </row>
    <row r="324" spans="2:11" outlineLevel="1">
      <c r="B324"/>
      <c r="C324" s="20" t="s">
        <v>97</v>
      </c>
      <c r="D324" s="20" t="s">
        <v>7</v>
      </c>
      <c r="E324" s="20" t="s">
        <v>68</v>
      </c>
      <c r="F324" s="20" t="s">
        <v>65</v>
      </c>
      <c r="G324" s="66" cm="1">
        <f t="array" ref="G324">IF(G322=0,"-",
(G322+G323)*Calc_ROM_2[Ausnet])</f>
        <v>1.4955340650013816E-2</v>
      </c>
      <c r="H324" s="66" t="str" cm="1">
        <f t="array" ref="H324">IF(H322=0,"-",
(H322+H323)*Calc_ROM_2[Citipower])</f>
        <v>-</v>
      </c>
      <c r="I324" s="66" t="str" cm="1">
        <f t="array" ref="I324">IF(I322=0,"-",
(I322+I323)*Calc_ROM_2[Jemena])</f>
        <v>-</v>
      </c>
      <c r="J324" s="66" t="str" cm="1">
        <f t="array" ref="J324">IF(J322=0,"-",
(J322+J323)*Calc_ROM_2[Powercor])</f>
        <v>-</v>
      </c>
      <c r="K324" s="66" t="str" cm="1">
        <f t="array" ref="K324">IF(K322=0,"-",
(K322+K323)*Calc_ROM_2[United Energy])</f>
        <v>-</v>
      </c>
    </row>
    <row r="325" spans="2:11" outlineLevel="1">
      <c r="B325"/>
      <c r="C325" s="20" t="s">
        <v>98</v>
      </c>
      <c r="D325" s="20" t="s">
        <v>7</v>
      </c>
      <c r="E325" s="20" t="s">
        <v>68</v>
      </c>
      <c r="F325" s="20" t="s">
        <v>65</v>
      </c>
      <c r="G325" s="66">
        <f>IF(G322=0,"-",
(G322+G323+G324)*GST)</f>
        <v>2.625603182992492E-2</v>
      </c>
      <c r="H325" s="66" t="str">
        <f>IF(H322=0,"-",
(H322+H323+H324)*GST)</f>
        <v>-</v>
      </c>
      <c r="I325" s="66" t="str">
        <f>IF(I322=0,"-",
(I322+I323+I324)*GST)</f>
        <v>-</v>
      </c>
      <c r="J325" s="66" t="str">
        <f>IF(J322=0,"-",
(J322+J323+J324)*GST)</f>
        <v>-</v>
      </c>
      <c r="K325" s="66" t="str">
        <f>IF(K322=0,"-",
(K322+K323+K324)*GST)</f>
        <v>-</v>
      </c>
    </row>
    <row r="326" spans="2:11" outlineLevel="1">
      <c r="B326"/>
      <c r="C326" s="20" t="str">
        <f>C321&amp;" charge"</f>
        <v>Block 1 charge</v>
      </c>
      <c r="D326" s="20" t="s">
        <v>7</v>
      </c>
      <c r="E326" s="20" t="s">
        <v>68</v>
      </c>
      <c r="F326" s="20" t="s">
        <v>65</v>
      </c>
      <c r="G326" s="67">
        <f>IF(G322=0,"-",
G322+G323+G324+G325)</f>
        <v>0.28881635012917412</v>
      </c>
      <c r="H326" s="67" t="str">
        <f t="shared" ref="H326:K326" si="62">IF(H322=0,"-",
H322+H323+H324+H325)</f>
        <v>-</v>
      </c>
      <c r="I326" s="67" t="str">
        <f t="shared" si="62"/>
        <v>-</v>
      </c>
      <c r="J326" s="67" t="str">
        <f t="shared" si="62"/>
        <v>-</v>
      </c>
      <c r="K326" s="67" t="str">
        <f t="shared" si="62"/>
        <v>-</v>
      </c>
    </row>
    <row r="327" spans="2:11" outlineLevel="1">
      <c r="B327"/>
      <c r="G327" s="94" cm="1">
        <f t="array" ref="G327">IF(G326="-","-",
IF(ROUND(G326,8)=ROUND((((
SUMIFS(Calc_Variable_2[Ausnet],Calc_Variable_2[Customer type],Calc_Rates!$F326)+
SUMIFS(Calc_Variable_2[Ausnet],Calc_Variable_2[Customer type],"All")+G322)*(1+Calc_ROM_2[Ausnet]))*(1+GST)),8),0,1))</f>
        <v>0</v>
      </c>
      <c r="H327" s="94" t="str" cm="1">
        <f t="array" ref="H327">IF(H326="-","-",
IF(ROUND(H326,8)=ROUND((((
SUMIFS(Calc_Variable_2[Citipower],Calc_Variable_2[Customer type],Calc_Rates!$F326)+
SUMIFS(Calc_Variable_2[Citipower],Calc_Variable_2[Customer type],"All")+H322)*(1+Calc_ROM_2[Citipower]))*(1+GST)),8),0,1))</f>
        <v>-</v>
      </c>
      <c r="I327" s="94" t="str" cm="1">
        <f t="array" ref="I327">IF(I326="-","-",
IF(ROUND(I326,8)=ROUND((((
SUMIFS(Calc_Variable_2[Jemena],Calc_Variable_2[Customer type],Calc_Rates!$F326)+
SUMIFS(Calc_Variable_2[Jemena],Calc_Variable_2[Customer type],"All")+I322)*(1+Calc_ROM_2[Jemena]))*(1+GST)),8),0,1))</f>
        <v>-</v>
      </c>
      <c r="J327" s="94" t="str" cm="1">
        <f t="array" ref="J327">IF(J326="-","-",
IF(ROUND(J326,8)=ROUND((((
SUMIFS(Calc_Variable_2[Powercor],Calc_Variable_2[Customer type],Calc_Rates!$F326)+
SUMIFS(Calc_Variable_2[Powercor],Calc_Variable_2[Customer type],"All")+J322)*(1+Calc_ROM_2[Powercor]))*(1+GST)),8),0,1))</f>
        <v>-</v>
      </c>
      <c r="K327" s="94" t="str" cm="1">
        <f t="array" ref="K327">IF(K326="-","-",
IF(ROUND(K326,8)=ROUND((((
SUMIFS(Calc_Variable_2[United Energy],Calc_Variable_2[[Customer type]:[Customer type]],Calc_Rates!$F326)+
SUMIFS(Calc_Variable_2[United Energy],Calc_Variable_2[[Customer type]:[Customer type]],"All")+K322)*(1+Calc_ROM_2[United Energy]))*(1+GST)),8),0,1))</f>
        <v>-</v>
      </c>
    </row>
    <row r="328" spans="2:11" ht="15.5" outlineLevel="1">
      <c r="B328"/>
      <c r="C328" s="74" t="s">
        <v>69</v>
      </c>
    </row>
    <row r="329" spans="2:11" outlineLevel="1">
      <c r="B329"/>
      <c r="C329" s="20" t="s">
        <v>96</v>
      </c>
      <c r="D329" s="20" t="s">
        <v>7</v>
      </c>
      <c r="E329" s="20" t="s">
        <v>68</v>
      </c>
      <c r="F329" s="20" t="s">
        <v>65</v>
      </c>
      <c r="G329" s="55">
        <f>SUMIFS(Calc_NetworkV_2[Ausnet],Calc_NetworkV_2[[Cost item]:[Cost item]],$C328,Calc_NetworkV_2[[Customer type]:[Customer type]],$F329)</f>
        <v>0.14239199999999999</v>
      </c>
      <c r="H329" s="55">
        <f>SUMIFS(Calc_NetworkV_2[Citipower],Calc_NetworkV_2[[Cost item]:[Cost item]],$C328,Calc_NetworkV_2[[Customer type]:[Customer type]],$F329)</f>
        <v>0</v>
      </c>
      <c r="I329" s="55">
        <f>SUMIFS(Calc_NetworkV_2[Jemena],Calc_NetworkV_2[[Cost item]:[Cost item]],$C328,Calc_NetworkV_2[[Customer type]:[Customer type]],$F329)</f>
        <v>0</v>
      </c>
      <c r="J329" s="55">
        <f>SUMIFS(Calc_NetworkV_2[Powercor],Calc_NetworkV_2[[Cost item]:[Cost item]],$C328,Calc_NetworkV_2[[Customer type]:[Customer type]],$F329)</f>
        <v>0</v>
      </c>
      <c r="K329" s="55">
        <f>SUMIFS(Calc_NetworkV_2[United Energy],Calc_NetworkV_2[[Cost item]:[Cost item]],$C328,Calc_NetworkV_2[[Customer type]:[Customer type]],$F329)</f>
        <v>0</v>
      </c>
    </row>
    <row r="330" spans="2:11" outlineLevel="1">
      <c r="B330"/>
      <c r="C330" s="20" t="s">
        <v>101</v>
      </c>
      <c r="D330" s="20" t="s">
        <v>7</v>
      </c>
      <c r="E330" s="20" t="s">
        <v>68</v>
      </c>
      <c r="F330" s="20" t="s">
        <v>65</v>
      </c>
      <c r="G330" s="55">
        <f>SUMIFS(Calc_Variable_2[Ausnet],Calc_Variable_2[[Customer type]:[Customer type]],"All")+SUMIFS(Calc_Variable_2[Ausnet],Calc_Variable_2[[Customer type]:[Customer type]],$F330)</f>
        <v>0.12039297764923537</v>
      </c>
      <c r="H330" s="55">
        <f>SUMIFS(Calc_Variable_2[Citipower],Calc_Variable_2[[Customer type]:[Customer type]],"All")+SUMIFS(Calc_Variable_2[Citipower],Calc_Variable_2[[Customer type]:[Customer type]],$F330)</f>
        <v>0.11166153093328561</v>
      </c>
      <c r="I330" s="55">
        <f>SUMIFS(Calc_Variable_2[Jemena],Calc_Variable_2[[Customer type]:[Customer type]],"All")+SUMIFS(Calc_Variable_2[Jemena],Calc_Variable_2[[Customer type]:[Customer type]],$F330)</f>
        <v>0.11615898782541438</v>
      </c>
      <c r="J330" s="55">
        <f>SUMIFS(Calc_Variable_2[Powercor],Calc_Variable_2[[Customer type]:[Customer type]],"All")+SUMIFS(Calc_Variable_2[Powercor],Calc_Variable_2[[Customer type]:[Customer type]],$F330)</f>
        <v>0.11811897941734066</v>
      </c>
      <c r="K330" s="55">
        <f>SUMIFS(Calc_Variable_2[United Energy],Calc_Variable_2[[Customer type]:[Customer type]],"All")+SUMIFS(Calc_Variable_2[United Energy],Calc_Variable_2[[Customer type]:[Customer type]],$F330)</f>
        <v>0.11610676833548166</v>
      </c>
    </row>
    <row r="331" spans="2:11" outlineLevel="1">
      <c r="B331"/>
      <c r="C331" s="20" t="s">
        <v>97</v>
      </c>
      <c r="D331" s="20" t="s">
        <v>7</v>
      </c>
      <c r="E331" s="20" t="s">
        <v>68</v>
      </c>
      <c r="F331" s="20" t="s">
        <v>65</v>
      </c>
      <c r="G331" s="66" cm="1">
        <f t="array" ref="G331">IF(G329=0,"-",
(G329+G330)*Calc_ROM_2[Ausnet])</f>
        <v>1.5872212650013817E-2</v>
      </c>
      <c r="H331" s="66" t="str" cm="1">
        <f t="array" ref="H331">IF(H329=0,"-",
(H329+H330)*Calc_ROM_2[Citipower])</f>
        <v>-</v>
      </c>
      <c r="I331" s="66" t="str" cm="1">
        <f t="array" ref="I331">IF(I329=0,"-",
(I329+I330)*Calc_ROM_2[Jemena])</f>
        <v>-</v>
      </c>
      <c r="J331" s="66" t="str" cm="1">
        <f t="array" ref="J331">IF(J329=0,"-",
(J329+J330)*Calc_ROM_2[Powercor])</f>
        <v>-</v>
      </c>
      <c r="K331" s="66" t="str" cm="1">
        <f t="array" ref="K331">IF(K329=0,"-",
(K329+K330)*Calc_ROM_2[United Energy])</f>
        <v>-</v>
      </c>
    </row>
    <row r="332" spans="2:11" outlineLevel="1">
      <c r="B332"/>
      <c r="C332" s="20" t="s">
        <v>98</v>
      </c>
      <c r="D332" s="20" t="s">
        <v>7</v>
      </c>
      <c r="E332" s="20" t="s">
        <v>68</v>
      </c>
      <c r="F332" s="20" t="s">
        <v>65</v>
      </c>
      <c r="G332" s="66">
        <f>IF(G329=0,"-",
(G329+G330+G331)*GST)</f>
        <v>2.7865719029924921E-2</v>
      </c>
      <c r="H332" s="66" t="str">
        <f>IF(H329=0,"-",
(H329+H330+H331)*GST)</f>
        <v>-</v>
      </c>
      <c r="I332" s="66" t="str">
        <f>IF(I329=0,"-",
(I329+I330+I331)*GST)</f>
        <v>-</v>
      </c>
      <c r="J332" s="66" t="str">
        <f>IF(J329=0,"-",
(J329+J330+J331)*GST)</f>
        <v>-</v>
      </c>
      <c r="K332" s="66" t="str">
        <f>IF(K329=0,"-",
(K329+K330+K331)*GST)</f>
        <v>-</v>
      </c>
    </row>
    <row r="333" spans="2:11" outlineLevel="1">
      <c r="B333"/>
      <c r="C333" s="20" t="str">
        <f>C328&amp;" charge"</f>
        <v>Balance charge</v>
      </c>
      <c r="D333" s="20" t="s">
        <v>7</v>
      </c>
      <c r="E333" s="20" t="s">
        <v>68</v>
      </c>
      <c r="F333" s="20" t="s">
        <v>65</v>
      </c>
      <c r="G333" s="67">
        <f>IF(G329=0,"-",
G329+G330+G331+G332)</f>
        <v>0.30652290932917409</v>
      </c>
      <c r="H333" s="67" t="str">
        <f t="shared" ref="H333" si="63">IF(H329=0,"-",
H329+H330+H331+H332)</f>
        <v>-</v>
      </c>
      <c r="I333" s="67" t="str">
        <f t="shared" ref="I333" si="64">IF(I329=0,"-",
I329+I330+I331+I332)</f>
        <v>-</v>
      </c>
      <c r="J333" s="67" t="str">
        <f t="shared" ref="J333" si="65">IF(J329=0,"-",
J329+J330+J331+J332)</f>
        <v>-</v>
      </c>
      <c r="K333" s="67" t="str">
        <f t="shared" ref="K333" si="66">IF(K329=0,"-",
K329+K330+K331+K332)</f>
        <v>-</v>
      </c>
    </row>
    <row r="334" spans="2:11" outlineLevel="1">
      <c r="B334"/>
      <c r="G334" s="94" cm="1">
        <f t="array" ref="G334">IF(G333="-","-",
IF(ROUND(G333,8)=ROUND((((
SUMIFS(Calc_Variable_2[Ausnet],Calc_Variable_2[Customer type],Calc_Rates!$F333)+
SUMIFS(Calc_Variable_2[Ausnet],Calc_Variable_2[Customer type],"All")+G329)*(1+Calc_ROM_2[Ausnet]))*(1+GST)),8),0,1))</f>
        <v>0</v>
      </c>
      <c r="H334" s="94" t="str" cm="1">
        <f t="array" ref="H334">IF(H333="-","-",
IF(ROUND(H333,8)=ROUND((((
SUMIFS(Calc_Variable_2[Citipower],Calc_Variable_2[Customer type],Calc_Rates!$F333)+
SUMIFS(Calc_Variable_2[Citipower],Calc_Variable_2[Customer type],"All")+H329)*(1+Calc_ROM_2[Citipower]))*(1+GST)),8),0,1))</f>
        <v>-</v>
      </c>
      <c r="I334" s="94" t="str" cm="1">
        <f t="array" ref="I334">IF(I333="-","-",
IF(ROUND(I333,8)=ROUND((((
SUMIFS(Calc_Variable_2[Jemena],Calc_Variable_2[Customer type],Calc_Rates!$F333)+
SUMIFS(Calc_Variable_2[Jemena],Calc_Variable_2[Customer type],"All")+I329)*(1+Calc_ROM_2[Jemena]))*(1+GST)),8),0,1))</f>
        <v>-</v>
      </c>
      <c r="J334" s="94" t="str" cm="1">
        <f t="array" ref="J334">IF(J333="-","-",
IF(ROUND(J333,8)=ROUND((((
SUMIFS(Calc_Variable_2[Powercor],Calc_Variable_2[[Customer type]:[Customer type]],Calc_Rates!$F333)+
SUMIFS(Calc_Variable_2[Powercor],Calc_Variable_2[[Customer type]:[Customer type]],"All")+J329)*(1+Calc_ROM_2[Powercor]))*(1+GST)),8),0,1))</f>
        <v>-</v>
      </c>
      <c r="K334" s="94" t="str" cm="1">
        <f t="array" ref="K334">IF(K333="-","-",
IF(ROUND(K333,8)=ROUND((((
SUMIFS(Calc_Variable_2[United Energy],Calc_Variable_2[[Customer type]:[Customer type]],Calc_Rates!$F333)+
SUMIFS(Calc_Variable_2[United Energy],Calc_Variable_2[[Customer type]:[Customer type]],"All")+K329)*(1+Calc_ROM_2[United Energy]))*(1+GST)),8),0,1))</f>
        <v>-</v>
      </c>
    </row>
    <row r="335" spans="2:11" ht="15.5" outlineLevel="1">
      <c r="B335"/>
      <c r="C335" s="74" t="s">
        <v>70</v>
      </c>
    </row>
    <row r="336" spans="2:11" outlineLevel="1">
      <c r="B336"/>
      <c r="C336" s="20" t="s">
        <v>96</v>
      </c>
      <c r="D336" s="20" t="s">
        <v>7</v>
      </c>
      <c r="E336" s="20" t="s">
        <v>68</v>
      </c>
      <c r="F336" s="20" t="s">
        <v>65</v>
      </c>
      <c r="G336" s="55">
        <f>SUMIFS(Calc_NetworkV_2[Ausnet],Calc_NetworkV_2[[Cost item]:[Cost item]],$C335,Calc_NetworkV_2[[Customer type]:[Customer type]],$F336)</f>
        <v>0</v>
      </c>
      <c r="H336" s="55">
        <f>SUMIFS(Calc_NetworkV_2[Citipower],Calc_NetworkV_2[[Cost item]:[Cost item]],$C335,Calc_NetworkV_2[[Customer type]:[Customer type]],$F336)</f>
        <v>7.400000000000001E-2</v>
      </c>
      <c r="I336" s="55">
        <f>SUMIFS(Calc_NetworkV_2[Jemena],Calc_NetworkV_2[[Cost item]:[Cost item]],$C335,Calc_NetworkV_2[[Customer type]:[Customer type]],$F336)</f>
        <v>8.251E-2</v>
      </c>
      <c r="J336" s="55">
        <f>SUMIFS(Calc_NetworkV_2[Powercor],Calc_NetworkV_2[[Cost item]:[Cost item]],$C335,Calc_NetworkV_2[[Customer type]:[Customer type]],$F336)</f>
        <v>8.1500000000000003E-2</v>
      </c>
      <c r="K336" s="55">
        <f>SUMIFS(Calc_NetworkV_2[United Energy],Calc_NetworkV_2[[Cost item]:[Cost item]],$C335,Calc_NetworkV_2[[Customer type]:[Customer type]],$F336)</f>
        <v>8.3000000000000004E-2</v>
      </c>
    </row>
    <row r="337" spans="2:11" outlineLevel="1">
      <c r="B337"/>
      <c r="C337" s="20" t="s">
        <v>101</v>
      </c>
      <c r="D337" s="20" t="s">
        <v>7</v>
      </c>
      <c r="E337" s="20" t="s">
        <v>68</v>
      </c>
      <c r="F337" s="20" t="s">
        <v>65</v>
      </c>
      <c r="G337" s="55">
        <f>SUMIFS(Calc_Variable_2[Ausnet],Calc_Variable_2[[Customer type]:[Customer type]],"All")+SUMIFS(Calc_Variable_2[Ausnet],Calc_Variable_2[[Customer type]:[Customer type]],$F337)</f>
        <v>0.12039297764923537</v>
      </c>
      <c r="H337" s="55">
        <f>SUMIFS(Calc_Variable_2[Citipower],Calc_Variable_2[[Customer type]:[Customer type]],"All")+SUMIFS(Calc_Variable_2[Citipower],Calc_Variable_2[[Customer type]:[Customer type]],$F337)</f>
        <v>0.11166153093328561</v>
      </c>
      <c r="I337" s="55">
        <f>SUMIFS(Calc_Variable_2[Jemena],Calc_Variable_2[[Customer type]:[Customer type]],"All")+SUMIFS(Calc_Variable_2[Jemena],Calc_Variable_2[[Customer type]:[Customer type]],$F337)</f>
        <v>0.11615898782541438</v>
      </c>
      <c r="J337" s="55">
        <f>SUMIFS(Calc_Variable_2[Powercor],Calc_Variable_2[[Customer type]:[Customer type]],"All")+SUMIFS(Calc_Variable_2[Powercor],Calc_Variable_2[[Customer type]:[Customer type]],$F337)</f>
        <v>0.11811897941734066</v>
      </c>
      <c r="K337" s="55">
        <f>SUMIFS(Calc_Variable_2[United Energy],Calc_Variable_2[[Customer type]:[Customer type]],"All")+SUMIFS(Calc_Variable_2[United Energy],Calc_Variable_2[[Customer type]:[Customer type]],$F337)</f>
        <v>0.11610676833548166</v>
      </c>
    </row>
    <row r="338" spans="2:11" outlineLevel="1">
      <c r="B338"/>
      <c r="C338" s="20" t="s">
        <v>97</v>
      </c>
      <c r="D338" s="20" t="s">
        <v>7</v>
      </c>
      <c r="E338" s="20" t="s">
        <v>68</v>
      </c>
      <c r="F338" s="20" t="s">
        <v>65</v>
      </c>
      <c r="G338" s="66" t="str" cm="1">
        <f t="array" ref="G338">IF(G336=0,"-",
(G336+G337)*Calc_ROM_2[Ausnet])</f>
        <v>-</v>
      </c>
      <c r="H338" s="186" cm="1">
        <f t="array" ref="H338">IF(H336=0,"-",
(H336+H337)*Calc_ROM_2[Citipower])</f>
        <v>1.1213956468370452E-2</v>
      </c>
      <c r="I338" s="186" cm="1">
        <f t="array" ref="I338">IF(I336=0,"-",
(I336+I337)*Calc_ROM_2[Jemena])</f>
        <v>1.1999606864655028E-2</v>
      </c>
      <c r="J338" s="186" cm="1">
        <f t="array" ref="J338">IF(J336=0,"-",
(J336+J337)*Calc_ROM_2[Powercor])</f>
        <v>1.2056986356807376E-2</v>
      </c>
      <c r="K338" s="186" cm="1">
        <f t="array" ref="K338">IF(K336=0,"-",
(K336+K337)*Calc_ROM_2[United Energy])</f>
        <v>1.2026048807463092E-2</v>
      </c>
    </row>
    <row r="339" spans="2:11" outlineLevel="1">
      <c r="B339"/>
      <c r="C339" s="20" t="s">
        <v>98</v>
      </c>
      <c r="D339" s="20" t="s">
        <v>7</v>
      </c>
      <c r="E339" s="20" t="s">
        <v>68</v>
      </c>
      <c r="F339" s="20" t="s">
        <v>65</v>
      </c>
      <c r="G339" s="66" t="str">
        <f>IF(G336=0,"-",
(G336+G337+G338)*GST)</f>
        <v>-</v>
      </c>
      <c r="H339" s="186">
        <f>IF(H336=0,"-",
(H336+H337+H338)*GST)</f>
        <v>1.9687548740165609E-2</v>
      </c>
      <c r="I339" s="186">
        <f>IF(I336=0,"-",
(I336+I337+I338)*GST)</f>
        <v>2.1066859469006941E-2</v>
      </c>
      <c r="J339" s="186">
        <f>IF(J336=0,"-",
(J336+J337+J338)*GST)</f>
        <v>2.1167596577414807E-2</v>
      </c>
      <c r="K339" s="186">
        <f>IF(K336=0,"-",
(K336+K337+K338)*GST)</f>
        <v>2.1113281714294475E-2</v>
      </c>
    </row>
    <row r="340" spans="2:11" outlineLevel="1">
      <c r="B340"/>
      <c r="C340" s="20" t="str">
        <f>C335&amp;" charge"</f>
        <v>Single rate charge</v>
      </c>
      <c r="D340" s="20" t="s">
        <v>7</v>
      </c>
      <c r="E340" s="20" t="s">
        <v>68</v>
      </c>
      <c r="F340" s="20" t="s">
        <v>65</v>
      </c>
      <c r="G340" s="67" t="str">
        <f>IF(G336=0,"-",
G336+G337+G338+G339)</f>
        <v>-</v>
      </c>
      <c r="H340" s="67">
        <f t="shared" ref="H340" si="67">IF(H336=0,"-",
H336+H337+H338+H339)</f>
        <v>0.21656303614182171</v>
      </c>
      <c r="I340" s="67">
        <f t="shared" ref="I340" si="68">IF(I336=0,"-",
I336+I337+I338+I339)</f>
        <v>0.23173545415907634</v>
      </c>
      <c r="J340" s="67">
        <f t="shared" ref="J340" si="69">IF(J336=0,"-",
J336+J337+J338+J339)</f>
        <v>0.23284356235156284</v>
      </c>
      <c r="K340" s="67">
        <f t="shared" ref="K340" si="70">IF(K336=0,"-",
K336+K337+K338+K339)</f>
        <v>0.23224609885723921</v>
      </c>
    </row>
    <row r="341" spans="2:11" outlineLevel="1">
      <c r="B341"/>
      <c r="G341" s="94" t="str" cm="1">
        <f t="array" ref="G341">IF(G340="-","-",
IF(ROUND(G340,8)=ROUND((((
SUMIFS(Calc_Variable_2[Ausnet],Calc_Variable_2[Customer type],Calc_Rates!$F340)+
SUMIFS(Calc_Variable_2[Ausnet],Calc_Variable_2[Customer type],"All")+G336)*(1+Calc_ROM_2[Ausnet]))*(1+GST)),8),0,1))</f>
        <v>-</v>
      </c>
      <c r="H341" s="94" cm="1">
        <f t="array" ref="H341">IF(H340="-","-",
IF(ROUND(H340,8)=ROUND((((
SUMIFS(Calc_Variable_2[Citipower],Calc_Variable_2[Customer type],Calc_Rates!$F340)+
SUMIFS(Calc_Variable_2[Citipower],Calc_Variable_2[Customer type],"All")+H336)*(1+Calc_ROM_2[Citipower]))*(1+GST)),8),0,1))</f>
        <v>0</v>
      </c>
      <c r="I341" s="94" cm="1">
        <f t="array" ref="I341">IF(I340="-","-",
IF(ROUND(I340,8)=ROUND((((
SUMIFS(Calc_Variable_2[Jemena],Calc_Variable_2[Customer type],Calc_Rates!$F340)+
SUMIFS(Calc_Variable_2[Jemena],Calc_Variable_2[Customer type],"All")+I336)*(1+Calc_ROM_2[Jemena]))*(1+GST)),8),0,1))</f>
        <v>0</v>
      </c>
      <c r="J341" s="94" cm="1">
        <f t="array" ref="J341">IF(J340="-","-",
IF(ROUND(J340,8)=ROUND((((
SUMIFS(Calc_Variable_2[Powercor],Calc_Variable_2[[Customer type]:[Customer type]],Calc_Rates!$F340)+
SUMIFS(Calc_Variable_2[Powercor],Calc_Variable_2[[Customer type]:[Customer type]],"All")+J336)*(1+Calc_ROM_2[Powercor]))*(1+GST)),8),0,1))</f>
        <v>0</v>
      </c>
      <c r="K341" s="94" cm="1">
        <f t="array" ref="K341">IF(K340="-","-",
IF(ROUND(K340,8)=ROUND((((
SUMIFS(Calc_Variable_2[United Energy],Calc_Variable_2[[Customer type]:[Customer type]],Calc_Rates!$F340)+
SUMIFS(Calc_Variable_2[United Energy],Calc_Variable_2[[Customer type]:[Customer type]],"All")+K336)*(1+Calc_ROM_2[United Energy]))*(1+GST)),8),0,1))</f>
        <v>0</v>
      </c>
    </row>
    <row r="342" spans="2:11" ht="15.5" outlineLevel="1">
      <c r="B342"/>
      <c r="C342" s="1" t="s">
        <v>108</v>
      </c>
    </row>
    <row r="343" spans="2:11" ht="15.5" outlineLevel="1">
      <c r="B343"/>
      <c r="C343" s="74" t="s">
        <v>72</v>
      </c>
    </row>
    <row r="344" spans="2:11" outlineLevel="1">
      <c r="B344"/>
      <c r="C344" s="20" t="s">
        <v>96</v>
      </c>
      <c r="D344" s="20" t="s">
        <v>7</v>
      </c>
      <c r="E344" s="20" t="s">
        <v>68</v>
      </c>
      <c r="F344" s="20" t="s">
        <v>65</v>
      </c>
      <c r="G344" s="55">
        <f>SUMIFS(Calc_NetworkV_2[Ausnet],Calc_NetworkV_2[[Cost item]:[Cost item]],$C343,Calc_NetworkV_2[[Customer type]:[Customer type]],$F344)</f>
        <v>0.22908500000000001</v>
      </c>
      <c r="H344" s="55">
        <f>SUMIFS(Calc_NetworkV_2[Citipower],Calc_NetworkV_2[[Cost item]:[Cost item]],$C343,Calc_NetworkV_2[[Customer type]:[Customer type]],$F344)</f>
        <v>0.14699999999999999</v>
      </c>
      <c r="I344" s="55">
        <f>SUMIFS(Calc_NetworkV_2[Jemena],Calc_NetworkV_2[[Cost item]:[Cost item]],$C343,Calc_NetworkV_2[[Customer type]:[Customer type]],$F344)</f>
        <v>0.13781000000000002</v>
      </c>
      <c r="J344" s="55">
        <f>SUMIFS(Calc_NetworkV_2[Powercor],Calc_NetworkV_2[[Cost item]:[Cost item]],$C343,Calc_NetworkV_2[[Customer type]:[Customer type]],$F344)</f>
        <v>0.16170000000000001</v>
      </c>
      <c r="K344" s="55">
        <f>SUMIFS(Calc_NetworkV_2[United Energy],Calc_NetworkV_2[[Cost item]:[Cost item]],$C343,Calc_NetworkV_2[[Customer type]:[Customer type]],$F344)</f>
        <v>0.16219999999999998</v>
      </c>
    </row>
    <row r="345" spans="2:11" outlineLevel="1">
      <c r="B345"/>
      <c r="C345" s="20" t="s">
        <v>101</v>
      </c>
      <c r="D345" s="20" t="s">
        <v>7</v>
      </c>
      <c r="E345" s="20" t="s">
        <v>68</v>
      </c>
      <c r="F345" s="20" t="s">
        <v>65</v>
      </c>
      <c r="G345" s="55">
        <f>SUMIFS(Calc_Variable_2[Ausnet],Calc_Variable_2[[Customer type]:[Customer type]],"All")+SUMIFS(Calc_Variable_2[Ausnet],Calc_Variable_2[[Customer type]:[Customer type]],$F345)</f>
        <v>0.12039297764923537</v>
      </c>
      <c r="H345" s="55">
        <f>SUMIFS(Calc_Variable_2[Citipower],Calc_Variable_2[[Customer type]:[Customer type]],"All")+SUMIFS(Calc_Variable_2[Citipower],Calc_Variable_2[[Customer type]:[Customer type]],$F345)</f>
        <v>0.11166153093328561</v>
      </c>
      <c r="I345" s="55">
        <f>SUMIFS(Calc_Variable_2[Jemena],Calc_Variable_2[[Customer type]:[Customer type]],"All")+SUMIFS(Calc_Variable_2[Jemena],Calc_Variable_2[[Customer type]:[Customer type]],$F345)</f>
        <v>0.11615898782541438</v>
      </c>
      <c r="J345" s="55">
        <f>SUMIFS(Calc_Variable_2[Powercor],Calc_Variable_2[[Customer type]:[Customer type]],"All")+SUMIFS(Calc_Variable_2[Powercor],Calc_Variable_2[[Customer type]:[Customer type]],$F345)</f>
        <v>0.11811897941734066</v>
      </c>
      <c r="K345" s="55">
        <f>SUMIFS(Calc_Variable_2[United Energy],Calc_Variable_2[[Customer type]:[Customer type]],"All")+SUMIFS(Calc_Variable_2[United Energy],Calc_Variable_2[[Customer type]:[Customer type]],$F345)</f>
        <v>0.11610676833548166</v>
      </c>
    </row>
    <row r="346" spans="2:11" outlineLevel="1">
      <c r="B346"/>
      <c r="C346" s="20" t="s">
        <v>97</v>
      </c>
      <c r="D346" s="20" t="s">
        <v>7</v>
      </c>
      <c r="E346" s="20" t="s">
        <v>68</v>
      </c>
      <c r="F346" s="20" t="s">
        <v>65</v>
      </c>
      <c r="G346" s="66" cm="1">
        <f t="array" ref="G346">IF(G344=0,"-",
(G344+G345)*Calc_ROM_2[Ausnet])</f>
        <v>2.1108469850013818E-2</v>
      </c>
      <c r="H346" s="66" cm="1">
        <f t="array" ref="H346">IF(H344=0,"-",
(H344+H345)*Calc_ROM_2[Citipower])</f>
        <v>1.5623156468370451E-2</v>
      </c>
      <c r="I346" s="66" cm="1">
        <f t="array" ref="I346">IF(I344=0,"-",
(I344+I345)*Calc_ROM_2[Jemena])</f>
        <v>1.533972686465503E-2</v>
      </c>
      <c r="J346" s="66" cm="1">
        <f t="array" ref="J346">IF(J344=0,"-",
(J344+J345)*Calc_ROM_2[Powercor])</f>
        <v>1.6901066356807378E-2</v>
      </c>
      <c r="K346" s="66" cm="1">
        <f t="array" ref="K346">IF(K344=0,"-",
(K344+K345)*Calc_ROM_2[United Energy])</f>
        <v>1.6809728807463092E-2</v>
      </c>
    </row>
    <row r="347" spans="2:11" outlineLevel="1">
      <c r="B347"/>
      <c r="C347" s="20" t="s">
        <v>98</v>
      </c>
      <c r="D347" s="20" t="s">
        <v>7</v>
      </c>
      <c r="E347" s="20" t="s">
        <v>68</v>
      </c>
      <c r="F347" s="20" t="s">
        <v>65</v>
      </c>
      <c r="G347" s="66">
        <f>IF(G344=0,"-",
(G344+G345+G346)*GST)</f>
        <v>3.7058644749924922E-2</v>
      </c>
      <c r="H347" s="66">
        <f>IF(H344=0,"-",
(H344+H345+H346)*GST)</f>
        <v>2.7428468740165603E-2</v>
      </c>
      <c r="I347" s="66">
        <f>IF(I344=0,"-",
(I344+I345+I346)*GST)</f>
        <v>2.693087146900694E-2</v>
      </c>
      <c r="J347" s="66">
        <f>IF(J344=0,"-",
(J344+J345+J346)*GST)</f>
        <v>2.9672004577414809E-2</v>
      </c>
      <c r="K347" s="66">
        <f>IF(K344=0,"-",
(K344+K345+K346)*GST)</f>
        <v>2.9511649714294475E-2</v>
      </c>
    </row>
    <row r="348" spans="2:11" outlineLevel="1">
      <c r="B348"/>
      <c r="C348" s="20" t="str">
        <f>C343&amp;" charge"</f>
        <v>Peak charge</v>
      </c>
      <c r="D348" s="20" t="s">
        <v>7</v>
      </c>
      <c r="E348" s="20" t="s">
        <v>68</v>
      </c>
      <c r="F348" s="20" t="s">
        <v>65</v>
      </c>
      <c r="G348" s="67">
        <f>IF(G344=0,"-",
G344+G345+G346+G347)</f>
        <v>0.40764509224917411</v>
      </c>
      <c r="H348" s="67">
        <f t="shared" ref="H348" si="71">IF(H344=0,"-",
H344+H345+H346+H347)</f>
        <v>0.30171315614182159</v>
      </c>
      <c r="I348" s="67">
        <f t="shared" ref="I348" si="72">IF(I344=0,"-",
I344+I345+I346+I347)</f>
        <v>0.29623958615907631</v>
      </c>
      <c r="J348" s="67">
        <f t="shared" ref="J348" si="73">IF(J344=0,"-",
J344+J345+J346+J347)</f>
        <v>0.32639205035156288</v>
      </c>
      <c r="K348" s="67">
        <f t="shared" ref="K348" si="74">IF(K344=0,"-",
K344+K345+K346+K347)</f>
        <v>0.32462814685723923</v>
      </c>
    </row>
    <row r="349" spans="2:11" outlineLevel="1">
      <c r="B349"/>
      <c r="G349" s="94" cm="1">
        <f t="array" ref="G349">IF(G348="-","-",
IF(ROUND(G348,8)=ROUND((((
SUMIFS(Calc_Variable_2[Ausnet],Calc_Variable_2[Customer type],Calc_Rates!$F348)+
SUMIFS(Calc_Variable_2[Ausnet],Calc_Variable_2[Customer type],"All")+G344)*(1+Calc_ROM_2[Ausnet]))*(1+GST)),8),0,1))</f>
        <v>0</v>
      </c>
      <c r="H349" s="94" cm="1">
        <f t="array" ref="H349">IF(H348="-","-",
IF(ROUND(H348,8)=ROUND((((
SUMIFS(Calc_Variable_2[Citipower],Calc_Variable_2[Customer type],Calc_Rates!$F348)+
SUMIFS(Calc_Variable_2[Citipower],Calc_Variable_2[Customer type],"All")+H344)*(1+Calc_ROM_2[Citipower]))*(1+GST)),8),0,1))</f>
        <v>0</v>
      </c>
      <c r="I349" s="94" cm="1">
        <f t="array" ref="I349">IF(I348="-","-",
IF(ROUND(I348,8)=ROUND((((
SUMIFS(Calc_Variable_2[Jemena],Calc_Variable_2[Customer type],Calc_Rates!$F348)+
SUMIFS(Calc_Variable_2[Jemena],Calc_Variable_2[Customer type],"All")+I344)*(1+Calc_ROM_2[Jemena]))*(1+GST)),8),0,1))</f>
        <v>0</v>
      </c>
      <c r="J349" s="94" cm="1">
        <f t="array" ref="J349">IF(J348="-","-",
IF(ROUND(J348,8)=ROUND((((
SUMIFS(Calc_Variable_2[Powercor],Calc_Variable_2[[Customer type]:[Customer type]],Calc_Rates!$F348)+
SUMIFS(Calc_Variable_2[Powercor],Calc_Variable_2[[Customer type]:[Customer type]],"All")+J344)*(1+Calc_ROM_2[Powercor]))*(1+GST)),8),0,1))</f>
        <v>0</v>
      </c>
      <c r="K349" s="94" cm="1">
        <f t="array" ref="K349">IF(K348="-","-",
IF(ROUND(K348,8)=ROUND((((
SUMIFS(Calc_Variable_2[United Energy],Calc_Variable_2[[Customer type]:[Customer type]],Calc_Rates!$F348)+
SUMIFS(Calc_Variable_2[United Energy],Calc_Variable_2[[Customer type]:[Customer type]],"All")+K344)*(1+Calc_ROM_2[United Energy]))*(1+GST)),8),0,1))</f>
        <v>0</v>
      </c>
    </row>
    <row r="350" spans="2:11" ht="15.5" outlineLevel="1">
      <c r="B350"/>
      <c r="C350" s="74" t="s">
        <v>73</v>
      </c>
    </row>
    <row r="351" spans="2:11" outlineLevel="1">
      <c r="B351"/>
      <c r="C351" s="20" t="s">
        <v>96</v>
      </c>
      <c r="D351" s="20" t="s">
        <v>7</v>
      </c>
      <c r="E351" s="20" t="s">
        <v>68</v>
      </c>
      <c r="F351" s="20" t="s">
        <v>65</v>
      </c>
      <c r="G351" s="55">
        <f>SUMIFS(Calc_NetworkV_2[Ausnet],Calc_NetworkV_2[[Cost item]:[Cost item]],$C350,Calc_NetworkV_2[[Customer type]:[Customer type]],$F351)</f>
        <v>4.7720000000000005E-2</v>
      </c>
      <c r="H351" s="55">
        <f>SUMIFS(Calc_NetworkV_2[Citipower],Calc_NetworkV_2[[Cost item]:[Cost item]],$C350,Calc_NetworkV_2[[Customer type]:[Customer type]],$F351)</f>
        <v>3.6699999999999997E-2</v>
      </c>
      <c r="I351" s="55">
        <f>SUMIFS(Calc_NetworkV_2[Jemena],Calc_NetworkV_2[[Cost item]:[Cost item]],$C350,Calc_NetworkV_2[[Customer type]:[Customer type]],$F351)</f>
        <v>3.9809999999999998E-2</v>
      </c>
      <c r="J351" s="55">
        <f>SUMIFS(Calc_NetworkV_2[Powercor],Calc_NetworkV_2[[Cost item]:[Cost item]],$C350,Calc_NetworkV_2[[Customer type]:[Customer type]],$F351)</f>
        <v>4.0500000000000001E-2</v>
      </c>
      <c r="K351" s="55">
        <f>SUMIFS(Calc_NetworkV_2[United Energy],Calc_NetworkV_2[[Cost item]:[Cost item]],$C350,Calc_NetworkV_2[[Customer type]:[Customer type]],$F351)</f>
        <v>4.0500000000000001E-2</v>
      </c>
    </row>
    <row r="352" spans="2:11" outlineLevel="1">
      <c r="B352"/>
      <c r="C352" s="20" t="s">
        <v>101</v>
      </c>
      <c r="D352" s="20" t="s">
        <v>7</v>
      </c>
      <c r="E352" s="20" t="s">
        <v>68</v>
      </c>
      <c r="F352" s="20" t="s">
        <v>65</v>
      </c>
      <c r="G352" s="55">
        <f>SUMIFS(Calc_Variable_2[Ausnet],Calc_Variable_2[[Customer type]:[Customer type]],"All")+SUMIFS(Calc_Variable_2[Ausnet],Calc_Variable_2[[Customer type]:[Customer type]],$F352)</f>
        <v>0.12039297764923537</v>
      </c>
      <c r="H352" s="55">
        <f>SUMIFS(Calc_Variable_2[Citipower],Calc_Variable_2[[Customer type]:[Customer type]],"All")+SUMIFS(Calc_Variable_2[Citipower],Calc_Variable_2[[Customer type]:[Customer type]],$F352)</f>
        <v>0.11166153093328561</v>
      </c>
      <c r="I352" s="55">
        <f>SUMIFS(Calc_Variable_2[Jemena],Calc_Variable_2[[Customer type]:[Customer type]],"All")+SUMIFS(Calc_Variable_2[Jemena],Calc_Variable_2[[Customer type]:[Customer type]],$F352)</f>
        <v>0.11615898782541438</v>
      </c>
      <c r="J352" s="55">
        <f>SUMIFS(Calc_Variable_2[Powercor],Calc_Variable_2[[Customer type]:[Customer type]],"All")+SUMIFS(Calc_Variable_2[Powercor],Calc_Variable_2[[Customer type]:[Customer type]],$F352)</f>
        <v>0.11811897941734066</v>
      </c>
      <c r="K352" s="55">
        <f>SUMIFS(Calc_Variable_2[United Energy],Calc_Variable_2[[Customer type]:[Customer type]],"All")+SUMIFS(Calc_Variable_2[United Energy],Calc_Variable_2[[Customer type]:[Customer type]],$F352)</f>
        <v>0.11610676833548166</v>
      </c>
    </row>
    <row r="353" spans="2:11" outlineLevel="1">
      <c r="B353"/>
      <c r="C353" s="20" t="s">
        <v>97</v>
      </c>
      <c r="D353" s="20" t="s">
        <v>7</v>
      </c>
      <c r="E353" s="20" t="s">
        <v>68</v>
      </c>
      <c r="F353" s="20" t="s">
        <v>65</v>
      </c>
      <c r="G353" s="66" cm="1">
        <f t="array" ref="G353">IF(G351=0,"-",
(G351+G352)*Calc_ROM_2[Ausnet])</f>
        <v>1.0154023850013818E-2</v>
      </c>
      <c r="H353" s="66" cm="1">
        <f t="array" ref="H353">IF(H351=0,"-",
(H351+H352)*Calc_ROM_2[Citipower])</f>
        <v>8.9610364683704504E-3</v>
      </c>
      <c r="I353" s="66" cm="1">
        <f t="array" ref="I353">IF(I351=0,"-",
(I351+I352)*Calc_ROM_2[Jemena])</f>
        <v>9.4205268646550284E-3</v>
      </c>
      <c r="J353" s="66" cm="1">
        <f t="array" ref="J353">IF(J351=0,"-",
(J351+J352)*Calc_ROM_2[Powercor])</f>
        <v>9.5805863568073756E-3</v>
      </c>
      <c r="K353" s="66" cm="1">
        <f t="array" ref="K353">IF(K351=0,"-",
(K351+K352)*Calc_ROM_2[United Energy])</f>
        <v>9.4590488074630923E-3</v>
      </c>
    </row>
    <row r="354" spans="2:11" outlineLevel="1">
      <c r="B354"/>
      <c r="C354" s="20" t="s">
        <v>98</v>
      </c>
      <c r="D354" s="20" t="s">
        <v>7</v>
      </c>
      <c r="E354" s="20" t="s">
        <v>68</v>
      </c>
      <c r="F354" s="20" t="s">
        <v>65</v>
      </c>
      <c r="G354" s="66">
        <f>IF(G351=0,"-",
(G351+G352+G353)*GST)</f>
        <v>1.7826700149924921E-2</v>
      </c>
      <c r="H354" s="66">
        <f>IF(H351=0,"-",
(H351+H352+H353)*GST)</f>
        <v>1.5732256740165606E-2</v>
      </c>
      <c r="I354" s="66">
        <f>IF(I351=0,"-",
(I351+I352+I353)*GST)</f>
        <v>1.6538951469006941E-2</v>
      </c>
      <c r="J354" s="66">
        <f>IF(J351=0,"-",
(J351+J352+J353)*GST)</f>
        <v>1.6819956577414804E-2</v>
      </c>
      <c r="K354" s="66">
        <f>IF(K351=0,"-",
(K351+K352+K353)*GST)</f>
        <v>1.6606581714294476E-2</v>
      </c>
    </row>
    <row r="355" spans="2:11" outlineLevel="1">
      <c r="B355"/>
      <c r="C355" s="20" t="str">
        <f>C350&amp;" charge"</f>
        <v>Off peak charge</v>
      </c>
      <c r="D355" s="20" t="s">
        <v>7</v>
      </c>
      <c r="E355" s="20" t="s">
        <v>68</v>
      </c>
      <c r="F355" s="20" t="s">
        <v>65</v>
      </c>
      <c r="G355" s="67">
        <f>IF(G351=0,"-",
G351+G352+G353+G354)</f>
        <v>0.19609370164917411</v>
      </c>
      <c r="H355" s="67">
        <f t="shared" ref="H355" si="75">IF(H351=0,"-",
H351+H352+H353+H354)</f>
        <v>0.17305482414182166</v>
      </c>
      <c r="I355" s="67">
        <f t="shared" ref="I355" si="76">IF(I351=0,"-",
I351+I352+I353+I354)</f>
        <v>0.18192846615907635</v>
      </c>
      <c r="J355" s="67">
        <f t="shared" ref="J355" si="77">IF(J351=0,"-",
J351+J352+J353+J354)</f>
        <v>0.18501952235156283</v>
      </c>
      <c r="K355" s="67">
        <f t="shared" ref="K355" si="78">IF(K351=0,"-",
K351+K352+K353+K354)</f>
        <v>0.18267239885723921</v>
      </c>
    </row>
    <row r="356" spans="2:11" outlineLevel="1">
      <c r="B356"/>
      <c r="G356" s="94" cm="1">
        <f t="array" ref="G356">IF(G355="-","-",
IF(ROUND(G355,8)=ROUND((((
SUMIFS(Calc_Variable_2[Ausnet],Calc_Variable_2[Customer type],Calc_Rates!$F355)+
SUMIFS(Calc_Variable_2[Ausnet],Calc_Variable_2[Customer type],"All")+G351)*(1+Calc_ROM_2[Ausnet]))*(1+GST)),8),0,1))</f>
        <v>0</v>
      </c>
      <c r="H356" s="94" cm="1">
        <f t="array" ref="H356">IF(H355="-","-",
IF(ROUND(H355,8)=ROUND((((
SUMIFS(Calc_Variable_2[Citipower],Calc_Variable_2[Customer type],Calc_Rates!$F355)+
SUMIFS(Calc_Variable_2[Citipower],Calc_Variable_2[Customer type],"All")+H351)*(1+Calc_ROM_2[Citipower]))*(1+GST)),8),0,1))</f>
        <v>0</v>
      </c>
      <c r="I356" s="94" cm="1">
        <f t="array" ref="I356">IF(I355="-","-",
IF(ROUND(I355,8)=ROUND((((
SUMIFS(Calc_Variable_2[Jemena],Calc_Variable_2[Customer type],Calc_Rates!$F355)+
SUMIFS(Calc_Variable_2[Jemena],Calc_Variable_2[Customer type],"All")+I351)*(1+Calc_ROM_2[Jemena]))*(1+GST)),8),0,1))</f>
        <v>0</v>
      </c>
      <c r="J356" s="94" cm="1">
        <f t="array" ref="J356">IF(J355="-","-",
IF(ROUND(J355,8)=ROUND((((
SUMIFS(Calc_Variable_2[Powercor],Calc_Variable_2[[Customer type]:[Customer type]],Calc_Rates!$F355)+
SUMIFS(Calc_Variable_2[Powercor],Calc_Variable_2[[Customer type]:[Customer type]],"All")+J351)*(1+Calc_ROM_2[Powercor]))*(1+GST)),8),0,1))</f>
        <v>0</v>
      </c>
      <c r="K356" s="94" cm="1">
        <f t="array" ref="K356">IF(K355="-","-",
IF(ROUND(K355,8)=ROUND((((
SUMIFS(Calc_Variable_2[United Energy],Calc_Variable_2[[Customer type]:[Customer type]],Calc_Rates!$F355)+
SUMIFS(Calc_Variable_2[United Energy],Calc_Variable_2[[Customer type]:[Customer type]],"All")+K351)*(1+Calc_ROM_2[United Energy]))*(1+GST)),8),0,1))</f>
        <v>0</v>
      </c>
    </row>
    <row r="357" spans="2:11" ht="15.5" outlineLevel="1">
      <c r="B357"/>
      <c r="C357" s="74" t="s">
        <v>74</v>
      </c>
    </row>
    <row r="358" spans="2:11" outlineLevel="1">
      <c r="B358"/>
      <c r="C358" s="20" t="s">
        <v>96</v>
      </c>
      <c r="D358" s="20" t="s">
        <v>7</v>
      </c>
      <c r="E358" s="20" t="s">
        <v>68</v>
      </c>
      <c r="F358" s="20" t="s">
        <v>65</v>
      </c>
      <c r="G358" s="55">
        <f>SUMIFS(Calc_NetworkV_2[Ausnet],Calc_NetworkV_2[[Cost item]:[Cost item]],$C357,Calc_NetworkV_2[[Customer type]:[Customer type]],$F358)</f>
        <v>4.7466999999999995E-2</v>
      </c>
      <c r="H358" s="55">
        <f>SUMIFS(Calc_NetworkV_2[Citipower],Calc_NetworkV_2[[Cost item]:[Cost item]],$C357,Calc_NetworkV_2[[Customer type]:[Customer type]],$F358)</f>
        <v>2.2200000000000001E-2</v>
      </c>
      <c r="I358" s="55">
        <f>SUMIFS(Calc_NetworkV_2[Jemena],Calc_NetworkV_2[[Cost item]:[Cost item]],$C357,Calc_NetworkV_2[[Customer type]:[Customer type]],$F358)</f>
        <v>3.4479999999999997E-2</v>
      </c>
      <c r="J358" s="55">
        <f>SUMIFS(Calc_NetworkV_2[Powercor],Calc_NetworkV_2[[Cost item]:[Cost item]],$C357,Calc_NetworkV_2[[Customer type]:[Customer type]],$F358)</f>
        <v>2.35E-2</v>
      </c>
      <c r="K358" s="55">
        <f>SUMIFS(Calc_NetworkV_2[United Energy],Calc_NetworkV_2[[Cost item]:[Cost item]],$C357,Calc_NetworkV_2[[Customer type]:[Customer type]],$F358)</f>
        <v>2.3399999999999997E-2</v>
      </c>
    </row>
    <row r="359" spans="2:11" outlineLevel="1">
      <c r="B359"/>
      <c r="C359" s="20" t="s">
        <v>101</v>
      </c>
      <c r="D359" s="20" t="s">
        <v>7</v>
      </c>
      <c r="E359" s="20" t="s">
        <v>68</v>
      </c>
      <c r="F359" s="20" t="s">
        <v>65</v>
      </c>
      <c r="G359" s="55">
        <f>SUMIFS(Calc_Variable_2[Ausnet],Calc_Variable_2[[Customer type]:[Customer type]],"All")+SUMIFS(Calc_Variable_2[Ausnet],Calc_Variable_2[[Customer type]:[Customer type]],$F359)</f>
        <v>0.12039297764923537</v>
      </c>
      <c r="H359" s="55">
        <f>SUMIFS(Calc_Variable_2[Citipower],Calc_Variable_2[[Customer type]:[Customer type]],"All")+SUMIFS(Calc_Variable_2[Citipower],Calc_Variable_2[[Customer type]:[Customer type]],$F359)</f>
        <v>0.11166153093328561</v>
      </c>
      <c r="I359" s="55">
        <f>SUMIFS(Calc_Variable_2[Jemena],Calc_Variable_2[[Customer type]:[Customer type]],"All")+SUMIFS(Calc_Variable_2[Jemena],Calc_Variable_2[[Customer type]:[Customer type]],$F359)</f>
        <v>0.11615898782541438</v>
      </c>
      <c r="J359" s="55">
        <f>SUMIFS(Calc_Variable_2[Powercor],Calc_Variable_2[[Customer type]:[Customer type]],"All")+SUMIFS(Calc_Variable_2[Powercor],Calc_Variable_2[[Customer type]:[Customer type]],$F359)</f>
        <v>0.11811897941734066</v>
      </c>
      <c r="K359" s="55">
        <f>SUMIFS(Calc_Variable_2[United Energy],Calc_Variable_2[[Customer type]:[Customer type]],"All")+SUMIFS(Calc_Variable_2[United Energy],Calc_Variable_2[[Customer type]:[Customer type]],$F359)</f>
        <v>0.11610676833548166</v>
      </c>
    </row>
    <row r="360" spans="2:11" outlineLevel="1">
      <c r="B360"/>
      <c r="C360" s="20" t="s">
        <v>97</v>
      </c>
      <c r="D360" s="20" t="s">
        <v>7</v>
      </c>
      <c r="E360" s="20" t="s">
        <v>68</v>
      </c>
      <c r="F360" s="20" t="s">
        <v>65</v>
      </c>
      <c r="G360" s="66" cm="1">
        <f t="array" ref="G360">IF(G358=0,"-",
(G358+G359)*Calc_ROM_2[Ausnet])</f>
        <v>1.0138742650013818E-2</v>
      </c>
      <c r="H360" s="66" cm="1">
        <f t="array" ref="H360">IF(H358=0,"-",
(H358+H359)*Calc_ROM_2[Citipower])</f>
        <v>8.0852364683704527E-3</v>
      </c>
      <c r="I360" s="66" cm="1">
        <f t="array" ref="I360">IF(I358=0,"-",
(I358+I359)*Calc_ROM_2[Jemena])</f>
        <v>9.0985948646550279E-3</v>
      </c>
      <c r="J360" s="66" cm="1">
        <f t="array" ref="J360">IF(J358=0,"-",
(J358+J359)*Calc_ROM_2[Powercor])</f>
        <v>8.553786356807376E-3</v>
      </c>
      <c r="K360" s="66" cm="1">
        <f t="array" ref="K360">IF(K358=0,"-",
(K358+K359)*Calc_ROM_2[United Energy])</f>
        <v>8.4262088074630922E-3</v>
      </c>
    </row>
    <row r="361" spans="2:11" outlineLevel="1">
      <c r="B361"/>
      <c r="C361" s="20" t="s">
        <v>98</v>
      </c>
      <c r="D361" s="20" t="s">
        <v>7</v>
      </c>
      <c r="E361" s="20" t="s">
        <v>68</v>
      </c>
      <c r="F361" s="20" t="s">
        <v>65</v>
      </c>
      <c r="G361" s="66">
        <f>IF(G358=0,"-",
(G358+G359+G360)*GST)</f>
        <v>1.7799872029924921E-2</v>
      </c>
      <c r="H361" s="66">
        <f>IF(H358=0,"-",
(H358+H359+H360)*GST)</f>
        <v>1.4194676740165607E-2</v>
      </c>
      <c r="I361" s="66">
        <f>IF(I358=0,"-",
(I358+I359+I360)*GST)</f>
        <v>1.5973758269006943E-2</v>
      </c>
      <c r="J361" s="66">
        <f>IF(J358=0,"-",
(J358+J359+J360)*GST)</f>
        <v>1.5017276577414805E-2</v>
      </c>
      <c r="K361" s="66">
        <f>IF(K358=0,"-",
(K358+K359+K360)*GST)</f>
        <v>1.4793297714294475E-2</v>
      </c>
    </row>
    <row r="362" spans="2:11" outlineLevel="1">
      <c r="B362"/>
      <c r="C362" s="20" t="str">
        <f>C357&amp;" charge"</f>
        <v>Controlled load charge</v>
      </c>
      <c r="D362" s="20" t="s">
        <v>7</v>
      </c>
      <c r="E362" s="20" t="s">
        <v>68</v>
      </c>
      <c r="F362" s="20" t="s">
        <v>65</v>
      </c>
      <c r="G362" s="67">
        <f>IF(G358=0,"-",
G358+G359+G360+G361)</f>
        <v>0.19579859232917413</v>
      </c>
      <c r="H362" s="67">
        <f t="shared" ref="H362" si="79">IF(H358=0,"-",
H358+H359+H360+H361)</f>
        <v>0.15614144414182168</v>
      </c>
      <c r="I362" s="67">
        <f t="shared" ref="I362" si="80">IF(I358=0,"-",
I358+I359+I360+I361)</f>
        <v>0.17571134095907634</v>
      </c>
      <c r="J362" s="67">
        <f t="shared" ref="J362" si="81">IF(J358=0,"-",
J358+J359+J360+J361)</f>
        <v>0.16519004235156284</v>
      </c>
      <c r="K362" s="67">
        <f t="shared" ref="K362" si="82">IF(K358=0,"-",
K358+K359+K360+K361)</f>
        <v>0.1627262748572392</v>
      </c>
    </row>
    <row r="363" spans="2:11" outlineLevel="1">
      <c r="B363"/>
      <c r="G363" s="94" cm="1">
        <f t="array" ref="G363">IF(G362="-","-",
IF(ROUND(G362,8)=ROUND((((
SUMIFS(Calc_Variable_2[Ausnet],Calc_Variable_2[Customer type],Calc_Rates!$F362)+
SUMIFS(Calc_Variable_2[Ausnet],Calc_Variable_2[Customer type],"All")+G358)*(1+Calc_ROM_2[Ausnet]))*(1+GST)),8),0,1))</f>
        <v>0</v>
      </c>
      <c r="H363" s="94" cm="1">
        <f t="array" ref="H363">IF(H362="-","-",
IF(ROUND(H362,8)=ROUND((((
SUMIFS(Calc_Variable_2[Citipower],Calc_Variable_2[Customer type],Calc_Rates!$F362)+
SUMIFS(Calc_Variable_2[Citipower],Calc_Variable_2[Customer type],"All")+H358)*(1+Calc_ROM_2[Citipower]))*(1+GST)),8),0,1))</f>
        <v>0</v>
      </c>
      <c r="I363" s="94" cm="1">
        <f t="array" ref="I363">IF(I362="-","-",
IF(ROUND(I362,8)=ROUND((((
SUMIFS(Calc_Variable_2[Jemena],Calc_Variable_2[Customer type],Calc_Rates!$F362)+
SUMIFS(Calc_Variable_2[Jemena],Calc_Variable_2[Customer type],"All")+I358)*(1+Calc_ROM_2[Jemena]))*(1+GST)),8),0,1))</f>
        <v>0</v>
      </c>
      <c r="J363" s="94" cm="1">
        <f t="array" ref="J363">IF(J362="-","-",
IF(ROUND(J362,8)=ROUND((((
SUMIFS(Calc_Variable_2[Powercor],Calc_Variable_2[[Customer type]:[Customer type]],Calc_Rates!$F362)+
SUMIFS(Calc_Variable_2[Powercor],Calc_Variable_2[[Customer type]:[Customer type]],"All")+J358)*(1+Calc_ROM_2[Powercor]))*(1+GST)),8),0,1))</f>
        <v>0</v>
      </c>
      <c r="K363" s="94" cm="1">
        <f t="array" ref="K363">IF(K362="-","-",
IF(ROUND(K362,8)=ROUND((((
SUMIFS(Calc_Variable_2[United Energy],Calc_Variable_2[[Customer type]:[Customer type]],Calc_Rates!$F362)+
SUMIFS(Calc_Variable_2[United Energy],Calc_Variable_2[[Customer type]:[Customer type]],"All")+K358)*(1+Calc_ROM_2[United Energy]))*(1+GST)),8),0,1))</f>
        <v>0</v>
      </c>
    </row>
    <row r="364" spans="2:11" ht="15.5">
      <c r="B364"/>
      <c r="C364" s="26" t="s">
        <v>109</v>
      </c>
    </row>
    <row r="365" spans="2:11" ht="15.5" outlineLevel="1">
      <c r="B365"/>
      <c r="C365" s="1" t="s">
        <v>107</v>
      </c>
    </row>
    <row r="366" spans="2:11" ht="15.5" outlineLevel="1">
      <c r="B366"/>
      <c r="C366" s="74" t="s">
        <v>67</v>
      </c>
    </row>
    <row r="367" spans="2:11" outlineLevel="1">
      <c r="B367"/>
      <c r="C367" s="20" t="s">
        <v>96</v>
      </c>
      <c r="D367" s="20" t="s">
        <v>7</v>
      </c>
      <c r="E367" s="20" t="s">
        <v>68</v>
      </c>
      <c r="F367" s="20" t="s">
        <v>66</v>
      </c>
      <c r="G367" s="55">
        <f>SUMIFS(Calc_NetworkV_2[Ausnet],Calc_NetworkV_2[[Cost item]:[Cost item]],$C366,Calc_NetworkV_2[[Customer type]:[Customer type]],$F367)</f>
        <v>0.17498000000000002</v>
      </c>
      <c r="H367" s="55">
        <f>SUMIFS(Calc_NetworkV_2[Citipower],Calc_NetworkV_2[[Cost item]:[Cost item]],$C366,Calc_NetworkV_2[[Customer type]:[Customer type]],$F367)</f>
        <v>0</v>
      </c>
      <c r="I367" s="55">
        <f>SUMIFS(Calc_NetworkV_2[Jemena],Calc_NetworkV_2[[Cost item]:[Cost item]],$C366,Calc_NetworkV_2[[Customer type]:[Customer type]],$F367)</f>
        <v>0</v>
      </c>
      <c r="J367" s="55">
        <f>SUMIFS(Calc_NetworkV_2[Powercor],Calc_NetworkV_2[[Cost item]:[Cost item]],$C366,Calc_NetworkV_2[[Customer type]:[Customer type]],$F367)</f>
        <v>0</v>
      </c>
      <c r="K367" s="55">
        <f>SUMIFS(Calc_NetworkV_2[United Energy],Calc_NetworkV_2[[Cost item]:[Cost item]],$C366,Calc_NetworkV_2[[Customer type]:[Customer type]],$F367)</f>
        <v>0</v>
      </c>
    </row>
    <row r="368" spans="2:11" outlineLevel="1">
      <c r="B368"/>
      <c r="C368" s="20" t="s">
        <v>101</v>
      </c>
      <c r="D368" s="20" t="s">
        <v>7</v>
      </c>
      <c r="E368" s="20" t="s">
        <v>68</v>
      </c>
      <c r="F368" s="20" t="s">
        <v>66</v>
      </c>
      <c r="G368" s="55">
        <f>SUMIFS(Calc_Variable_2[Ausnet],Calc_Variable_2[[Customer type]:[Customer type]],"All")+SUMIFS(Calc_Variable_2[Ausnet],Calc_Variable_2[[Customer type]:[Customer type]],$F368)</f>
        <v>0.1082750274634344</v>
      </c>
      <c r="H368" s="55">
        <f>SUMIFS(Calc_Variable_2[Citipower],Calc_Variable_2[[Customer type]:[Customer type]],"All")+SUMIFS(Calc_Variable_2[Citipower],Calc_Variable_2[[Customer type]:[Customer type]],$F368)</f>
        <v>0.10506803263168561</v>
      </c>
      <c r="I368" s="55">
        <f>SUMIFS(Calc_Variable_2[Jemena],Calc_Variable_2[[Customer type]:[Customer type]],"All")+SUMIFS(Calc_Variable_2[Jemena],Calc_Variable_2[[Customer type]:[Customer type]],$F368)</f>
        <v>0.10279367655771439</v>
      </c>
      <c r="J368" s="55">
        <f>SUMIFS(Calc_Variable_2[Powercor],Calc_Variable_2[[Customer type]:[Customer type]],"All")+SUMIFS(Calc_Variable_2[Powercor],Calc_Variable_2[[Customer type]:[Customer type]],$F368)</f>
        <v>0.10673928616460317</v>
      </c>
      <c r="K368" s="55">
        <f>SUMIFS(Calc_Variable_2[United Energy],Calc_Variable_2[[Customer type]:[Customer type]],"All")+SUMIFS(Calc_Variable_2[United Energy],Calc_Variable_2[[Customer type]:[Customer type]],$F368)</f>
        <v>0.10361320339741123</v>
      </c>
    </row>
    <row r="369" spans="2:11" outlineLevel="1">
      <c r="B369"/>
      <c r="C369" s="20" t="s">
        <v>97</v>
      </c>
      <c r="D369" s="20" t="s">
        <v>7</v>
      </c>
      <c r="E369" s="20" t="s">
        <v>68</v>
      </c>
      <c r="F369" s="20" t="s">
        <v>66</v>
      </c>
      <c r="G369" s="66" cm="1">
        <f t="array" ref="G369">IF(G367=0,"-",
(G367+G368)*Calc_ROM_2[Ausnet])</f>
        <v>1.7108603658791442E-2</v>
      </c>
      <c r="H369" s="66" t="str" cm="1">
        <f t="array" ref="H369">IF(H367=0,"-",
(H367+H368)*Calc_ROM_2[Citipower])</f>
        <v>-</v>
      </c>
      <c r="I369" s="66" t="str" cm="1">
        <f t="array" ref="I369">IF(I367=0,"-",
(I367+I368)*Calc_ROM_2[Jemena])</f>
        <v>-</v>
      </c>
      <c r="J369" s="66" t="str" cm="1">
        <f t="array" ref="J369">IF(J367=0,"-",
(J367+J368)*Calc_ROM_2[Powercor])</f>
        <v>-</v>
      </c>
      <c r="K369" s="66" t="str" cm="1">
        <f t="array" ref="K369">IF(K367=0,"-",
(K367+K368)*Calc_ROM_2[United Energy])</f>
        <v>-</v>
      </c>
    </row>
    <row r="370" spans="2:11" outlineLevel="1">
      <c r="B370"/>
      <c r="C370" s="20" t="s">
        <v>98</v>
      </c>
      <c r="D370" s="20" t="s">
        <v>7</v>
      </c>
      <c r="E370" s="20" t="s">
        <v>68</v>
      </c>
      <c r="F370" s="20" t="s">
        <v>66</v>
      </c>
      <c r="G370" s="66">
        <f>IF(G367=0,"-",
(G367+G368+G369)*GST)</f>
        <v>3.0036363112222592E-2</v>
      </c>
      <c r="H370" s="66" t="str">
        <f>IF(H367=0,"-",
(H367+H368+H369)*GST)</f>
        <v>-</v>
      </c>
      <c r="I370" s="66" t="str">
        <f>IF(I367=0,"-",
(I367+I368+I369)*GST)</f>
        <v>-</v>
      </c>
      <c r="J370" s="66" t="str">
        <f>IF(J367=0,"-",
(J367+J368+J369)*GST)</f>
        <v>-</v>
      </c>
      <c r="K370" s="66" t="str">
        <f>IF(K367=0,"-",
(K367+K368+K369)*GST)</f>
        <v>-</v>
      </c>
    </row>
    <row r="371" spans="2:11" outlineLevel="1">
      <c r="B371"/>
      <c r="C371" s="20" t="str">
        <f>C366&amp;" charge"</f>
        <v>Block 1 charge</v>
      </c>
      <c r="D371" s="20" t="s">
        <v>7</v>
      </c>
      <c r="E371" s="20" t="s">
        <v>68</v>
      </c>
      <c r="F371" s="20" t="s">
        <v>66</v>
      </c>
      <c r="G371" s="67">
        <f>IF(G367=0,"-",
G367+G368+G369+G370)</f>
        <v>0.33039999423444849</v>
      </c>
      <c r="H371" s="67" t="str">
        <f t="shared" ref="H371" si="83">IF(H367=0,"-",
H367+H368+H369+H370)</f>
        <v>-</v>
      </c>
      <c r="I371" s="67" t="str">
        <f t="shared" ref="I371" si="84">IF(I367=0,"-",
I367+I368+I369+I370)</f>
        <v>-</v>
      </c>
      <c r="J371" s="67" t="str">
        <f t="shared" ref="J371" si="85">IF(J367=0,"-",
J367+J368+J369+J370)</f>
        <v>-</v>
      </c>
      <c r="K371" s="67" t="str">
        <f t="shared" ref="K371" si="86">IF(K367=0,"-",
K367+K368+K369+K370)</f>
        <v>-</v>
      </c>
    </row>
    <row r="372" spans="2:11" outlineLevel="1">
      <c r="B372"/>
      <c r="G372" s="94" cm="1">
        <f t="array" ref="G372">IF(G371="-","-",
IF(ROUND(G371,8)=ROUND((((
SUMIFS(Calc_Variable_2[Ausnet],Calc_Variable_2[Customer type],Calc_Rates!$F371)+
SUMIFS(Calc_Variable_2[Ausnet],Calc_Variable_2[Customer type],"All")+G367)*(1+Calc_ROM_2[Ausnet]))*(1+GST)),8),0,1))</f>
        <v>0</v>
      </c>
      <c r="H372" s="94" t="str" cm="1">
        <f t="array" ref="H372">IF(H371="-","-",
IF(ROUND(H371,8)=ROUND((((
SUMIFS(Calc_Variable_2[Citipower],Calc_Variable_2[Customer type],Calc_Rates!$F371)+
SUMIFS(Calc_Variable_2[Citipower],Calc_Variable_2[Customer type],"All")+H367)*(1+Calc_ROM_2[Citipower]))*(1+GST)),8),0,1))</f>
        <v>-</v>
      </c>
      <c r="I372" s="94" t="str" cm="1">
        <f t="array" ref="I372">IF(I371="-","-",
IF(ROUND(I371,8)=ROUND((((
SUMIFS(Calc_Variable_2[Jemena],Calc_Variable_2[Customer type],Calc_Rates!$F371)+
SUMIFS(Calc_Variable_2[Jemena],Calc_Variable_2[Customer type],"All")+I367)*(1+Calc_ROM_2[Jemena]))*(1+GST)),8),0,1))</f>
        <v>-</v>
      </c>
      <c r="J372" s="94" t="str" cm="1">
        <f t="array" ref="J372">IF(J371="-","-",
IF(ROUND(J371,8)=ROUND((((
SUMIFS(Calc_Variable_2[Powercor],Calc_Variable_2[[Customer type]:[Customer type]],Calc_Rates!$F371)+
SUMIFS(Calc_Variable_2[Powercor],Calc_Variable_2[[Customer type]:[Customer type]],"All")+J367)*(1+Calc_ROM_2[Powercor]))*(1+GST)),8),0,1))</f>
        <v>-</v>
      </c>
      <c r="K372" s="94" t="str" cm="1">
        <f t="array" ref="K372">IF(K371="-","-",
IF(ROUND(K371,8)=ROUND((((
SUMIFS(Calc_Variable_2[United Energy],Calc_Variable_2[[Customer type]:[Customer type]],Calc_Rates!$F371)+
SUMIFS(Calc_Variable_2[United Energy],Calc_Variable_2[[Customer type]:[Customer type]],"All")+K367)*(1+Calc_ROM_2[United Energy]))*(1+GST)),8),0,1))</f>
        <v>-</v>
      </c>
    </row>
    <row r="373" spans="2:11" ht="15.5" outlineLevel="1">
      <c r="B373"/>
      <c r="C373" s="74" t="s">
        <v>69</v>
      </c>
    </row>
    <row r="374" spans="2:11" outlineLevel="1">
      <c r="B374"/>
      <c r="C374" s="20" t="s">
        <v>96</v>
      </c>
      <c r="D374" s="20" t="s">
        <v>7</v>
      </c>
      <c r="E374" s="20" t="s">
        <v>68</v>
      </c>
      <c r="F374" s="20" t="s">
        <v>66</v>
      </c>
      <c r="G374" s="55">
        <f>SUMIFS(Calc_NetworkV_2[Ausnet],Calc_NetworkV_2[[Cost item]:[Cost item]],$C373,Calc_NetworkV_2[[Customer type]:[Customer type]],$F374)</f>
        <v>0.20536599999999999</v>
      </c>
      <c r="H374" s="55">
        <f>SUMIFS(Calc_NetworkV_2[Citipower],Calc_NetworkV_2[[Cost item]:[Cost item]],$C373,Calc_NetworkV_2[[Customer type]:[Customer type]],$F374)</f>
        <v>0</v>
      </c>
      <c r="I374" s="55">
        <f>SUMIFS(Calc_NetworkV_2[Jemena],Calc_NetworkV_2[[Cost item]:[Cost item]],$C373,Calc_NetworkV_2[[Customer type]:[Customer type]],$F374)</f>
        <v>0</v>
      </c>
      <c r="J374" s="55">
        <f>SUMIFS(Calc_NetworkV_2[Powercor],Calc_NetworkV_2[[Cost item]:[Cost item]],$C373,Calc_NetworkV_2[[Customer type]:[Customer type]],$F374)</f>
        <v>0</v>
      </c>
      <c r="K374" s="55">
        <f>SUMIFS(Calc_NetworkV_2[United Energy],Calc_NetworkV_2[[Cost item]:[Cost item]],$C373,Calc_NetworkV_2[[Customer type]:[Customer type]],$F374)</f>
        <v>0</v>
      </c>
    </row>
    <row r="375" spans="2:11" outlineLevel="1">
      <c r="B375"/>
      <c r="C375" s="20" t="s">
        <v>101</v>
      </c>
      <c r="D375" s="20" t="s">
        <v>7</v>
      </c>
      <c r="E375" s="20" t="s">
        <v>68</v>
      </c>
      <c r="F375" s="20" t="s">
        <v>66</v>
      </c>
      <c r="G375" s="55">
        <f>SUMIFS(Calc_Variable_2[Ausnet],Calc_Variable_2[[Customer type]:[Customer type]],"All")+SUMIFS(Calc_Variable_2[Ausnet],Calc_Variable_2[[Customer type]:[Customer type]],$F375)</f>
        <v>0.1082750274634344</v>
      </c>
      <c r="H375" s="55">
        <f>SUMIFS(Calc_Variable_2[Citipower],Calc_Variable_2[[Customer type]:[Customer type]],"All")+SUMIFS(Calc_Variable_2[Citipower],Calc_Variable_2[[Customer type]:[Customer type]],$F375)</f>
        <v>0.10506803263168561</v>
      </c>
      <c r="I375" s="55">
        <f>SUMIFS(Calc_Variable_2[Jemena],Calc_Variable_2[[Customer type]:[Customer type]],"All")+SUMIFS(Calc_Variable_2[Jemena],Calc_Variable_2[[Customer type]:[Customer type]],$F375)</f>
        <v>0.10279367655771439</v>
      </c>
      <c r="J375" s="55">
        <f>SUMIFS(Calc_Variable_2[Powercor],Calc_Variable_2[[Customer type]:[Customer type]],"All")+SUMIFS(Calc_Variable_2[Powercor],Calc_Variable_2[[Customer type]:[Customer type]],$F375)</f>
        <v>0.10673928616460317</v>
      </c>
      <c r="K375" s="55">
        <f>SUMIFS(Calc_Variable_2[United Energy],Calc_Variable_2[[Customer type]:[Customer type]],"All")+SUMIFS(Calc_Variable_2[United Energy],Calc_Variable_2[[Customer type]:[Customer type]],$F375)</f>
        <v>0.10361320339741123</v>
      </c>
    </row>
    <row r="376" spans="2:11" outlineLevel="1">
      <c r="B376"/>
      <c r="C376" s="20" t="s">
        <v>97</v>
      </c>
      <c r="D376" s="20" t="s">
        <v>7</v>
      </c>
      <c r="E376" s="20" t="s">
        <v>68</v>
      </c>
      <c r="F376" s="20" t="s">
        <v>66</v>
      </c>
      <c r="G376" s="66" cm="1">
        <f t="array" ref="G376">IF(G374=0,"-",
(G374+G375)*Calc_ROM_2[Ausnet])</f>
        <v>1.8943918058791438E-2</v>
      </c>
      <c r="H376" s="66" t="str" cm="1">
        <f t="array" ref="H376">IF(H374=0,"-",
(H374+H375)*Calc_ROM_2[Citipower])</f>
        <v>-</v>
      </c>
      <c r="I376" s="66" t="str" cm="1">
        <f t="array" ref="I376">IF(I374=0,"-",
(I374+I375)*Calc_ROM_2[Jemena])</f>
        <v>-</v>
      </c>
      <c r="J376" s="66" t="str" cm="1">
        <f t="array" ref="J376">IF(J374=0,"-",
(J374+J375)*Calc_ROM_2[Powercor])</f>
        <v>-</v>
      </c>
      <c r="K376" s="66" t="str" cm="1">
        <f t="array" ref="K376">IF(K374=0,"-",
(K374+K375)*Calc_ROM_2[United Energy])</f>
        <v>-</v>
      </c>
    </row>
    <row r="377" spans="2:11" outlineLevel="1">
      <c r="B377"/>
      <c r="C377" s="20" t="s">
        <v>98</v>
      </c>
      <c r="D377" s="20" t="s">
        <v>7</v>
      </c>
      <c r="E377" s="20" t="s">
        <v>68</v>
      </c>
      <c r="F377" s="20" t="s">
        <v>66</v>
      </c>
      <c r="G377" s="66">
        <f>IF(G374=0,"-",
(G374+G375+G376)*GST)</f>
        <v>3.325849455222258E-2</v>
      </c>
      <c r="H377" s="66" t="str">
        <f>IF(H374=0,"-",
(H374+H375+H376)*GST)</f>
        <v>-</v>
      </c>
      <c r="I377" s="66" t="str">
        <f>IF(I374=0,"-",
(I374+I375+I376)*GST)</f>
        <v>-</v>
      </c>
      <c r="J377" s="66" t="str">
        <f>IF(J374=0,"-",
(J374+J375+J376)*GST)</f>
        <v>-</v>
      </c>
      <c r="K377" s="66" t="str">
        <f>IF(K374=0,"-",
(K374+K375+K376)*GST)</f>
        <v>-</v>
      </c>
    </row>
    <row r="378" spans="2:11" outlineLevel="1">
      <c r="B378"/>
      <c r="C378" s="20" t="str">
        <f>C373&amp;" charge"</f>
        <v>Balance charge</v>
      </c>
      <c r="D378" s="20" t="s">
        <v>7</v>
      </c>
      <c r="E378" s="20" t="s">
        <v>68</v>
      </c>
      <c r="F378" s="20" t="s">
        <v>66</v>
      </c>
      <c r="G378" s="67">
        <f>IF(G374=0,"-",
G374+G375+G376+G377)</f>
        <v>0.36584344007444836</v>
      </c>
      <c r="H378" s="67" t="str">
        <f t="shared" ref="H378" si="87">IF(H374=0,"-",
H374+H375+H376+H377)</f>
        <v>-</v>
      </c>
      <c r="I378" s="67" t="str">
        <f t="shared" ref="I378" si="88">IF(I374=0,"-",
I374+I375+I376+I377)</f>
        <v>-</v>
      </c>
      <c r="J378" s="67" t="str">
        <f t="shared" ref="J378" si="89">IF(J374=0,"-",
J374+J375+J376+J377)</f>
        <v>-</v>
      </c>
      <c r="K378" s="67" t="str">
        <f t="shared" ref="K378" si="90">IF(K374=0,"-",
K374+K375+K376+K377)</f>
        <v>-</v>
      </c>
    </row>
    <row r="379" spans="2:11" outlineLevel="1">
      <c r="B379"/>
      <c r="G379" s="94" cm="1">
        <f t="array" ref="G379">IF(G378="-","-",
IF(ROUND(G378,8)=ROUND((((
SUMIFS(Calc_Variable_2[Ausnet],Calc_Variable_2[Customer type],Calc_Rates!$F378)+
SUMIFS(Calc_Variable_2[Ausnet],Calc_Variable_2[Customer type],"All")+G374)*(1+Calc_ROM_2[Ausnet]))*(1+GST)),8),0,1))</f>
        <v>0</v>
      </c>
      <c r="H379" s="94" t="str" cm="1">
        <f t="array" ref="H379">IF(H378="-","-",
IF(ROUND(H378,8)=ROUND((((
SUMIFS(Calc_Variable_2[Citipower],Calc_Variable_2[Customer type],Calc_Rates!$F378)+
SUMIFS(Calc_Variable_2[Citipower],Calc_Variable_2[Customer type],"All")+H374)*(1+Calc_ROM_2[Citipower]))*(1+GST)),8),0,1))</f>
        <v>-</v>
      </c>
      <c r="I379" s="94" t="str" cm="1">
        <f t="array" ref="I379">IF(I378="-","-",
IF(ROUND(I378,8)=ROUND((((
SUMIFS(Calc_Variable_2[Jemena],Calc_Variable_2[Customer type],Calc_Rates!$F378)+
SUMIFS(Calc_Variable_2[Jemena],Calc_Variable_2[Customer type],"All")+I374)*(1+Calc_ROM_2[Jemena]))*(1+GST)),8),0,1))</f>
        <v>-</v>
      </c>
      <c r="J379" s="94" t="str" cm="1">
        <f t="array" ref="J379">IF(J378="-","-",
IF(ROUND(J378,8)=ROUND((((
SUMIFS(Calc_Variable_2[Powercor],Calc_Variable_2[[Customer type]:[Customer type]],Calc_Rates!$F378)+
SUMIFS(Calc_Variable_2[Powercor],Calc_Variable_2[[Customer type]:[Customer type]],"All")+J374)*(1+Calc_ROM_2[Powercor]))*(1+GST)),8),0,1))</f>
        <v>-</v>
      </c>
      <c r="K379" s="94" t="str" cm="1">
        <f t="array" ref="K379">IF(K378="-","-",
IF(ROUND(K378,8)=ROUND((((
SUMIFS(Calc_Variable_2[United Energy],Calc_Variable_2[[Customer type]:[Customer type]],Calc_Rates!$F378)+
SUMIFS(Calc_Variable_2[United Energy],Calc_Variable_2[[Customer type]:[Customer type]],"All")+K374)*(1+Calc_ROM_2[United Energy]))*(1+GST)),8),0,1))</f>
        <v>-</v>
      </c>
    </row>
    <row r="380" spans="2:11" ht="15.5" outlineLevel="1">
      <c r="B380"/>
      <c r="C380" s="74" t="s">
        <v>70</v>
      </c>
    </row>
    <row r="381" spans="2:11" outlineLevel="1">
      <c r="B381"/>
      <c r="C381" s="20" t="s">
        <v>96</v>
      </c>
      <c r="D381" s="20" t="s">
        <v>7</v>
      </c>
      <c r="E381" s="20" t="s">
        <v>68</v>
      </c>
      <c r="F381" s="20" t="s">
        <v>66</v>
      </c>
      <c r="G381" s="55">
        <f>SUMIFS(Calc_NetworkV_2[Ausnet],Calc_NetworkV_2[[Cost item]:[Cost item]],$C380,Calc_NetworkV_2[[Customer type]:[Customer type]],$F381)</f>
        <v>0</v>
      </c>
      <c r="H381" s="55">
        <f>SUMIFS(Calc_NetworkV_2[Citipower],Calc_NetworkV_2[[Cost item]:[Cost item]],$C380,Calc_NetworkV_2[[Customer type]:[Customer type]],$F381)</f>
        <v>8.0299999999999996E-2</v>
      </c>
      <c r="I381" s="55">
        <f>SUMIFS(Calc_NetworkV_2[Jemena],Calc_NetworkV_2[[Cost item]:[Cost item]],$C380,Calc_NetworkV_2[[Customer type]:[Customer type]],$F381)</f>
        <v>0.1084</v>
      </c>
      <c r="J381" s="55">
        <f>SUMIFS(Calc_NetworkV_2[Powercor],Calc_NetworkV_2[[Cost item]:[Cost item]],$C380,Calc_NetworkV_2[[Customer type]:[Customer type]],$F381)</f>
        <v>9.2899999999999996E-2</v>
      </c>
      <c r="K381" s="55">
        <f>SUMIFS(Calc_NetworkV_2[United Energy],Calc_NetworkV_2[[Cost item]:[Cost item]],$C380,Calc_NetworkV_2[[Customer type]:[Customer type]],$F381)</f>
        <v>9.1400000000000009E-2</v>
      </c>
    </row>
    <row r="382" spans="2:11" outlineLevel="1">
      <c r="B382"/>
      <c r="C382" s="20" t="s">
        <v>101</v>
      </c>
      <c r="D382" s="20" t="s">
        <v>7</v>
      </c>
      <c r="E382" s="20" t="s">
        <v>68</v>
      </c>
      <c r="F382" s="20" t="s">
        <v>66</v>
      </c>
      <c r="G382" s="55">
        <f>SUMIFS(Calc_Variable_2[Ausnet],Calc_Variable_2[[Customer type]:[Customer type]],"All")+SUMIFS(Calc_Variable_2[Ausnet],Calc_Variable_2[[Customer type]:[Customer type]],$F382)</f>
        <v>0.1082750274634344</v>
      </c>
      <c r="H382" s="55">
        <f>SUMIFS(Calc_Variable_2[Citipower],Calc_Variable_2[[Customer type]:[Customer type]],"All")+SUMIFS(Calc_Variable_2[Citipower],Calc_Variable_2[[Customer type]:[Customer type]],$F382)</f>
        <v>0.10506803263168561</v>
      </c>
      <c r="I382" s="55">
        <f>SUMIFS(Calc_Variable_2[Jemena],Calc_Variable_2[[Customer type]:[Customer type]],"All")+SUMIFS(Calc_Variable_2[Jemena],Calc_Variable_2[[Customer type]:[Customer type]],$F382)</f>
        <v>0.10279367655771439</v>
      </c>
      <c r="J382" s="55">
        <f>SUMIFS(Calc_Variable_2[Powercor],Calc_Variable_2[[Customer type]:[Customer type]],"All")+SUMIFS(Calc_Variable_2[Powercor],Calc_Variable_2[[Customer type]:[Customer type]],$F382)</f>
        <v>0.10673928616460317</v>
      </c>
      <c r="K382" s="55">
        <f>SUMIFS(Calc_Variable_2[United Energy],Calc_Variable_2[[Customer type]:[Customer type]],"All")+SUMIFS(Calc_Variable_2[United Energy],Calc_Variable_2[[Customer type]:[Customer type]],$F382)</f>
        <v>0.10361320339741123</v>
      </c>
    </row>
    <row r="383" spans="2:11" outlineLevel="1">
      <c r="B383"/>
      <c r="C383" s="20" t="s">
        <v>97</v>
      </c>
      <c r="D383" s="20" t="s">
        <v>7</v>
      </c>
      <c r="E383" s="20" t="s">
        <v>68</v>
      </c>
      <c r="F383" s="20" t="s">
        <v>66</v>
      </c>
      <c r="G383" s="66" t="str" cm="1">
        <f t="array" ref="G383">IF(G381=0,"-",
(G381+G382)*Calc_ROM_2[Ausnet])</f>
        <v>-</v>
      </c>
      <c r="H383" s="66" cm="1">
        <f t="array" ref="H383">IF(H381=0,"-",
(H381+H382)*Calc_ROM_2[Citipower])</f>
        <v>1.119622917095381E-2</v>
      </c>
      <c r="I383" s="66" cm="1">
        <f t="array" ref="I383">IF(I381=0,"-",
(I381+I382)*Calc_ROM_2[Jemena])</f>
        <v>1.2756098064085949E-2</v>
      </c>
      <c r="J383" s="66" cm="1">
        <f t="array" ref="J383">IF(J381=0,"-",
(J381+J382)*Calc_ROM_2[Powercor])</f>
        <v>1.2058212884342032E-2</v>
      </c>
      <c r="K383" s="66" cm="1">
        <f t="array" ref="K383">IF(K381=0,"-",
(K381+K382)*Calc_ROM_2[United Energy])</f>
        <v>1.177879748520364E-2</v>
      </c>
    </row>
    <row r="384" spans="2:11" outlineLevel="1">
      <c r="B384"/>
      <c r="C384" s="20" t="s">
        <v>98</v>
      </c>
      <c r="D384" s="20" t="s">
        <v>7</v>
      </c>
      <c r="E384" s="20" t="s">
        <v>68</v>
      </c>
      <c r="F384" s="20" t="s">
        <v>66</v>
      </c>
      <c r="G384" s="66" t="str">
        <f>IF(G381=0,"-",
(G381+G382+G383)*GST)</f>
        <v>-</v>
      </c>
      <c r="H384" s="66">
        <f>IF(H381=0,"-",
(H381+H382+H383)*GST)</f>
        <v>1.9656426180263944E-2</v>
      </c>
      <c r="I384" s="66">
        <f>IF(I381=0,"-",
(I381+I382+I383)*GST)</f>
        <v>2.2394977462180034E-2</v>
      </c>
      <c r="J384" s="66">
        <f>IF(J381=0,"-",
(J381+J382+J383)*GST)</f>
        <v>2.1169749904894522E-2</v>
      </c>
      <c r="K384" s="66">
        <f>IF(K381=0,"-",
(K381+K382+K383)*GST)</f>
        <v>2.067920008826149E-2</v>
      </c>
    </row>
    <row r="385" spans="1:11" outlineLevel="1">
      <c r="B385"/>
      <c r="C385" s="20" t="str">
        <f>C380&amp;" charge"</f>
        <v>Single rate charge</v>
      </c>
      <c r="D385" s="20" t="s">
        <v>7</v>
      </c>
      <c r="E385" s="20" t="s">
        <v>68</v>
      </c>
      <c r="F385" s="20" t="s">
        <v>66</v>
      </c>
      <c r="G385" s="67" t="str">
        <f>IF(G381=0,"-",
G381+G382+G383+G384)</f>
        <v>-</v>
      </c>
      <c r="H385" s="67">
        <f t="shared" ref="H385" si="91">IF(H381=0,"-",
H381+H382+H383+H384)</f>
        <v>0.21622068798290336</v>
      </c>
      <c r="I385" s="67">
        <f t="shared" ref="I385" si="92">IF(I381=0,"-",
I381+I382+I383+I384)</f>
        <v>0.24634475208398035</v>
      </c>
      <c r="J385" s="67">
        <f t="shared" ref="J385" si="93">IF(J381=0,"-",
J381+J382+J383+J384)</f>
        <v>0.2328672489538397</v>
      </c>
      <c r="K385" s="67">
        <f t="shared" ref="K385" si="94">IF(K381=0,"-",
K381+K382+K383+K384)</f>
        <v>0.22747120097087636</v>
      </c>
    </row>
    <row r="386" spans="1:11" outlineLevel="1">
      <c r="B386"/>
      <c r="G386" s="94" t="str" cm="1">
        <f t="array" ref="G386">IF(G385="-","-",
IF(ROUND(G385,8)=ROUND((((
SUMIFS(Calc_Variable_2[Ausnet],Calc_Variable_2[Customer type],Calc_Rates!$F385)+
SUMIFS(Calc_Variable_2[Ausnet],Calc_Variable_2[Customer type],"All")+G381)*(1+Calc_ROM_2[Ausnet]))*(1+GST)),8),0,1))</f>
        <v>-</v>
      </c>
      <c r="H386" s="94" cm="1">
        <f t="array" ref="H386">IF(H385="-","-",
IF(ROUND(H385,8)=ROUND((((
SUMIFS(Calc_Variable_2[Citipower],Calc_Variable_2[Customer type],Calc_Rates!$F385)+
SUMIFS(Calc_Variable_2[Citipower],Calc_Variable_2[Customer type],"All")+H381)*(1+Calc_ROM_2[Citipower]))*(1+GST)),8),0,1))</f>
        <v>0</v>
      </c>
      <c r="I386" s="94" cm="1">
        <f t="array" ref="I386">IF(I385="-","-",
IF(ROUND(I385,8)=ROUND((((
SUMIFS(Calc_Variable_2[Jemena],Calc_Variable_2[Customer type],Calc_Rates!$F385)+
SUMIFS(Calc_Variable_2[Jemena],Calc_Variable_2[Customer type],"All")+I381)*(1+Calc_ROM_2[Jemena]))*(1+GST)),8),0,1))</f>
        <v>0</v>
      </c>
      <c r="J386" s="94" cm="1">
        <f t="array" ref="J386">IF(J385="-","-",
IF(ROUND(J385,8)=ROUND((((
SUMIFS(Calc_Variable_2[Powercor],Calc_Variable_2[[Customer type]:[Customer type]],Calc_Rates!$F385)+
SUMIFS(Calc_Variable_2[Powercor],Calc_Variable_2[[Customer type]:[Customer type]],"All")+J381)*(1+Calc_ROM_2[Powercor]))*(1+GST)),8),0,1))</f>
        <v>0</v>
      </c>
      <c r="K386" s="94" cm="1">
        <f t="array" ref="K386">IF(K385="-","-",
IF(ROUND(K385,8)=ROUND((((
SUMIFS(Calc_Variable_2[United Energy],Calc_Variable_2[[Customer type]:[Customer type]],Calc_Rates!$F385)+
SUMIFS(Calc_Variable_2[United Energy],Calc_Variable_2[[Customer type]:[Customer type]],"All")+K381)*(1+Calc_ROM_2[United Energy]))*(1+GST)),8),0,1))</f>
        <v>0</v>
      </c>
    </row>
    <row r="387" spans="1:11" ht="15.5" outlineLevel="1">
      <c r="B387"/>
      <c r="C387" s="1" t="s">
        <v>108</v>
      </c>
    </row>
    <row r="388" spans="1:11" ht="15.5" outlineLevel="1">
      <c r="B388"/>
      <c r="C388" s="74" t="s">
        <v>72</v>
      </c>
    </row>
    <row r="389" spans="1:11" outlineLevel="1">
      <c r="B389"/>
      <c r="C389" s="20" t="s">
        <v>96</v>
      </c>
      <c r="D389" s="20" t="s">
        <v>7</v>
      </c>
      <c r="E389" s="20" t="s">
        <v>68</v>
      </c>
      <c r="F389" s="20" t="s">
        <v>66</v>
      </c>
      <c r="G389" s="55">
        <f>SUMIFS(Calc_NetworkV_2[Ausnet],Calc_NetworkV_2[[Cost item]:[Cost item]],$C388,Calc_NetworkV_2[[Customer type]:[Customer type]],$F389)</f>
        <v>0.19318200000000002</v>
      </c>
      <c r="H389" s="55">
        <f>SUMIFS(Calc_NetworkV_2[Citipower],Calc_NetworkV_2[[Cost item]:[Cost item]],$C388,Calc_NetworkV_2[[Customer type]:[Customer type]],$F389)</f>
        <v>0.1333</v>
      </c>
      <c r="I389" s="55">
        <f>SUMIFS(Calc_NetworkV_2[Jemena],Calc_NetworkV_2[[Cost item]:[Cost item]],$C388,Calc_NetworkV_2[[Customer type]:[Customer type]],$F389)</f>
        <v>0.14099</v>
      </c>
      <c r="J389" s="55">
        <f>SUMIFS(Calc_NetworkV_2[Powercor],Calc_NetworkV_2[[Cost item]:[Cost item]],$C388,Calc_NetworkV_2[[Customer type]:[Customer type]],$F389)</f>
        <v>0.16190000000000002</v>
      </c>
      <c r="K389" s="55">
        <f>SUMIFS(Calc_NetworkV_2[United Energy],Calc_NetworkV_2[[Cost item]:[Cost item]],$C388,Calc_NetworkV_2[[Customer type]:[Customer type]],$F389)</f>
        <v>0.14980000000000002</v>
      </c>
    </row>
    <row r="390" spans="1:11" outlineLevel="1">
      <c r="B390"/>
      <c r="C390" s="20" t="s">
        <v>101</v>
      </c>
      <c r="D390" s="20" t="s">
        <v>7</v>
      </c>
      <c r="E390" s="20" t="s">
        <v>68</v>
      </c>
      <c r="F390" s="20" t="s">
        <v>66</v>
      </c>
      <c r="G390" s="55">
        <f>SUMIFS(Calc_Variable_2[Ausnet],Calc_Variable_2[[Customer type]:[Customer type]],"All")+SUMIFS(Calc_Variable_2[Ausnet],Calc_Variable_2[[Customer type]:[Customer type]],$F390)</f>
        <v>0.1082750274634344</v>
      </c>
      <c r="H390" s="55">
        <f>SUMIFS(Calc_Variable_2[Citipower],Calc_Variable_2[[Customer type]:[Customer type]],"All")+SUMIFS(Calc_Variable_2[Citipower],Calc_Variable_2[[Customer type]:[Customer type]],$F390)</f>
        <v>0.10506803263168561</v>
      </c>
      <c r="I390" s="55">
        <f>SUMIFS(Calc_Variable_2[Jemena],Calc_Variable_2[[Customer type]:[Customer type]],"All")+SUMIFS(Calc_Variable_2[Jemena],Calc_Variable_2[[Customer type]:[Customer type]],$F390)</f>
        <v>0.10279367655771439</v>
      </c>
      <c r="J390" s="55">
        <f>SUMIFS(Calc_Variable_2[Powercor],Calc_Variable_2[[Customer type]:[Customer type]],"All")+SUMIFS(Calc_Variable_2[Powercor],Calc_Variable_2[[Customer type]:[Customer type]],$F390)</f>
        <v>0.10673928616460317</v>
      </c>
      <c r="K390" s="55">
        <f>SUMIFS(Calc_Variable_2[United Energy],Calc_Variable_2[[Customer type]:[Customer type]],"All")+SUMIFS(Calc_Variable_2[United Energy],Calc_Variable_2[[Customer type]:[Customer type]],$F390)</f>
        <v>0.10361320339741123</v>
      </c>
    </row>
    <row r="391" spans="1:11" outlineLevel="1">
      <c r="B391"/>
      <c r="C391" s="20" t="s">
        <v>97</v>
      </c>
      <c r="D391" s="20" t="s">
        <v>7</v>
      </c>
      <c r="E391" s="20" t="s">
        <v>68</v>
      </c>
      <c r="F391" s="20" t="s">
        <v>66</v>
      </c>
      <c r="G391" s="66" cm="1">
        <f t="array" ref="G391">IF(G389=0,"-",
(G389+G390)*Calc_ROM_2[Ausnet])</f>
        <v>1.8208004458791439E-2</v>
      </c>
      <c r="H391" s="66" cm="1">
        <f t="array" ref="H391">IF(H389=0,"-",
(H389+H390)*Calc_ROM_2[Citipower])</f>
        <v>1.4397429170953812E-2</v>
      </c>
      <c r="I391" s="66" cm="1">
        <f t="array" ref="I391">IF(I389=0,"-",
(I389+I390)*Calc_ROM_2[Jemena])</f>
        <v>1.4724534064085949E-2</v>
      </c>
      <c r="J391" s="66" cm="1">
        <f t="array" ref="J391">IF(J389=0,"-",
(J389+J390)*Calc_ROM_2[Powercor])</f>
        <v>1.6225812884342033E-2</v>
      </c>
      <c r="K391" s="66" cm="1">
        <f t="array" ref="K391">IF(K389=0,"-",
(K389+K390)*Calc_ROM_2[United Energy])</f>
        <v>1.530615748520364E-2</v>
      </c>
    </row>
    <row r="392" spans="1:11" outlineLevel="1">
      <c r="B392"/>
      <c r="C392" s="20" t="s">
        <v>98</v>
      </c>
      <c r="D392" s="20" t="s">
        <v>7</v>
      </c>
      <c r="E392" s="20" t="s">
        <v>68</v>
      </c>
      <c r="F392" s="20" t="s">
        <v>66</v>
      </c>
      <c r="G392" s="66">
        <f>IF(G389=0,"-",
(G389+G390+G391)*GST)</f>
        <v>3.1966503192222585E-2</v>
      </c>
      <c r="H392" s="66">
        <f>IF(H389=0,"-",
(H389+H390+H391)*GST)</f>
        <v>2.5276546180263943E-2</v>
      </c>
      <c r="I392" s="66">
        <f>IF(I389=0,"-",
(I389+I390+I391)*GST)</f>
        <v>2.5850821062180035E-2</v>
      </c>
      <c r="J392" s="66">
        <f>IF(J389=0,"-",
(J389+J390+J391)*GST)</f>
        <v>2.8486509904894528E-2</v>
      </c>
      <c r="K392" s="66">
        <f>IF(K389=0,"-",
(K389+K390+K391)*GST)</f>
        <v>2.6871936088261491E-2</v>
      </c>
    </row>
    <row r="393" spans="1:11" outlineLevel="1">
      <c r="B393"/>
      <c r="C393" s="20" t="str">
        <f>C388&amp;" charge"</f>
        <v>Peak charge</v>
      </c>
      <c r="D393" s="20" t="s">
        <v>7</v>
      </c>
      <c r="E393" s="20" t="s">
        <v>68</v>
      </c>
      <c r="F393" s="20" t="s">
        <v>66</v>
      </c>
      <c r="G393" s="67">
        <f>IF(G389=0,"-",
G389+G390+G391+G392)</f>
        <v>0.35163153511444845</v>
      </c>
      <c r="H393" s="67">
        <f t="shared" ref="H393" si="95">IF(H389=0,"-",
H389+H390+H391+H392)</f>
        <v>0.27804200798290335</v>
      </c>
      <c r="I393" s="67">
        <f t="shared" ref="I393" si="96">IF(I389=0,"-",
I389+I390+I391+I392)</f>
        <v>0.28435903168398036</v>
      </c>
      <c r="J393" s="67">
        <f t="shared" ref="J393" si="97">IF(J389=0,"-",
J389+J390+J391+J392)</f>
        <v>0.31335160895383979</v>
      </c>
      <c r="K393" s="67">
        <f t="shared" ref="K393" si="98">IF(K389=0,"-",
K389+K390+K391+K392)</f>
        <v>0.29559129697087638</v>
      </c>
    </row>
    <row r="394" spans="1:11" outlineLevel="1">
      <c r="B394"/>
      <c r="G394" s="94" cm="1">
        <f t="array" ref="G394">IF(G393="-","-",
IF(ROUND(G393,8)=ROUND((((
SUMIFS(Calc_Variable_2[Ausnet],Calc_Variable_2[Customer type],Calc_Rates!$F393)+
SUMIFS(Calc_Variable_2[Ausnet],Calc_Variable_2[Customer type],"All")+G389)*(1+Calc_ROM_2[Ausnet]))*(1+GST)),8),0,1))</f>
        <v>0</v>
      </c>
      <c r="H394" s="94" cm="1">
        <f t="array" ref="H394">IF(H393="-","-",
IF(ROUND(H393,8)=ROUND((((
SUMIFS(Calc_Variable_2[Citipower],Calc_Variable_2[Customer type],Calc_Rates!$F393)+
SUMIFS(Calc_Variable_2[Citipower],Calc_Variable_2[Customer type],"All")+H389)*(1+Calc_ROM_2[Citipower]))*(1+GST)),8),0,1))</f>
        <v>0</v>
      </c>
      <c r="I394" s="94" cm="1">
        <f t="array" ref="I394">IF(I393="-","-",
IF(ROUND(I393,8)=ROUND((((
SUMIFS(Calc_Variable_2[Jemena],Calc_Variable_2[Customer type],Calc_Rates!$F393)+
SUMIFS(Calc_Variable_2[Jemena],Calc_Variable_2[Customer type],"All")+I389)*(1+Calc_ROM_2[Jemena]))*(1+GST)),8),0,1))</f>
        <v>0</v>
      </c>
      <c r="J394" s="94" cm="1">
        <f t="array" ref="J394">IF(J393="-","-",
IF(ROUND(J393,8)=ROUND((((
SUMIFS(Calc_Variable_2[Powercor],Calc_Variable_2[[Customer type]:[Customer type]],Calc_Rates!$F393)+
SUMIFS(Calc_Variable_2[Powercor],Calc_Variable_2[[Customer type]:[Customer type]],"All")+J389)*(1+Calc_ROM_2[Powercor]))*(1+GST)),8),0,1))</f>
        <v>0</v>
      </c>
      <c r="K394" s="94" cm="1">
        <f t="array" ref="K394">IF(K393="-","-",
IF(ROUND(K393,8)=ROUND((((
SUMIFS(Calc_Variable_2[United Energy],Calc_Variable_2[[Customer type]:[Customer type]],Calc_Rates!$F393)+
SUMIFS(Calc_Variable_2[United Energy],Calc_Variable_2[[Customer type]:[Customer type]],"All")+K389)*(1+Calc_ROM_2[United Energy]))*(1+GST)),8),0,1))</f>
        <v>0</v>
      </c>
    </row>
    <row r="395" spans="1:11" ht="15.5" outlineLevel="1">
      <c r="B395"/>
      <c r="C395" s="74" t="s">
        <v>73</v>
      </c>
    </row>
    <row r="396" spans="1:11" outlineLevel="1">
      <c r="B396"/>
      <c r="C396" s="20" t="s">
        <v>96</v>
      </c>
      <c r="D396" s="20" t="s">
        <v>7</v>
      </c>
      <c r="E396" s="20" t="s">
        <v>68</v>
      </c>
      <c r="F396" s="20" t="s">
        <v>66</v>
      </c>
      <c r="G396" s="55">
        <f>SUMIFS(Calc_NetworkV_2[Ausnet],Calc_NetworkV_2[[Cost item]:[Cost item]],$C395,Calc_NetworkV_2[[Customer type]:[Customer type]],$F396)</f>
        <v>4.7114999999999997E-2</v>
      </c>
      <c r="H396" s="55">
        <f>SUMIFS(Calc_NetworkV_2[Citipower],Calc_NetworkV_2[[Cost item]:[Cost item]],$C395,Calc_NetworkV_2[[Customer type]:[Customer type]],$F396)</f>
        <v>2.9600000000000001E-2</v>
      </c>
      <c r="I396" s="55">
        <f>SUMIFS(Calc_NetworkV_2[Jemena],Calc_NetworkV_2[[Cost item]:[Cost item]],$C395,Calc_NetworkV_2[[Customer type]:[Customer type]],$F396)</f>
        <v>2.9529999999999997E-2</v>
      </c>
      <c r="J396" s="55">
        <f>SUMIFS(Calc_NetworkV_2[Powercor],Calc_NetworkV_2[[Cost item]:[Cost item]],$C395,Calc_NetworkV_2[[Customer type]:[Customer type]],$F396)</f>
        <v>3.5900000000000001E-2</v>
      </c>
      <c r="K396" s="55">
        <f>SUMIFS(Calc_NetworkV_2[United Energy],Calc_NetworkV_2[[Cost item]:[Cost item]],$C395,Calc_NetworkV_2[[Customer type]:[Customer type]],$F396)</f>
        <v>3.3300000000000003E-2</v>
      </c>
    </row>
    <row r="397" spans="1:11" outlineLevel="1">
      <c r="B397"/>
      <c r="C397" s="20" t="s">
        <v>101</v>
      </c>
      <c r="D397" s="20" t="s">
        <v>7</v>
      </c>
      <c r="E397" s="20" t="s">
        <v>68</v>
      </c>
      <c r="F397" s="20" t="s">
        <v>66</v>
      </c>
      <c r="G397" s="55">
        <f>SUMIFS(Calc_Variable_2[Ausnet],Calc_Variable_2[[Customer type]:[Customer type]],"All")+SUMIFS(Calc_Variable_2[Ausnet],Calc_Variable_2[[Customer type]:[Customer type]],$F397)</f>
        <v>0.1082750274634344</v>
      </c>
      <c r="H397" s="55">
        <f>SUMIFS(Calc_Variable_2[Citipower],Calc_Variable_2[[Customer type]:[Customer type]],"All")+SUMIFS(Calc_Variable_2[Citipower],Calc_Variable_2[[Customer type]:[Customer type]],$F397)</f>
        <v>0.10506803263168561</v>
      </c>
      <c r="I397" s="55">
        <f>SUMIFS(Calc_Variable_2[Jemena],Calc_Variable_2[[Customer type]:[Customer type]],"All")+SUMIFS(Calc_Variable_2[Jemena],Calc_Variable_2[[Customer type]:[Customer type]],$F397)</f>
        <v>0.10279367655771439</v>
      </c>
      <c r="J397" s="55">
        <f>SUMIFS(Calc_Variable_2[Powercor],Calc_Variable_2[[Customer type]:[Customer type]],"All")+SUMIFS(Calc_Variable_2[Powercor],Calc_Variable_2[[Customer type]:[Customer type]],$F397)</f>
        <v>0.10673928616460317</v>
      </c>
      <c r="K397" s="55">
        <f>SUMIFS(Calc_Variable_2[United Energy],Calc_Variable_2[[Customer type]:[Customer type]],"All")+SUMIFS(Calc_Variable_2[United Energy],Calc_Variable_2[[Customer type]:[Customer type]],$F397)</f>
        <v>0.10361320339741123</v>
      </c>
    </row>
    <row r="398" spans="1:11" ht="15.5" outlineLevel="1" collapsed="1">
      <c r="A398" s="1" t="s">
        <v>18</v>
      </c>
      <c r="B398"/>
      <c r="C398" s="20" t="s">
        <v>97</v>
      </c>
      <c r="D398" s="20" t="s">
        <v>7</v>
      </c>
      <c r="E398" s="20" t="s">
        <v>68</v>
      </c>
      <c r="F398" s="20" t="s">
        <v>66</v>
      </c>
      <c r="G398" s="66" cm="1">
        <f t="array" ref="G398">IF(G396=0,"-",
(G396+G397)*Calc_ROM_2[Ausnet])</f>
        <v>9.3855576587914373E-3</v>
      </c>
      <c r="H398" s="66" cm="1">
        <f t="array" ref="H398">IF(H396=0,"-",
(H396+H397)*Calc_ROM_2[Citipower])</f>
        <v>8.1339491709538116E-3</v>
      </c>
      <c r="I398" s="66" cm="1">
        <f t="array" ref="I398">IF(I396=0,"-",
(I396+I397)*Calc_ROM_2[Jemena])</f>
        <v>7.9923500640859488E-3</v>
      </c>
      <c r="J398" s="66" cm="1">
        <f t="array" ref="J398">IF(J396=0,"-",
(J396+J397)*Calc_ROM_2[Powercor])</f>
        <v>8.6154128843420313E-3</v>
      </c>
      <c r="K398" s="66" cm="1">
        <f t="array" ref="K398">IF(K396=0,"-",
(K396+K397)*Calc_ROM_2[United Energy])</f>
        <v>8.269557485203638E-3</v>
      </c>
    </row>
    <row r="399" spans="1:11" outlineLevel="1">
      <c r="B399"/>
      <c r="C399" s="20" t="s">
        <v>98</v>
      </c>
      <c r="D399" s="20" t="s">
        <v>7</v>
      </c>
      <c r="E399" s="20" t="s">
        <v>68</v>
      </c>
      <c r="F399" s="20" t="s">
        <v>66</v>
      </c>
      <c r="G399" s="66">
        <f>IF(G396=0,"-",
(G396+G397+G398)*GST)</f>
        <v>1.6477558512222584E-2</v>
      </c>
      <c r="H399" s="66">
        <f>IF(H396=0,"-",
(H396+H397+H398)*GST)</f>
        <v>1.4280198180263944E-2</v>
      </c>
      <c r="I399" s="66">
        <f>IF(I396=0,"-",
(I396+I397+I398)*GST)</f>
        <v>1.4031602662180032E-2</v>
      </c>
      <c r="J399" s="66">
        <f>IF(J396=0,"-",
(J396+J397+J398)*GST)</f>
        <v>1.5125469904894521E-2</v>
      </c>
      <c r="K399" s="66">
        <f>IF(K396=0,"-",
(K396+K397+K398)*GST)</f>
        <v>1.4518276088261487E-2</v>
      </c>
    </row>
    <row r="400" spans="1:11" outlineLevel="1">
      <c r="B400"/>
      <c r="C400" s="20" t="str">
        <f>C395&amp;" charge"</f>
        <v>Off peak charge</v>
      </c>
      <c r="D400" s="20" t="s">
        <v>7</v>
      </c>
      <c r="E400" s="20" t="s">
        <v>68</v>
      </c>
      <c r="F400" s="20" t="s">
        <v>66</v>
      </c>
      <c r="G400" s="67">
        <f>IF(G396=0,"-",
G396+G397+G398+G399)</f>
        <v>0.18125314363444839</v>
      </c>
      <c r="H400" s="67">
        <f t="shared" ref="H400" si="99">IF(H396=0,"-",
H396+H397+H398+H399)</f>
        <v>0.15708217998290336</v>
      </c>
      <c r="I400" s="67">
        <f t="shared" ref="I400" si="100">IF(I396=0,"-",
I396+I397+I398+I399)</f>
        <v>0.15434762928398035</v>
      </c>
      <c r="J400" s="67">
        <f t="shared" ref="J400" si="101">IF(J396=0,"-",
J396+J397+J398+J399)</f>
        <v>0.16638016895383972</v>
      </c>
      <c r="K400" s="67">
        <f t="shared" ref="K400" si="102">IF(K396=0,"-",
K396+K397+K398+K399)</f>
        <v>0.15970103697087634</v>
      </c>
    </row>
    <row r="401" spans="2:11" outlineLevel="1">
      <c r="B401"/>
      <c r="G401" s="94" cm="1">
        <f t="array" ref="G401">IF(G400="-","-",
IF(ROUND(G400,8)=ROUND((((
SUMIFS(Calc_Variable_2[Ausnet],Calc_Variable_2[Customer type],Calc_Rates!$F400)+
SUMIFS(Calc_Variable_2[Ausnet],Calc_Variable_2[Customer type],"All")+G396)*(1+Calc_ROM_2[Ausnet]))*(1+GST)),8),0,1))</f>
        <v>0</v>
      </c>
      <c r="H401" s="94" cm="1">
        <f t="array" ref="H401">IF(H400="-","-",
IF(ROUND(H400,8)=ROUND((((
SUMIFS(Calc_Variable_2[Citipower],Calc_Variable_2[Customer type],Calc_Rates!$F400)+
SUMIFS(Calc_Variable_2[Citipower],Calc_Variable_2[Customer type],"All")+H396)*(1+Calc_ROM_2[Citipower]))*(1+GST)),8),0,1))</f>
        <v>0</v>
      </c>
      <c r="I401" s="94" cm="1">
        <f t="array" ref="I401">IF(I400="-","-",
IF(ROUND(I400,8)=ROUND((((
SUMIFS(Calc_Variable_2[Jemena],Calc_Variable_2[Customer type],Calc_Rates!$F400)+
SUMIFS(Calc_Variable_2[Jemena],Calc_Variable_2[Customer type],"All")+I396)*(1+Calc_ROM_2[Jemena]))*(1+GST)),8),0,1))</f>
        <v>0</v>
      </c>
      <c r="J401" s="94" cm="1">
        <f t="array" ref="J401">IF(J400="-","-",
IF(ROUND(J400,8)=ROUND((((
SUMIFS(Calc_Variable_2[Powercor],Calc_Variable_2[[Customer type]:[Customer type]],Calc_Rates!$F400)+
SUMIFS(Calc_Variable_2[Powercor],Calc_Variable_2[[Customer type]:[Customer type]],"All")+J396)*(1+Calc_ROM_2[Powercor]))*(1+GST)),8),0,1))</f>
        <v>0</v>
      </c>
      <c r="K401" s="94" cm="1">
        <f t="array" ref="K401">IF(K400="-","-",
IF(ROUND(K400,8)=ROUND((((
SUMIFS(Calc_Variable_2[United Energy],Calc_Variable_2[[Customer type]:[Customer type]],Calc_Rates!$F400)+
SUMIFS(Calc_Variable_2[United Energy],Calc_Variable_2[[Customer type]:[Customer type]],"All")+K396)*(1+Calc_ROM_2[United Energy]))*(1+GST)),8),0,1))</f>
        <v>0</v>
      </c>
    </row>
    <row r="402" spans="2:11">
      <c r="B402"/>
    </row>
    <row r="403" spans="2:11" ht="16" thickBot="1">
      <c r="B403" s="216">
        <f ca="1">MAX(B$3:B402)+0.01</f>
        <v>13.089999999999998</v>
      </c>
      <c r="C403" s="25" t="s">
        <v>110</v>
      </c>
      <c r="D403" s="25"/>
      <c r="E403" s="25"/>
      <c r="F403" s="25"/>
      <c r="G403" s="25"/>
      <c r="H403" s="25"/>
      <c r="I403" s="25"/>
      <c r="J403" s="25"/>
      <c r="K403" s="25"/>
    </row>
    <row r="404" spans="2:11" outlineLevel="1"/>
    <row r="405" spans="2:11" ht="15.5" outlineLevel="1">
      <c r="C405" s="26" t="s">
        <v>48</v>
      </c>
    </row>
    <row r="406" spans="2:11" ht="15.5" outlineLevel="1">
      <c r="C406" s="49" t="s">
        <v>111</v>
      </c>
      <c r="D406" s="69">
        <f>IFERROR(INDEX(Input_CPI[Indice],MATCH($D$266,Input_CPI[Decision paper],0),1),"-")</f>
        <v>123.9</v>
      </c>
      <c r="I406" s="71"/>
    </row>
    <row r="407" spans="2:11" ht="15.5" outlineLevel="1">
      <c r="C407" s="26"/>
    </row>
    <row r="408" spans="2:11" ht="15.5" outlineLevel="1">
      <c r="C408" s="39" t="s">
        <v>33</v>
      </c>
      <c r="D408" s="39" t="s">
        <v>88</v>
      </c>
      <c r="E408" s="39" t="s">
        <v>56</v>
      </c>
      <c r="F408" s="39" t="s">
        <v>57</v>
      </c>
      <c r="G408" s="39" t="s">
        <v>112</v>
      </c>
      <c r="H408" s="54" t="s">
        <v>113</v>
      </c>
      <c r="I408" s="54" t="s">
        <v>114</v>
      </c>
      <c r="K408" s="71"/>
    </row>
    <row r="409" spans="2:11" outlineLevel="1">
      <c r="C409" s="20" t="s">
        <v>115</v>
      </c>
      <c r="D409" s="20"/>
      <c r="E409" s="20" t="str">
        <f>INDEX(Input_ForRateCalc[Unit],MATCH(Calc_CPI_2[[#This Row],[Cost item]],Input_ForRateCalc[Cost item],0),1)</f>
        <v>$</v>
      </c>
      <c r="F409" s="20" t="str">
        <f>INDEX(Input_ForRateCalc[Customer type],MATCH(Calc_CPI_2[[#This Row],[Cost item]],Input_ForRateCalc[Cost item],0),1)</f>
        <v>All</v>
      </c>
      <c r="G409" s="20" t="str">
        <f>INDEX(Input_CostItemCPI[],MATCH(Calc_CPI_2[[#This Row],[Cost item]],Input_CostItemCPI[Cost item],0),MATCH(Calc_Rates!$D$266,Input_CostItemCPI[#Headers],0))</f>
        <v>Yes</v>
      </c>
      <c r="H409" s="210" cm="1">
        <f t="array" ref="H409">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0.11924119241192414</v>
      </c>
      <c r="I409" s="55" cm="1">
        <f t="array" ref="I409">IFERROR((H409)*
INDEX(Input_ForRateCalc[],MATCH(Calc_CPI_2[[#This Row],[Cost item]:[Cost item]],Input_ForRateCalc[Cost item],0),MATCH($D$266,Inputs!$C$8:$Y$8,0)),"-")</f>
        <v>14.436531165311655</v>
      </c>
    </row>
    <row r="410" spans="2:11" outlineLevel="1">
      <c r="C410" s="20" t="s">
        <v>116</v>
      </c>
      <c r="D410" s="20"/>
      <c r="E410" s="20" t="str">
        <f>INDEX(Input_ForRateCalc[Unit],MATCH(Calc_CPI_2[[#This Row],[Cost item]],Input_ForRateCalc[Cost item],0),1)</f>
        <v>$</v>
      </c>
      <c r="F410" s="20" t="str">
        <f>INDEX(Input_ForRateCalc[Customer type],MATCH(Calc_CPI_2[[#This Row],[Cost item]],Input_ForRateCalc[Cost item],0),1)</f>
        <v>All</v>
      </c>
      <c r="G410" s="20" t="str">
        <f>INDEX(Input_CostItemCPI[],MATCH(Calc_CPI_2[[#This Row],[Cost item]],Input_CostItemCPI[Cost item],0),MATCH(Calc_Rates!$D$266,Input_CostItemCPI[#Headers],0))</f>
        <v>No</v>
      </c>
      <c r="H410" s="210" cm="1">
        <f t="array" ref="H410">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0" s="55" cm="1">
        <f t="array" ref="I410">IFERROR((H410)*
INDEX(Input_ForRateCalc[],MATCH(Calc_CPI_2[[#This Row],[Cost item]:[Cost item]],Input_ForRateCalc[Cost item],0),MATCH($D$266,Inputs!$C$8:$Y$8,0)),"-")</f>
        <v>0</v>
      </c>
    </row>
    <row r="411" spans="2:11" outlineLevel="1">
      <c r="C411" s="20" t="s">
        <v>118</v>
      </c>
      <c r="D411" s="20"/>
      <c r="E411" s="20" t="str">
        <f>INDEX(Input_ForRateCalc[Unit],MATCH(Calc_CPI_2[[#This Row],[Cost item]],Input_ForRateCalc[Cost item],0),1)</f>
        <v>$</v>
      </c>
      <c r="F411" s="20" t="str">
        <f>INDEX(Input_ForRateCalc[Customer type],MATCH(Calc_CPI_2[[#This Row],[Cost item]],Input_ForRateCalc[Cost item],0),1)</f>
        <v>All</v>
      </c>
      <c r="G411" s="20" t="str">
        <f>INDEX(Input_CostItemCPI[],MATCH(Calc_CPI_2[[#This Row],[Cost item]],Input_CostItemCPI[Cost item],0),MATCH(Calc_Rates!$D$266,Input_CostItemCPI[#Headers],0))</f>
        <v>Yes</v>
      </c>
      <c r="H411" s="210" cm="1">
        <f t="array" ref="H411">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7.92682926829269E-2</v>
      </c>
      <c r="I411" s="55" cm="1">
        <f t="array" ref="I411">IFERROR((H411)*
INDEX(Input_ForRateCalc[],MATCH(Calc_CPI_2[[#This Row],[Cost item]:[Cost item]],Input_ForRateCalc[Cost item],0),MATCH($D$266,Inputs!$C$8:$Y$8,0)),"-")</f>
        <v>3.0121951219512222</v>
      </c>
    </row>
    <row r="412" spans="2:11" outlineLevel="1">
      <c r="C412" s="20" t="s">
        <v>119</v>
      </c>
      <c r="D412" s="20"/>
      <c r="E412" s="20" t="str">
        <f>INDEX(Input_ForRateCalc[Unit],MATCH(Calc_CPI_2[[#This Row],[Cost item]],Input_ForRateCalc[Cost item],0),1)</f>
        <v>$</v>
      </c>
      <c r="F412" s="20" t="str">
        <f>INDEX(Input_ForRateCalc[Customer type],MATCH(Calc_CPI_2[[#This Row],[Cost item]],Input_ForRateCalc[Cost item],0),1)</f>
        <v>All</v>
      </c>
      <c r="G412" s="20" t="str">
        <f>INDEX(Input_CostItemCPI[],MATCH(Calc_CPI_2[[#This Row],[Cost item]],Input_CostItemCPI[Cost item],0),MATCH(Calc_Rates!$D$266,Input_CostItemCPI[#Headers],0))</f>
        <v>No</v>
      </c>
      <c r="H412" s="210" cm="1">
        <f t="array" ref="H412">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2" s="55" cm="1">
        <f t="array" ref="I412">IFERROR((H412)*
INDEX(Input_ForRateCalc[],MATCH(Calc_CPI_2[[#This Row],[Cost item]:[Cost item]],Input_ForRateCalc[Cost item],0),MATCH($D$266,Inputs!$C$8:$Y$8,0)),"-")</f>
        <v>0</v>
      </c>
    </row>
    <row r="413" spans="2:11" outlineLevel="1">
      <c r="C413" s="20" t="s">
        <v>120</v>
      </c>
      <c r="D413" s="20"/>
      <c r="E413" s="20" t="str">
        <f>INDEX(Input_ForRateCalc[Unit],MATCH(Calc_CPI_2[[#This Row],[Cost item]],Input_ForRateCalc[Cost item],0),1)</f>
        <v>$</v>
      </c>
      <c r="F413" s="20" t="str">
        <f>INDEX(Input_ForRateCalc[Customer type],MATCH(Calc_CPI_2[[#This Row],[Cost item]],Input_ForRateCalc[Cost item],0),1)</f>
        <v>All</v>
      </c>
      <c r="G413" s="20" t="str">
        <f>INDEX(Input_CostItemCPI[],MATCH(Calc_CPI_2[[#This Row],[Cost item]],Input_CostItemCPI[Cost item],0),MATCH(Calc_Rates!$D$266,Input_CostItemCPI[#Headers],0))</f>
        <v>Yes</v>
      </c>
      <c r="H413" s="210" cm="1">
        <f t="array" ref="H413">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8.3041958041958033E-2</v>
      </c>
      <c r="I413" s="55" cm="1">
        <f t="array" ref="I413">IFERROR((H413)*
INDEX(Input_ForRateCalc[],MATCH(Calc_CPI_2[[#This Row],[Cost item]:[Cost item]],Input_ForRateCalc[Cost item],0),MATCH($D$266,Inputs!$C$8:$Y$8,0)),"-")</f>
        <v>0.17109623064379934</v>
      </c>
    </row>
    <row r="414" spans="2:11" outlineLevel="1">
      <c r="C414" s="53" t="s">
        <v>122</v>
      </c>
      <c r="D414" s="20"/>
      <c r="E414" s="20" t="str">
        <f>INDEX(Input_ForRateCalc[Unit],MATCH(Calc_CPI_2[[#This Row],[Cost item]],Input_ForRateCalc[Cost item],0),1)</f>
        <v>$/week</v>
      </c>
      <c r="F414" s="20" t="str">
        <f>INDEX(Input_ForRateCalc[Customer type],MATCH(Calc_CPI_2[[#This Row],[Cost item]],Input_ForRateCalc[Cost item],0),1)</f>
        <v>All</v>
      </c>
      <c r="G414" s="20" t="str">
        <f>INDEX(Input_CostItemCPI[],MATCH(Calc_CPI_2[[#This Row],[Cost item]],Input_CostItemCPI[Cost item],0),MATCH(Calc_Rates!$D$266,Input_CostItemCPI[#Headers],0))</f>
        <v>No</v>
      </c>
      <c r="H414" s="210" cm="1">
        <f t="array" ref="H414">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4" s="55" cm="1">
        <f t="array" ref="I414">IFERROR((H414)*
INDEX(Input_ForRateCalc[],MATCH(Calc_CPI_2[[#This Row],[Cost item]:[Cost item]],Input_ForRateCalc[Cost item],0),MATCH($D$266,Inputs!$C$8:$Y$8,0)),"-")</f>
        <v>0</v>
      </c>
    </row>
    <row r="415" spans="2:11" outlineLevel="1">
      <c r="C415" s="40" t="s">
        <v>123</v>
      </c>
      <c r="D415" s="20"/>
      <c r="E415" s="20" t="str">
        <f>INDEX(Input_ForRateCalc[Unit],MATCH(Calc_CPI_2[[#This Row],[Cost item]],Input_ForRateCalc[Cost item],0),1)</f>
        <v>$/week</v>
      </c>
      <c r="F415" s="20" t="str">
        <f>INDEX(Input_ForRateCalc[Customer type],MATCH(Calc_CPI_2[[#This Row],[Cost item]],Input_ForRateCalc[Cost item],0),1)</f>
        <v>All</v>
      </c>
      <c r="G415" s="20" t="str">
        <f>INDEX(Input_CostItemCPI[],MATCH(Calc_CPI_2[[#This Row],[Cost item]],Input_CostItemCPI[Cost item],0),MATCH(Calc_Rates!$D$266,Input_CostItemCPI[#Headers],0))</f>
        <v>No</v>
      </c>
      <c r="H415" s="210" cm="1">
        <f t="array" ref="H415">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5" s="55" cm="1">
        <f t="array" ref="I415">IFERROR((H415)*
INDEX(Input_ForRateCalc[],MATCH(Calc_CPI_2[[#This Row],[Cost item]:[Cost item]],Input_ForRateCalc[Cost item],0),MATCH($D$266,Inputs!$C$8:$Y$8,0)),"-")</f>
        <v>0</v>
      </c>
    </row>
    <row r="416" spans="2:11" outlineLevel="1">
      <c r="C416" s="40" t="s">
        <v>124</v>
      </c>
      <c r="D416" s="40"/>
      <c r="E416" s="20" t="str">
        <f>INDEX(Input_ForRateCalc[Unit],MATCH(Calc_CPI_2[[#This Row],[Cost item]],Input_ForRateCalc[Cost item],0),1)</f>
        <v>$/MWh</v>
      </c>
      <c r="F416" s="20" t="str">
        <f>INDEX(Input_ForRateCalc[Customer type],MATCH(Calc_CPI_2[[#This Row],[Cost item]],Input_ForRateCalc[Cost item],0),1)</f>
        <v>All</v>
      </c>
      <c r="G416" s="20" t="str">
        <f>INDEX(Input_CostItemCPI[],MATCH(Calc_CPI_2[[#This Row],[Cost item]],Input_CostItemCPI[Cost item],0),MATCH(Calc_Rates!$D$266,Input_CostItemCPI[#Headers],0))</f>
        <v>No</v>
      </c>
      <c r="H416" s="210" cm="1">
        <f t="array" ref="H416">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6" s="55" cm="1">
        <f t="array" ref="I416">IFERROR((H416)*
INDEX(Input_ForRateCalc[],MATCH(Calc_CPI_2[[#This Row],[Cost item]:[Cost item]],Input_ForRateCalc[Cost item],0),MATCH($D$266,Inputs!$C$8:$Y$8,0)),"-")</f>
        <v>0</v>
      </c>
    </row>
    <row r="417" spans="1:11" outlineLevel="1">
      <c r="C417" s="40" t="s">
        <v>125</v>
      </c>
      <c r="D417" s="20"/>
      <c r="E417" s="20" t="str">
        <f>INDEX(Input_ForRateCalc[Unit],MATCH(Calc_CPI_2[[#This Row],[Cost item]],Input_ForRateCalc[Cost item],0),1)</f>
        <v>$/MWh</v>
      </c>
      <c r="F417" s="20" t="s">
        <v>91</v>
      </c>
      <c r="G417" s="20" t="str">
        <f>INDEX(Input_CostItemCPI[],MATCH(Calc_CPI_2[[#This Row],[Cost item]],Input_CostItemCPI[Cost item],0),MATCH(Calc_Rates!$D$266,Input_CostItemCPI[#Headers],0))</f>
        <v>No</v>
      </c>
      <c r="H417" s="210" cm="1">
        <f t="array" ref="H417">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7" s="55" cm="1">
        <f t="array" ref="I417">IFERROR((H417)*
INDEX(Input_ForRateCalc[],MATCH(Calc_CPI_2[[#This Row],[Cost item]:[Cost item]],Input_ForRateCalc[Cost item],0),MATCH($D$266,Inputs!$C$8:$Y$8,0)),"-")</f>
        <v>0</v>
      </c>
    </row>
    <row r="418" spans="1:11" outlineLevel="1">
      <c r="C418" s="40" t="s">
        <v>126</v>
      </c>
      <c r="D418" s="40"/>
      <c r="E418" s="20" t="str">
        <f>INDEX(Input_ForRateCalc[Unit],MATCH(Calc_CPI_2[[#This Row],[Cost item]],Input_ForRateCalc[Cost item],0),1)</f>
        <v>$/MWh</v>
      </c>
      <c r="F418" s="40" t="s">
        <v>91</v>
      </c>
      <c r="G418" s="40" t="str">
        <f>INDEX(Input_CostItemCPI[],MATCH(Calc_CPI_2[[#This Row],[Cost item]],Input_CostItemCPI[Cost item],0),MATCH(Calc_Rates!$D$266,Input_CostItemCPI[#Headers],0))</f>
        <v>No</v>
      </c>
      <c r="H418" s="210" cm="1">
        <f t="array" ref="H418">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8" s="55" cm="1">
        <f t="array" ref="I418">IFERROR((H418)*
INDEX(Input_ForRateCalc[],MATCH(Calc_CPI_2[[#This Row],[Cost item]:[Cost item]],Input_ForRateCalc[Cost item],0),MATCH($D$266,Inputs!$C$8:$Y$8,0)),"-")</f>
        <v>0</v>
      </c>
    </row>
    <row r="419" spans="1:11" outlineLevel="1">
      <c r="C419" s="53" t="s">
        <v>521</v>
      </c>
      <c r="D419" s="20"/>
      <c r="E419" s="20" t="str">
        <f>INDEX(Input_ForRateCalc[Unit],MATCH(Calc_CPI_2[[#This Row],[Cost item]],Input_ForRateCalc[Cost item],0),1)</f>
        <v>$/week</v>
      </c>
      <c r="F419" s="20" t="s">
        <v>91</v>
      </c>
      <c r="G419" s="20" t="str">
        <f>INDEX(Input_CostItemCPI[],MATCH(Calc_CPI_2[[#This Row],[Cost item]],Input_CostItemCPI[Cost item],0),MATCH(Calc_Rates!$D$266,Input_CostItemCPI[#Headers],0))</f>
        <v>No</v>
      </c>
      <c r="H419" s="210" cm="1">
        <f t="array" ref="H419">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19" s="55" cm="1">
        <f t="array" ref="I419">IFERROR((H419)*
INDEX(Input_ForRateCalc[],MATCH(Calc_CPI_2[[#This Row],[Cost item]:[Cost item]],Input_ForRateCalc[Cost item],0),MATCH($D$266,Inputs!$C$8:$Y$8,0)),"-")</f>
        <v>0</v>
      </c>
    </row>
    <row r="420" spans="1:11" outlineLevel="1">
      <c r="C420" s="53" t="s">
        <v>522</v>
      </c>
      <c r="D420" s="20"/>
      <c r="E420" s="20" t="str">
        <f>INDEX(Input_ForRateCalc[Unit],MATCH(Calc_CPI_2[[#This Row],[Cost item]],Input_ForRateCalc[Cost item],0),1)</f>
        <v>$/week</v>
      </c>
      <c r="F420" s="20" t="s">
        <v>91</v>
      </c>
      <c r="G420" s="20" t="str">
        <f>INDEX(Input_CostItemCPI[],MATCH(Calc_CPI_2[[#This Row],[Cost item]],Input_CostItemCPI[Cost item],0),MATCH(Calc_Rates!$D$266,Input_CostItemCPI[#Headers],0))</f>
        <v>No</v>
      </c>
      <c r="H420" s="210" cm="1">
        <f t="array" ref="H420">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0" s="55" cm="1">
        <f t="array" ref="I420">IFERROR((H420)*
INDEX(Input_ForRateCalc[],MATCH(Calc_CPI_2[[#This Row],[Cost item]:[Cost item]],Input_ForRateCalc[Cost item],0),MATCH($D$266,Inputs!$C$8:$Y$8,0)),"-")</f>
        <v>0</v>
      </c>
    </row>
    <row r="421" spans="1:11" outlineLevel="1">
      <c r="C421" s="40" t="s">
        <v>527</v>
      </c>
      <c r="D421" s="20"/>
      <c r="E421" s="20" t="str">
        <f>INDEX(Input_ForRateCalc[Unit],MATCH(Calc_CPI_2[[#This Row],[Cost item]],Input_ForRateCalc[Cost item],0),1)</f>
        <v>$/week</v>
      </c>
      <c r="F421" s="20" t="s">
        <v>91</v>
      </c>
      <c r="G421" s="20" t="str">
        <f>INDEX(Input_CostItemCPI[],MATCH(Calc_CPI_2[[#This Row],[Cost item]],Input_CostItemCPI[Cost item],0),MATCH(Calc_Rates!$D$266,Input_CostItemCPI[#Headers],0))</f>
        <v>No</v>
      </c>
      <c r="H421" s="210" cm="1">
        <f t="array" ref="H421">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1" s="55" cm="1">
        <f t="array" ref="I421">IFERROR((H421)*
INDEX(Input_ForRateCalc[],MATCH(Calc_CPI_2[[#This Row],[Cost item]:[Cost item]],Input_ForRateCalc[Cost item],0),MATCH($D$266,Inputs!$C$8:$Y$8,0)),"-")</f>
        <v>0</v>
      </c>
    </row>
    <row r="422" spans="1:11" outlineLevel="1">
      <c r="C422" s="53" t="s">
        <v>515</v>
      </c>
      <c r="D422" s="20"/>
      <c r="E422" s="20" t="str">
        <f>INDEX(Input_ForRateCalc[Unit],MATCH(Calc_CPI_2[[#This Row],[Cost item]],Input_ForRateCalc[Cost item],0),1)</f>
        <v>$/MWh</v>
      </c>
      <c r="F422" s="20" t="s">
        <v>91</v>
      </c>
      <c r="G422" s="20" t="str">
        <f>INDEX(Input_CostItemCPI[],MATCH(Calc_CPI_2[[#This Row],[Cost item]],Input_CostItemCPI[Cost item],0),MATCH(Calc_Rates!$D$266,Input_CostItemCPI[#Headers],0))</f>
        <v>No</v>
      </c>
      <c r="H422" s="210" cm="1">
        <f t="array" ref="H422">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2" s="55" cm="1">
        <f t="array" ref="I422">IFERROR((H422)*
INDEX(Input_ForRateCalc[],MATCH(Calc_CPI_2[[#This Row],[Cost item]:[Cost item]],Input_ForRateCalc[Cost item],0),MATCH($D$266,Inputs!$C$8:$Y$8,0)),"-")</f>
        <v>0</v>
      </c>
    </row>
    <row r="423" spans="1:11" outlineLevel="1">
      <c r="C423" s="53" t="s">
        <v>516</v>
      </c>
      <c r="D423" s="20"/>
      <c r="E423" s="20" t="str">
        <f>INDEX(Input_ForRateCalc[Unit],MATCH(Calc_CPI_2[[#This Row],[Cost item]],Input_ForRateCalc[Cost item],0),1)</f>
        <v>$/MWh</v>
      </c>
      <c r="F423" s="20" t="s">
        <v>91</v>
      </c>
      <c r="G423" s="20" t="str">
        <f>INDEX(Input_CostItemCPI[],MATCH(Calc_CPI_2[[#This Row],[Cost item]],Input_CostItemCPI[Cost item],0),MATCH(Calc_Rates!$D$266,Input_CostItemCPI[#Headers],0))</f>
        <v>No</v>
      </c>
      <c r="H423" s="210" cm="1">
        <f t="array" ref="H423">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3" s="55" cm="1">
        <f t="array" ref="I423">IFERROR((H423)*
INDEX(Input_ForRateCalc[],MATCH(Calc_CPI_2[[#This Row],[Cost item]:[Cost item]],Input_ForRateCalc[Cost item],0),MATCH($D$266,Inputs!$C$8:$Y$8,0)),"-")</f>
        <v>0</v>
      </c>
    </row>
    <row r="424" spans="1:11" outlineLevel="1">
      <c r="C424" s="53" t="s">
        <v>517</v>
      </c>
      <c r="D424" s="20"/>
      <c r="E424" s="20" t="str">
        <f>INDEX(Input_ForRateCalc[Unit],MATCH(Calc_CPI_2[[#This Row],[Cost item]],Input_ForRateCalc[Cost item],0),1)</f>
        <v>$/MWh</v>
      </c>
      <c r="F424" s="20" t="s">
        <v>91</v>
      </c>
      <c r="G424" s="40" t="str">
        <f>INDEX(Input_CostItemCPI[],MATCH(Calc_CPI_2[[#This Row],[Cost item]],Input_CostItemCPI[Cost item],0),MATCH(Calc_Rates!$D$266,Input_CostItemCPI[#Headers],0))</f>
        <v>No</v>
      </c>
      <c r="H424" s="211" cm="1">
        <f t="array" ref="H424">IF(Calc_CPI_2[[#This Row],[Adjust?]]="No",0,
IFERROR(
($D$406-
INDEX(CPI[Indice],MATCH(
INDEX(Input_ForRateCalc[],MATCH(Calc_CPI_2[[#This Row],[Cost item]:[Cost item]],Input_ForRateCalc[Cost item],0),MATCH($D$266&amp;" - input date",Inputs!C$8:Y$8,0)),
CPI[Period],0),1))/
INDEX(CPI[Indice],MATCH(
INDEX(Input_ForRateCalc[],MATCH(Calc_CPI_2[[#This Row],[Cost item]:[Cost item]],Input_ForRateCalc[Cost item],0),MATCH($D$266&amp;" - input date",Inputs!C$8:Y$8,0)),
CPI[Period],0),1),"-"))</f>
        <v>0</v>
      </c>
      <c r="I424" s="65" cm="1">
        <f t="array" ref="I424">IFERROR((H424)*
INDEX(Input_ForRateCalc[],MATCH(Calc_CPI_2[[#This Row],[Cost item]:[Cost item]],Input_ForRateCalc[Cost item],0),MATCH($D$266,Inputs!$C$8:$Y$8,0)),"-")</f>
        <v>0</v>
      </c>
    </row>
    <row r="425" spans="1:11" outlineLevel="1"/>
    <row r="426" spans="1:11" ht="15.5" outlineLevel="1">
      <c r="C426" s="26" t="s">
        <v>105</v>
      </c>
    </row>
    <row r="427" spans="1:11" ht="15.5" outlineLevel="1">
      <c r="C427" s="39" t="s">
        <v>33</v>
      </c>
      <c r="D427" s="39" t="s">
        <v>88</v>
      </c>
      <c r="E427" s="39" t="s">
        <v>56</v>
      </c>
      <c r="F427" s="39" t="s">
        <v>57</v>
      </c>
      <c r="G427" s="54" t="s">
        <v>58</v>
      </c>
      <c r="H427" s="54" t="s">
        <v>59</v>
      </c>
      <c r="I427" s="54" t="s">
        <v>60</v>
      </c>
      <c r="J427" s="54" t="s">
        <v>61</v>
      </c>
      <c r="K427" s="54" t="s">
        <v>62</v>
      </c>
    </row>
    <row r="428" spans="1:11" outlineLevel="1">
      <c r="C428" s="20" t="s">
        <v>127</v>
      </c>
      <c r="D428" s="20" t="s">
        <v>7</v>
      </c>
      <c r="E428" s="20" t="s">
        <v>128</v>
      </c>
      <c r="F428" s="20" t="s">
        <v>91</v>
      </c>
      <c r="G428" s="77" cm="1">
        <f t="array" ref="G428">IFERROR(INDEX(Input_ForRateCalc[],MATCH(Calc_Losses_2[[#This Row],[Cost item]:[Cost item]]&amp;" - "&amp;Calc_Losses_2[[#Headers],[Ausnet]],Input_ForRateCalc[[Cost item]:[Cost item]],0),MATCH($D$266,Inputs!$C$8:$Y$8,0)),"-")</f>
        <v>1.0020692307700001</v>
      </c>
      <c r="H428" s="77" cm="1">
        <f t="array" ref="H428">IFERROR(INDEX(Input_ForRateCalc[],MATCH(Calc_Losses_2[[#This Row],[Cost item]:[Cost item]]&amp;" - "&amp;Calc_Losses_2[[#Headers],[Citipower]],Input_ForRateCalc[[Cost item]:[Cost item]],0),MATCH($D$266,Inputs!$C$8:$Y$8,0)),"-")</f>
        <v>0.99789000000000005</v>
      </c>
      <c r="I428" s="77" cm="1">
        <f t="array" ref="I428">IFERROR(INDEX(Input_ForRateCalc[],MATCH(Calc_Losses_2[[#This Row],[Cost item]:[Cost item]]&amp;" - "&amp;Calc_Losses_2[[#Headers],[Jemena]],Input_ForRateCalc[[Cost item]:[Cost item]],0),MATCH($D$266,Inputs!$C$8:$Y$8,0)),"-")</f>
        <v>0.99978750000000005</v>
      </c>
      <c r="J428" s="77" cm="1">
        <f t="array" ref="J428">IFERROR(INDEX(Input_ForRateCalc[],MATCH(Calc_Losses_2[[#This Row],[Cost item]:[Cost item]]&amp;" - "&amp;Calc_Losses_2[[#Headers],[Powercor]],Input_ForRateCalc[[Cost item]:[Cost item]],0),MATCH($D$266,Inputs!$C$8:$Y$8,0)),"-")</f>
        <v>0.99254736842000002</v>
      </c>
      <c r="K428" s="77" cm="1">
        <f t="array" ref="K428">IFERROR(INDEX(Input_ForRateCalc[],MATCH(Calc_Losses_2[[#This Row],[Cost item]:[Cost item]]&amp;" - "&amp;Calc_Losses_2[[#Headers],[United Energy]],Input_ForRateCalc[[Cost item]:[Cost item]],0),MATCH($D$266,Inputs!$C$8:$Y$8,0)),"-")</f>
        <v>0.99679090909000001</v>
      </c>
    </row>
    <row r="429" spans="1:11" outlineLevel="1">
      <c r="C429" s="20" t="s">
        <v>129</v>
      </c>
      <c r="D429" s="20" t="s">
        <v>7</v>
      </c>
      <c r="E429" s="20" t="s">
        <v>128</v>
      </c>
      <c r="F429" s="20" t="s">
        <v>91</v>
      </c>
      <c r="G429" s="77" cm="1">
        <f t="array" ref="G429">IFERROR(INDEX(Input_ForRateCalc[],MATCH(Calc_Losses_2[[#This Row],[Cost item]:[Cost item]]&amp;" - "&amp;Calc_Losses_2[[#Headers],[Ausnet]],Input_ForRateCalc[[Cost item]:[Cost item]],0),MATCH($D$266,Inputs!$C$8:$Y$8,0)),"-")</f>
        <v>1.0768412403282728</v>
      </c>
      <c r="H429" s="77" cm="1">
        <f t="array" ref="H429">IFERROR(INDEX(Input_ForRateCalc[],MATCH(Calc_Losses_2[[#This Row],[Cost item]:[Cost item]]&amp;" - "&amp;Calc_Losses_2[[#Headers],[Citipower]],Input_ForRateCalc[[Cost item]:[Cost item]],0),MATCH($D$266,Inputs!$C$8:$Y$8,0)),"-")</f>
        <v>1.0488</v>
      </c>
      <c r="I429" s="77" cm="1">
        <f t="array" ref="I429">IFERROR(INDEX(Input_ForRateCalc[],MATCH(Calc_Losses_2[[#This Row],[Cost item]:[Cost item]]&amp;" - "&amp;Calc_Losses_2[[#Headers],[Jemena]],Input_ForRateCalc[[Cost item]:[Cost item]],0),MATCH($D$266,Inputs!$C$8:$Y$8,0)),"-")</f>
        <v>1.0379</v>
      </c>
      <c r="J429" s="77" cm="1">
        <f t="array" ref="J429">IFERROR(INDEX(Input_ForRateCalc[],MATCH(Calc_Losses_2[[#This Row],[Cost item]:[Cost item]]&amp;" - "&amp;Calc_Losses_2[[#Headers],[Powercor]],Input_ForRateCalc[[Cost item]:[Cost item]],0),MATCH($D$266,Inputs!$C$8:$Y$8,0)),"-")</f>
        <v>1.0775506304077396</v>
      </c>
      <c r="K429" s="77" cm="1">
        <f t="array" ref="K429">IFERROR(INDEX(Input_ForRateCalc[],MATCH(Calc_Losses_2[[#This Row],[Cost item]:[Cost item]]&amp;" - "&amp;Calc_Losses_2[[#Headers],[United Energy]],Input_ForRateCalc[[Cost item]:[Cost item]],0),MATCH($D$266,Inputs!$C$8:$Y$8,0)),"-")</f>
        <v>1.0470999999999999</v>
      </c>
    </row>
    <row r="430" spans="1:11" outlineLevel="1">
      <c r="C430" s="40" t="s">
        <v>130</v>
      </c>
      <c r="D430" s="20" t="s">
        <v>7</v>
      </c>
      <c r="E430" s="40" t="s">
        <v>128</v>
      </c>
      <c r="F430" s="20" t="s">
        <v>91</v>
      </c>
      <c r="G430" s="211">
        <f>(G428*G429)-1</f>
        <v>7.9069473357165077E-2</v>
      </c>
      <c r="H430" s="211">
        <f t="shared" ref="H430:K430" si="103">(H428*H429)-1</f>
        <v>4.6587031999999917E-2</v>
      </c>
      <c r="I430" s="211">
        <f t="shared" si="103"/>
        <v>3.7679446250000082E-2</v>
      </c>
      <c r="J430" s="211">
        <f t="shared" si="103"/>
        <v>6.9520042550514027E-2</v>
      </c>
      <c r="K430" s="211">
        <f t="shared" si="103"/>
        <v>4.3739760908138914E-2</v>
      </c>
    </row>
    <row r="431" spans="1:11" outlineLevel="1">
      <c r="B431"/>
    </row>
    <row r="432" spans="1:11" ht="15.5" outlineLevel="1" collapsed="1">
      <c r="A432" s="1" t="s">
        <v>18</v>
      </c>
      <c r="C432" s="26" t="s">
        <v>97</v>
      </c>
    </row>
    <row r="433" spans="1:16" ht="15.5" outlineLevel="1">
      <c r="C433" s="39" t="s">
        <v>33</v>
      </c>
      <c r="D433" s="39" t="s">
        <v>88</v>
      </c>
      <c r="E433" s="39" t="s">
        <v>56</v>
      </c>
      <c r="F433" s="39" t="s">
        <v>57</v>
      </c>
      <c r="G433" s="54" t="s">
        <v>58</v>
      </c>
      <c r="H433" s="54" t="s">
        <v>59</v>
      </c>
      <c r="I433" s="54" t="s">
        <v>60</v>
      </c>
      <c r="J433" s="54" t="s">
        <v>61</v>
      </c>
      <c r="K433" s="54" t="s">
        <v>62</v>
      </c>
    </row>
    <row r="434" spans="1:16" outlineLevel="1">
      <c r="C434" s="20" t="s">
        <v>97</v>
      </c>
      <c r="D434" s="20" t="s">
        <v>7</v>
      </c>
      <c r="E434" s="20" t="s">
        <v>128</v>
      </c>
      <c r="F434" s="20" t="s">
        <v>91</v>
      </c>
      <c r="G434" s="77" cm="1">
        <f t="array" ref="G434">IFERROR(INDEX(Input_ForRateCalc[],MATCH(Calc_ROM_2[[#This Row],[Cost item]:[Cost item]],Input_ForRateCalc[[Cost item]:[Cost item]],0),MATCH($D$266,Inputs!$C$8:$Y$8,0)),"-")</f>
        <v>6.0400000000000002E-2</v>
      </c>
      <c r="H434" s="77" cm="1">
        <f t="array" ref="H434">IFERROR(INDEX(Input_ForRateCalc[],MATCH(Calc_ROM_2[[#This Row],[Cost item]:[Cost item]],Input_ForRateCalc[[Cost item]:[Cost item]],0),MATCH($D$266,Inputs!$C$8:$Y$8,0)),"-")</f>
        <v>6.0400000000000002E-2</v>
      </c>
      <c r="I434" s="77" cm="1">
        <f t="array" ref="I434">IFERROR(INDEX(Input_ForRateCalc[],MATCH(Calc_ROM_2[[#This Row],[Cost item]:[Cost item]],Input_ForRateCalc[[Cost item]:[Cost item]],0),MATCH($D$266,Inputs!$C$8:$Y$8,0)),"-")</f>
        <v>6.0400000000000002E-2</v>
      </c>
      <c r="J434" s="77" cm="1">
        <f t="array" ref="J434">IFERROR(INDEX(Input_ForRateCalc[],MATCH(Calc_ROM_2[[#This Row],[Cost item]:[Cost item]],Input_ForRateCalc[[Cost item]:[Cost item]],0),MATCH($D$266,Inputs!$C$8:$Y$8,0)),"-")</f>
        <v>6.0400000000000002E-2</v>
      </c>
      <c r="K434" s="77" cm="1">
        <f t="array" ref="K434">IFERROR(INDEX(Input_ForRateCalc[],MATCH(Calc_ROM_2[[#This Row],[Cost item]:[Cost item]],Input_ForRateCalc[[Cost item]:[Cost item]],0),MATCH($D$266,Inputs!$C$8:$Y$8,0)),"-")</f>
        <v>6.0400000000000002E-2</v>
      </c>
    </row>
    <row r="435" spans="1:16">
      <c r="B435"/>
    </row>
    <row r="436" spans="1:16">
      <c r="B436"/>
    </row>
    <row r="437" spans="1:16" ht="16" thickBot="1">
      <c r="B437" s="216">
        <f ca="1">MAX(B$3:B436)+0.01</f>
        <v>13.099999999999998</v>
      </c>
      <c r="C437" s="25" t="s">
        <v>131</v>
      </c>
      <c r="D437" s="25"/>
      <c r="E437" s="25"/>
      <c r="F437" s="25"/>
      <c r="G437" s="25"/>
      <c r="H437" s="25"/>
      <c r="I437" s="25"/>
      <c r="J437" s="25"/>
      <c r="K437" s="25"/>
    </row>
    <row r="438" spans="1:16" outlineLevel="1"/>
    <row r="439" spans="1:16" ht="15.5" outlineLevel="1" collapsed="1">
      <c r="A439" s="1" t="s">
        <v>18</v>
      </c>
      <c r="C439" s="39" t="s">
        <v>33</v>
      </c>
      <c r="D439" s="39" t="s">
        <v>88</v>
      </c>
      <c r="E439" s="39" t="s">
        <v>56</v>
      </c>
      <c r="F439" s="39" t="s">
        <v>57</v>
      </c>
      <c r="G439" s="54" t="s">
        <v>58</v>
      </c>
      <c r="H439" s="54" t="s">
        <v>59</v>
      </c>
      <c r="I439" s="54" t="s">
        <v>60</v>
      </c>
      <c r="J439" s="54" t="s">
        <v>61</v>
      </c>
      <c r="K439" s="54" t="s">
        <v>62</v>
      </c>
    </row>
    <row r="440" spans="1:16" outlineLevel="1">
      <c r="C440" s="20" t="s">
        <v>132</v>
      </c>
      <c r="D440" s="20" t="s">
        <v>90</v>
      </c>
      <c r="E440" s="20" t="s">
        <v>64</v>
      </c>
      <c r="F440" s="20" t="s">
        <v>91</v>
      </c>
      <c r="G440" s="55" cm="1">
        <f t="array" ref="G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c r="H440" s="55" cm="1">
        <f t="array" ref="H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c r="I440" s="55" cm="1">
        <f t="array" ref="I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c r="J440" s="55" cm="1">
        <f t="array" ref="J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c r="K440" s="55" cm="1">
        <f t="array" ref="K440">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item]],0),MATCH($D$266,Inputs!$C$8:$Y$8,0))+
INDEX(Input_ForRateCalc[],MATCH(Calc_Retail_2[[#This Row],[Cost item]:[Cost item]]&amp;" - 5 min settlement allowance",Input_ForRateCalc[[Cost item]:[Cost item]],0),MATCH($D$266,Inputs!$C$8:$Y$8,0))+
INDEX(Input_ForRateCalc[],MATCH(Calc_Retail_2[[#This Row],[Cost item]:[Cost item]]&amp;" - regulatory cost allowance",Input_ForRateCalc[[Cost item]:[Cost item]],0),MATCH($D$266,Inputs!$C$8:$Y$8,0))+
INDEX(Input_ForRateCalc[],MATCH(Calc_Retail_2[[#This Row],[Cost item]:[Cost item]]&amp;" - bad debt allowance",Input_ForRateCalc[[Cost item]:[Cost item]],0),MATCH($D$266,Inputs!$C$8:$Y$8,0)),"-")</f>
        <v>146.34711116531165</v>
      </c>
    </row>
    <row r="441" spans="1:16" outlineLevel="1">
      <c r="C441" s="40" t="s">
        <v>118</v>
      </c>
      <c r="D441" s="40" t="s">
        <v>90</v>
      </c>
      <c r="E441" s="20" t="s">
        <v>64</v>
      </c>
      <c r="F441" s="20" t="s">
        <v>91</v>
      </c>
      <c r="G441" s="55" cm="1">
        <f t="array" ref="G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c r="H441" s="55" cm="1">
        <f t="array" ref="H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c r="I441" s="55" cm="1">
        <f t="array" ref="I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c r="J441" s="55" cm="1">
        <f t="array" ref="J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c r="K441" s="55" cm="1">
        <f t="array" ref="K441">IFERROR(
IFERROR(INDEX(Calc_CPI_2[[CPI uplift factor]:[CPI uplift factor]],MATCH(Calc_Retail_2[[#This Row],[Cost item]:[Cost item]],Calc_CPI_1[[Cost item]:[Cost item]],0),1),0)+
INDEX(Input_ForRateCalc[],MATCH(Calc_Retail_2[[#This Row],[Cost item]:[Cost item]],Input_ForRateCalc[[Cost item]:[Cost item]],0),MATCH($D$5,Inputs!$C$8:$Y$8,0)),"-")</f>
        <v>41.012195121951223</v>
      </c>
    </row>
    <row r="443" spans="1:16" ht="16" thickBot="1">
      <c r="B443" s="216">
        <f ca="1">MAX(B$3:B442)+0.01</f>
        <v>13.109999999999998</v>
      </c>
      <c r="C443" s="25" t="s">
        <v>92</v>
      </c>
      <c r="D443" s="25"/>
      <c r="E443" s="25"/>
      <c r="F443" s="25"/>
      <c r="G443" s="25"/>
      <c r="H443" s="25"/>
      <c r="I443" s="25"/>
      <c r="J443" s="25"/>
      <c r="K443" s="25"/>
    </row>
    <row r="444" spans="1:16" outlineLevel="1"/>
    <row r="445" spans="1:16" ht="15.5" outlineLevel="1">
      <c r="C445" s="39" t="s">
        <v>33</v>
      </c>
      <c r="D445" s="39" t="s">
        <v>88</v>
      </c>
      <c r="E445" s="39" t="s">
        <v>56</v>
      </c>
      <c r="F445" s="39" t="s">
        <v>57</v>
      </c>
      <c r="G445" s="54" t="s">
        <v>58</v>
      </c>
      <c r="H445" s="54" t="s">
        <v>59</v>
      </c>
      <c r="I445" s="54" t="s">
        <v>60</v>
      </c>
      <c r="J445" s="54" t="s">
        <v>61</v>
      </c>
      <c r="K445" s="54" t="s">
        <v>62</v>
      </c>
    </row>
    <row r="446" spans="1:16" outlineLevel="1">
      <c r="C446" s="20" t="s">
        <v>120</v>
      </c>
      <c r="D446" s="20" t="s">
        <v>90</v>
      </c>
      <c r="E446" s="20" t="s">
        <v>64</v>
      </c>
      <c r="F446" s="20" t="s">
        <v>91</v>
      </c>
      <c r="G446" s="55" cm="1">
        <f t="array" ref="G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H446" s="55" cm="1">
        <f t="array" ref="H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I446" s="55" cm="1">
        <f t="array" ref="I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J446" s="55" cm="1">
        <f t="array" ref="J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K446" s="55" cm="1">
        <f t="array" ref="K44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2.2314550501859727</v>
      </c>
      <c r="M446" s="78"/>
      <c r="N446" s="78"/>
      <c r="P446" s="174"/>
    </row>
    <row r="447" spans="1:16" outlineLevel="1">
      <c r="C447" s="20" t="s">
        <v>133</v>
      </c>
      <c r="D447" s="20" t="s">
        <v>90</v>
      </c>
      <c r="E447" s="20" t="s">
        <v>64</v>
      </c>
      <c r="F447" s="20" t="s">
        <v>91</v>
      </c>
      <c r="G447" s="55" cm="1">
        <f t="array" ref="G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47" s="55" cm="1">
        <f t="array" ref="H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47" s="55" cm="1">
        <f t="array" ref="I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47" s="55" cm="1">
        <f t="array" ref="J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47" s="55" cm="1">
        <f t="array" ref="K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47" s="78"/>
      <c r="N447" s="78"/>
      <c r="P447" s="174"/>
    </row>
    <row r="448" spans="1:16" outlineLevel="1">
      <c r="C448" s="53" t="s">
        <v>122</v>
      </c>
      <c r="D448" s="20" t="s">
        <v>90</v>
      </c>
      <c r="E448" s="20" t="s">
        <v>134</v>
      </c>
      <c r="F448" s="20" t="s">
        <v>91</v>
      </c>
      <c r="G448" s="55" cm="1">
        <f t="array" ref="G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H448" s="55" cm="1">
        <f t="array" ref="H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I448" s="55" cm="1">
        <f t="array" ref="I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J448" s="55" cm="1">
        <f t="array" ref="J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K448" s="55" cm="1">
        <f t="array" ref="K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0.57407999999999992</v>
      </c>
      <c r="M448" s="78"/>
      <c r="N448" s="78"/>
      <c r="P448" s="174"/>
    </row>
    <row r="449" spans="1:16" outlineLevel="1">
      <c r="C449" s="20" t="s">
        <v>123</v>
      </c>
      <c r="D449" s="20" t="s">
        <v>90</v>
      </c>
      <c r="E449" s="20" t="s">
        <v>134</v>
      </c>
      <c r="F449" s="20" t="s">
        <v>91</v>
      </c>
      <c r="G449" s="55" cm="1">
        <f t="array" ref="G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H449" s="55" cm="1">
        <f t="array" ref="H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I449" s="55" cm="1">
        <f t="array" ref="I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J449" s="55" cm="1">
        <f t="array" ref="J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K449" s="55" cm="1">
        <f t="array" ref="K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1.3137190016277926</v>
      </c>
      <c r="M449" s="78"/>
      <c r="N449" s="78"/>
      <c r="P449" s="174"/>
    </row>
    <row r="450" spans="1:16" ht="15.5" outlineLevel="1" collapsed="1">
      <c r="A450" s="1" t="s">
        <v>18</v>
      </c>
      <c r="C450" s="20" t="s">
        <v>124</v>
      </c>
      <c r="D450" s="20" t="s">
        <v>103</v>
      </c>
      <c r="E450" s="20" t="s">
        <v>68</v>
      </c>
      <c r="F450" s="20" t="s">
        <v>91</v>
      </c>
      <c r="G450" s="55" cm="1">
        <f t="array" ref="G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H450" s="55" cm="1">
        <f t="array" ref="H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I450" s="55" cm="1">
        <f t="array" ref="I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J450" s="55" cm="1">
        <f t="array" ref="J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K450" s="55" cm="1">
        <f t="array" ref="K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7.5403769999999996E-4</v>
      </c>
      <c r="M450" s="78"/>
      <c r="N450" s="78"/>
      <c r="O450" s="78"/>
      <c r="P450" s="174"/>
    </row>
    <row r="451" spans="1:16" outlineLevel="1">
      <c r="C451" s="20" t="s">
        <v>135</v>
      </c>
      <c r="D451" s="20" t="s">
        <v>103</v>
      </c>
      <c r="E451" s="20" t="s">
        <v>68</v>
      </c>
      <c r="F451" s="20" t="s">
        <v>91</v>
      </c>
      <c r="G451" s="55" cm="1">
        <f t="array" ref="G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1" s="55" cm="1">
        <f t="array" ref="H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1" s="55" cm="1">
        <f t="array" ref="I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1" s="55" cm="1">
        <f t="array" ref="J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1" s="55" cm="1">
        <f t="array" ref="K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1" s="78"/>
      <c r="N451" s="78"/>
      <c r="O451" s="78"/>
      <c r="P451" s="174"/>
    </row>
    <row r="452" spans="1:16" outlineLevel="1">
      <c r="C452" s="20" t="s">
        <v>125</v>
      </c>
      <c r="D452" s="20" t="s">
        <v>103</v>
      </c>
      <c r="E452" s="20" t="s">
        <v>68</v>
      </c>
      <c r="F452" s="20" t="s">
        <v>91</v>
      </c>
      <c r="G452" s="55" cm="1">
        <f t="array" ref="G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H452" s="55" cm="1">
        <f t="array" ref="H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I452" s="55" cm="1">
        <f t="array" ref="I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J452" s="55" cm="1">
        <f t="array" ref="J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K452" s="55" cm="1">
        <f t="array" ref="K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2.1326610021196995E-4</v>
      </c>
      <c r="M452" s="78"/>
      <c r="N452" s="78"/>
      <c r="O452" s="78"/>
      <c r="P452" s="174"/>
    </row>
    <row r="453" spans="1:16" outlineLevel="1">
      <c r="C453" s="20" t="s">
        <v>126</v>
      </c>
      <c r="D453" s="20" t="s">
        <v>103</v>
      </c>
      <c r="E453" s="20" t="s">
        <v>68</v>
      </c>
      <c r="F453" s="20" t="s">
        <v>91</v>
      </c>
      <c r="G453" s="55" cm="1">
        <f t="array" ref="G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H453" s="55" cm="1">
        <f t="array" ref="H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I453" s="55" cm="1">
        <f t="array" ref="I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J453" s="55" cm="1">
        <f t="array" ref="J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K453" s="55" cm="1">
        <f t="array" ref="K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2.0535522828283653E-5</v>
      </c>
      <c r="M453" s="78"/>
      <c r="N453" s="78"/>
      <c r="O453" s="78"/>
      <c r="P453" s="174"/>
    </row>
    <row r="454" spans="1:16" outlineLevel="1">
      <c r="C454" s="40" t="s">
        <v>136</v>
      </c>
      <c r="D454" s="40" t="s">
        <v>103</v>
      </c>
      <c r="E454" s="20" t="s">
        <v>68</v>
      </c>
      <c r="F454" s="20" t="s">
        <v>91</v>
      </c>
      <c r="G454" s="55" cm="1">
        <f t="array" ref="G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H454" s="55" cm="1">
        <f t="array" ref="H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I454" s="55" cm="1">
        <f t="array" ref="I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J454" s="55" cm="1">
        <f t="array" ref="J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K454" s="55" cm="1">
        <f t="array" ref="K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3.5048975049154028E-4</v>
      </c>
      <c r="M454" s="78"/>
      <c r="N454" s="78"/>
      <c r="O454" s="78"/>
      <c r="P454" s="174"/>
    </row>
    <row r="455" spans="1:16" outlineLevel="1">
      <c r="C455" s="20" t="s">
        <v>521</v>
      </c>
      <c r="D455" s="20" t="s">
        <v>90</v>
      </c>
      <c r="E455" s="20" t="s">
        <v>64</v>
      </c>
      <c r="F455" s="20" t="s">
        <v>91</v>
      </c>
      <c r="G455" s="55" cm="1">
        <f t="array" ref="G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5" s="55" cm="1">
        <f t="array" ref="H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5" s="55" cm="1">
        <f t="array" ref="I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5" s="55" cm="1">
        <f t="array" ref="J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5" s="55" cm="1">
        <f t="array" ref="K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5" s="78"/>
      <c r="N455" s="78"/>
      <c r="O455" s="78"/>
      <c r="P455" s="174"/>
    </row>
    <row r="456" spans="1:16" outlineLevel="1">
      <c r="C456" s="20" t="s">
        <v>522</v>
      </c>
      <c r="D456" s="20" t="s">
        <v>90</v>
      </c>
      <c r="E456" s="20" t="s">
        <v>64</v>
      </c>
      <c r="F456" s="20" t="s">
        <v>91</v>
      </c>
      <c r="G456" s="55" cm="1">
        <f t="array" ref="G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6" s="55" cm="1">
        <f t="array" ref="H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6" s="55" cm="1">
        <f t="array" ref="I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6" s="55" cm="1">
        <f t="array" ref="J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6" s="55" cm="1">
        <f t="array" ref="K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6" s="78"/>
      <c r="N456" s="78"/>
      <c r="O456" s="78"/>
      <c r="P456" s="174"/>
    </row>
    <row r="457" spans="1:16" outlineLevel="1">
      <c r="C457" s="20" t="s">
        <v>527</v>
      </c>
      <c r="D457" s="20" t="s">
        <v>90</v>
      </c>
      <c r="E457" s="20" t="s">
        <v>64</v>
      </c>
      <c r="F457" s="20" t="s">
        <v>91</v>
      </c>
      <c r="G457" s="55" cm="1">
        <f t="array" ref="G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7" s="55" cm="1">
        <f t="array" ref="H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7" s="55" cm="1">
        <f t="array" ref="I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7" s="55" cm="1">
        <f t="array" ref="J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7" s="55" cm="1">
        <f t="array" ref="K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7" s="78"/>
      <c r="N457" s="78"/>
      <c r="O457" s="78"/>
      <c r="P457" s="174"/>
    </row>
    <row r="458" spans="1:16" outlineLevel="1">
      <c r="C458" s="20" t="s">
        <v>515</v>
      </c>
      <c r="D458" s="20" t="s">
        <v>103</v>
      </c>
      <c r="E458" s="20" t="s">
        <v>68</v>
      </c>
      <c r="F458" s="20" t="s">
        <v>91</v>
      </c>
      <c r="G458" s="55" cm="1">
        <f t="array" ref="G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8" s="55" cm="1">
        <f t="array" ref="H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8" s="55" cm="1">
        <f t="array" ref="I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8" s="55" cm="1">
        <f t="array" ref="J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8" s="55" cm="1">
        <f t="array" ref="K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8" s="78"/>
      <c r="N458" s="78"/>
      <c r="O458" s="78"/>
      <c r="P458" s="174"/>
    </row>
    <row r="459" spans="1:16" outlineLevel="1">
      <c r="C459" s="20" t="s">
        <v>516</v>
      </c>
      <c r="D459" s="20" t="s">
        <v>103</v>
      </c>
      <c r="E459" s="20" t="s">
        <v>68</v>
      </c>
      <c r="F459" s="20" t="s">
        <v>91</v>
      </c>
      <c r="G459" s="55" cm="1">
        <f t="array" ref="G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59" s="55" cm="1">
        <f t="array" ref="H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59" s="55" cm="1">
        <f t="array" ref="I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59" s="55" cm="1">
        <f t="array" ref="J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59" s="55" cm="1">
        <f t="array" ref="K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59" s="78"/>
      <c r="N459" s="78"/>
      <c r="O459" s="78"/>
      <c r="P459" s="174"/>
    </row>
    <row r="460" spans="1:16" outlineLevel="1">
      <c r="C460" s="40" t="s">
        <v>517</v>
      </c>
      <c r="D460" s="40" t="s">
        <v>103</v>
      </c>
      <c r="E460" s="40" t="s">
        <v>68</v>
      </c>
      <c r="F460" s="40" t="s">
        <v>91</v>
      </c>
      <c r="G460" s="65" cm="1">
        <f t="array" ref="G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H460" s="65" cm="1">
        <f t="array" ref="H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I460" s="65" cm="1">
        <f t="array" ref="I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J460" s="65" cm="1">
        <f t="array" ref="J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K460" s="65" cm="1">
        <f t="array" ref="K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item]],0),MATCH($D$266,Inputs!$C$8:$Y$8,0)))*IF(Calc_OtherCosts_2[[#This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item]],0),MATCH($D$266,Inputs!$C$8:$Y$8,0)))/1000),"-")</f>
        <v>0</v>
      </c>
      <c r="M460" s="78"/>
      <c r="N460" s="78"/>
      <c r="O460" s="78"/>
      <c r="P460" s="174"/>
    </row>
    <row r="462" spans="1:16" ht="16" thickBot="1">
      <c r="B462" s="216">
        <f ca="1">MAX(B$3:B461)+0.01</f>
        <v>13.119999999999997</v>
      </c>
      <c r="C462" s="25" t="s">
        <v>80</v>
      </c>
      <c r="D462" s="25"/>
      <c r="E462" s="25"/>
      <c r="F462" s="25"/>
      <c r="G462" s="25"/>
      <c r="H462" s="25"/>
      <c r="I462" s="25"/>
      <c r="J462" s="25"/>
      <c r="K462" s="25"/>
      <c r="N462" s="78"/>
    </row>
    <row r="463" spans="1:16" outlineLevel="1"/>
    <row r="464" spans="1:16" ht="15.5" outlineLevel="1">
      <c r="C464" s="26" t="s">
        <v>137</v>
      </c>
    </row>
    <row r="465" spans="3:11" ht="15.5" outlineLevel="1">
      <c r="C465" s="39" t="s">
        <v>33</v>
      </c>
      <c r="D465" s="39" t="s">
        <v>88</v>
      </c>
      <c r="E465" s="39" t="s">
        <v>56</v>
      </c>
      <c r="F465" s="39" t="s">
        <v>57</v>
      </c>
      <c r="G465" s="54" t="s">
        <v>58</v>
      </c>
      <c r="H465" s="54" t="s">
        <v>59</v>
      </c>
      <c r="I465" s="54" t="s">
        <v>60</v>
      </c>
      <c r="J465" s="54" t="s">
        <v>61</v>
      </c>
      <c r="K465" s="54" t="s">
        <v>62</v>
      </c>
    </row>
    <row r="466" spans="3:11" outlineLevel="1">
      <c r="C466" s="20" t="s">
        <v>63</v>
      </c>
      <c r="D466" s="20" t="s">
        <v>90</v>
      </c>
      <c r="E466" s="20" t="s">
        <v>138</v>
      </c>
      <c r="F466" s="20" t="s">
        <v>65</v>
      </c>
      <c r="G466" s="112" cm="1">
        <f t="array" ref="G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125.072</v>
      </c>
      <c r="H466" s="112" cm="1">
        <f t="array" ref="H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90.009</v>
      </c>
      <c r="I466" s="112" cm="1">
        <f t="array" ref="I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89.69</v>
      </c>
      <c r="J466" s="112" cm="1">
        <f t="array" ref="J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139.97749999999999</v>
      </c>
      <c r="K466" s="112" cm="1">
        <f t="array" ref="K466">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85.008499999999998</v>
      </c>
    </row>
    <row r="467" spans="3:11" outlineLevel="1">
      <c r="C467" s="20" t="s">
        <v>63</v>
      </c>
      <c r="D467" s="20" t="s">
        <v>90</v>
      </c>
      <c r="E467" s="20" t="s">
        <v>138</v>
      </c>
      <c r="F467" s="20" t="s">
        <v>66</v>
      </c>
      <c r="G467" s="112" cm="1">
        <f t="array" ref="G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125.072</v>
      </c>
      <c r="H467" s="112" cm="1">
        <f t="array" ref="H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160.01599999999999</v>
      </c>
      <c r="I467" s="112" cm="1">
        <f t="array" ref="I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136.95400000000001</v>
      </c>
      <c r="J467" s="112" cm="1">
        <f t="array" ref="J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179.98150000000001</v>
      </c>
      <c r="K467" s="112" cm="1">
        <f t="array" ref="K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130.01300000000001</v>
      </c>
    </row>
    <row r="468" spans="3:11" outlineLevel="1">
      <c r="C468" s="20" t="s">
        <v>71</v>
      </c>
      <c r="D468" s="20" t="s">
        <v>90</v>
      </c>
      <c r="E468" s="20" t="s">
        <v>138</v>
      </c>
      <c r="F468" s="20" t="s">
        <v>65</v>
      </c>
      <c r="G468" s="112" cm="1">
        <f t="array" ref="G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125.072</v>
      </c>
      <c r="H468" s="112" cm="1">
        <f t="array" ref="H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90.009</v>
      </c>
      <c r="I468" s="112" cm="1">
        <f t="array" ref="I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89.69</v>
      </c>
      <c r="J468" s="112" cm="1">
        <f t="array" ref="J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139.97749999999999</v>
      </c>
      <c r="K468" s="112" cm="1">
        <f t="array" ref="K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85.008499999999998</v>
      </c>
    </row>
    <row r="469" spans="3:11" outlineLevel="1">
      <c r="C469" s="20" t="s">
        <v>71</v>
      </c>
      <c r="D469" s="20" t="s">
        <v>90</v>
      </c>
      <c r="E469" s="20" t="s">
        <v>138</v>
      </c>
      <c r="F469" s="20" t="s">
        <v>66</v>
      </c>
      <c r="G469" s="112" cm="1">
        <f t="array" ref="G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125.072</v>
      </c>
      <c r="H469" s="112" cm="1">
        <f t="array" ref="H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160.01599999999999</v>
      </c>
      <c r="I469" s="112" cm="1">
        <f t="array" ref="I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244.18</v>
      </c>
      <c r="J469" s="112" cm="1">
        <f t="array" ref="J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179.98150000000001</v>
      </c>
      <c r="K469" s="112" cm="1">
        <f t="array" ref="K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130.01300000000001</v>
      </c>
    </row>
    <row r="470" spans="3:11" outlineLevel="1">
      <c r="C470" s="40" t="s">
        <v>94</v>
      </c>
      <c r="D470" s="40" t="s">
        <v>90</v>
      </c>
      <c r="E470" s="20" t="s">
        <v>138</v>
      </c>
      <c r="F470" s="20" t="s">
        <v>91</v>
      </c>
      <c r="G470" s="112" cm="1">
        <f t="array" ref="G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item]],0),MATCH($D$266,Inputs!$C$8:$Y$8,0)),"-")</f>
        <v>73.687691673983423</v>
      </c>
      <c r="H470" s="112" cm="1">
        <f t="array" ref="H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item]],0),MATCH($D$266,Inputs!$C$8:$Y$8,0)),"-")</f>
        <v>65.843069177343665</v>
      </c>
      <c r="I470" s="112" cm="1">
        <f t="array" ref="I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item]],0),MATCH($D$266,Inputs!$C$8:$Y$8,0)),"-")</f>
        <v>64.709012434113291</v>
      </c>
      <c r="J470" s="112" cm="1">
        <f t="array" ref="J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item]],0),MATCH($D$266,Inputs!$C$8:$Y$8,0)),"-")</f>
        <v>62.150631405968483</v>
      </c>
      <c r="K470" s="112" cm="1">
        <f t="array" ref="K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item]],0),MATCH($D$266,Inputs!$C$8:$Y$8,0)),"-")</f>
        <v>43.604260842124496</v>
      </c>
    </row>
    <row r="471" spans="3:11" outlineLevel="1"/>
    <row r="472" spans="3:11" ht="15.5" outlineLevel="1">
      <c r="C472" s="26" t="s">
        <v>139</v>
      </c>
    </row>
    <row r="473" spans="3:11" ht="15.5" outlineLevel="1">
      <c r="C473" s="39" t="s">
        <v>33</v>
      </c>
      <c r="D473" s="39" t="s">
        <v>88</v>
      </c>
      <c r="E473" s="39" t="s">
        <v>56</v>
      </c>
      <c r="F473" s="39" t="s">
        <v>57</v>
      </c>
      <c r="G473" s="54" t="s">
        <v>58</v>
      </c>
      <c r="H473" s="54" t="s">
        <v>59</v>
      </c>
      <c r="I473" s="54" t="s">
        <v>60</v>
      </c>
      <c r="J473" s="54" t="s">
        <v>61</v>
      </c>
      <c r="K473" s="54" t="s">
        <v>62</v>
      </c>
    </row>
    <row r="474" spans="3:11" outlineLevel="1">
      <c r="C474" s="20" t="s">
        <v>67</v>
      </c>
      <c r="D474" s="20" t="s">
        <v>103</v>
      </c>
      <c r="E474" s="20" t="s">
        <v>68</v>
      </c>
      <c r="F474" s="20" t="s">
        <v>65</v>
      </c>
      <c r="G474" s="55" cm="1">
        <f t="array" ref="G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0.12721199999999999</v>
      </c>
      <c r="H474" s="55" t="str" cm="1">
        <f t="array" ref="H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v>
      </c>
      <c r="I474" s="55" t="str" cm="1">
        <f t="array" ref="I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v>
      </c>
      <c r="J474" s="55" t="str" cm="1">
        <f t="array" ref="J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v>
      </c>
      <c r="K474" s="55" t="str" cm="1">
        <f t="array" ref="K47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v>
      </c>
    </row>
    <row r="475" spans="3:11" outlineLevel="1">
      <c r="C475" s="20" t="s">
        <v>69</v>
      </c>
      <c r="D475" s="20" t="s">
        <v>103</v>
      </c>
      <c r="E475" s="20" t="s">
        <v>68</v>
      </c>
      <c r="F475" s="20" t="s">
        <v>65</v>
      </c>
      <c r="G475" s="55" cm="1">
        <f t="array" ref="G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0.14239199999999999</v>
      </c>
      <c r="H475" s="55" t="str" cm="1">
        <f t="array" ref="H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v>
      </c>
      <c r="I475" s="55" t="str" cm="1">
        <f t="array" ref="I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v>
      </c>
      <c r="J475" s="55" t="str" cm="1">
        <f t="array" ref="J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v>
      </c>
      <c r="K475" s="55" t="str" cm="1">
        <f t="array" ref="K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v>
      </c>
    </row>
    <row r="476" spans="3:11" outlineLevel="1">
      <c r="C476" s="20" t="s">
        <v>70</v>
      </c>
      <c r="D476" s="20" t="s">
        <v>103</v>
      </c>
      <c r="E476" s="20" t="s">
        <v>68</v>
      </c>
      <c r="F476" s="20" t="s">
        <v>65</v>
      </c>
      <c r="G476" s="55" t="str" cm="1">
        <f t="array" ref="G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v>
      </c>
      <c r="H476" s="55" cm="1">
        <f t="array" ref="H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7.400000000000001E-2</v>
      </c>
      <c r="I476" s="55" cm="1">
        <f t="array" ref="I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8.251E-2</v>
      </c>
      <c r="J476" s="55" cm="1">
        <f t="array" ref="J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8.1500000000000003E-2</v>
      </c>
      <c r="K476" s="55" cm="1">
        <f t="array" ref="K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8.3000000000000004E-2</v>
      </c>
    </row>
    <row r="477" spans="3:11" outlineLevel="1">
      <c r="C477" s="20" t="s">
        <v>72</v>
      </c>
      <c r="D477" s="20" t="s">
        <v>103</v>
      </c>
      <c r="E477" s="20" t="s">
        <v>68</v>
      </c>
      <c r="F477" s="20" t="s">
        <v>65</v>
      </c>
      <c r="G477" s="55" cm="1">
        <f t="array" ref="G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0.22908500000000001</v>
      </c>
      <c r="H477" s="55" cm="1">
        <f t="array" ref="H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0.14699999999999999</v>
      </c>
      <c r="I477" s="55" cm="1">
        <f t="array" ref="I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0.13781000000000002</v>
      </c>
      <c r="J477" s="55" cm="1">
        <f t="array" ref="J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0.16170000000000001</v>
      </c>
      <c r="K477" s="55" cm="1">
        <f t="array" ref="K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0.16219999999999998</v>
      </c>
    </row>
    <row r="478" spans="3:11" outlineLevel="1">
      <c r="C478" s="20" t="s">
        <v>73</v>
      </c>
      <c r="D478" s="20" t="s">
        <v>103</v>
      </c>
      <c r="E478" s="20" t="s">
        <v>68</v>
      </c>
      <c r="F478" s="20" t="s">
        <v>65</v>
      </c>
      <c r="G478" s="55" cm="1">
        <f t="array" ref="G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4.7720000000000005E-2</v>
      </c>
      <c r="H478" s="55" cm="1">
        <f t="array" ref="H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3.6699999999999997E-2</v>
      </c>
      <c r="I478" s="55" cm="1">
        <f t="array" ref="I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3.9809999999999998E-2</v>
      </c>
      <c r="J478" s="55" cm="1">
        <f t="array" ref="J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4.0500000000000001E-2</v>
      </c>
      <c r="K478" s="55" cm="1">
        <f t="array" ref="K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4.0500000000000001E-2</v>
      </c>
    </row>
    <row r="479" spans="3:11" outlineLevel="1">
      <c r="C479" s="20" t="s">
        <v>74</v>
      </c>
      <c r="D479" s="20" t="s">
        <v>103</v>
      </c>
      <c r="E479" s="20" t="s">
        <v>68</v>
      </c>
      <c r="F479" s="20" t="s">
        <v>65</v>
      </c>
      <c r="G479" s="55" cm="1">
        <f t="array" ref="G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4.7466999999999995E-2</v>
      </c>
      <c r="H479" s="55" cm="1">
        <f t="array" ref="H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2.2200000000000001E-2</v>
      </c>
      <c r="I479" s="55" cm="1">
        <f t="array" ref="I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3.4479999999999997E-2</v>
      </c>
      <c r="J479" s="55" cm="1">
        <f t="array" ref="J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2.35E-2</v>
      </c>
      <c r="K479" s="55" cm="1">
        <f t="array" ref="K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2.3399999999999997E-2</v>
      </c>
    </row>
    <row r="480" spans="3:11" outlineLevel="1">
      <c r="C480" s="20" t="s">
        <v>67</v>
      </c>
      <c r="D480" s="20" t="s">
        <v>103</v>
      </c>
      <c r="E480" s="20" t="s">
        <v>68</v>
      </c>
      <c r="F480" s="20" t="s">
        <v>66</v>
      </c>
      <c r="G480" s="55" cm="1">
        <f t="array" ref="G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0.17498000000000002</v>
      </c>
      <c r="H480" s="55" t="str" cm="1">
        <f t="array" ref="H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v>
      </c>
      <c r="I480" s="55" t="str" cm="1">
        <f t="array" ref="I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v>
      </c>
      <c r="J480" s="55" t="str" cm="1">
        <f t="array" ref="J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v>
      </c>
      <c r="K480" s="55" t="str" cm="1">
        <f t="array" ref="K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v>
      </c>
    </row>
    <row r="481" spans="1:19" outlineLevel="1">
      <c r="C481" s="20" t="s">
        <v>69</v>
      </c>
      <c r="D481" s="20" t="s">
        <v>103</v>
      </c>
      <c r="E481" s="20" t="s">
        <v>68</v>
      </c>
      <c r="F481" s="20" t="s">
        <v>66</v>
      </c>
      <c r="G481" s="55" cm="1">
        <f t="array" ref="G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0.20536599999999999</v>
      </c>
      <c r="H481" s="55" t="str" cm="1">
        <f t="array" ref="H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v>
      </c>
      <c r="I481" s="55" t="str" cm="1">
        <f t="array" ref="I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v>
      </c>
      <c r="J481" s="55" t="str" cm="1">
        <f t="array" ref="J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v>
      </c>
      <c r="K481" s="55" t="str" cm="1">
        <f t="array" ref="K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v>
      </c>
    </row>
    <row r="482" spans="1:19" ht="15.5" outlineLevel="1" collapsed="1">
      <c r="A482" s="1" t="s">
        <v>18</v>
      </c>
      <c r="C482" s="20" t="s">
        <v>70</v>
      </c>
      <c r="D482" s="20" t="s">
        <v>103</v>
      </c>
      <c r="E482" s="20" t="s">
        <v>68</v>
      </c>
      <c r="F482" s="20" t="s">
        <v>66</v>
      </c>
      <c r="G482" s="55" t="str" cm="1">
        <f t="array" ref="G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v>
      </c>
      <c r="H482" s="55" cm="1">
        <f t="array" ref="H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8.0299999999999996E-2</v>
      </c>
      <c r="I482" s="55" cm="1">
        <f t="array" ref="I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0.1084</v>
      </c>
      <c r="J482" s="55" cm="1">
        <f t="array" ref="J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9.2899999999999996E-2</v>
      </c>
      <c r="K482" s="55" cm="1">
        <f t="array" ref="K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9.1400000000000009E-2</v>
      </c>
    </row>
    <row r="483" spans="1:19" outlineLevel="1">
      <c r="C483" s="20" t="s">
        <v>72</v>
      </c>
      <c r="D483" s="20" t="s">
        <v>103</v>
      </c>
      <c r="E483" s="20" t="s">
        <v>68</v>
      </c>
      <c r="F483" s="20" t="s">
        <v>66</v>
      </c>
      <c r="G483" s="55" cm="1">
        <f t="array" ref="G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0.19318200000000002</v>
      </c>
      <c r="H483" s="55" cm="1">
        <f t="array" ref="H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0.1333</v>
      </c>
      <c r="I483" s="55" cm="1">
        <f t="array" ref="I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0.14099</v>
      </c>
      <c r="J483" s="55" cm="1">
        <f t="array" ref="J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0.16190000000000002</v>
      </c>
      <c r="K483" s="55" cm="1">
        <f t="array" ref="K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0.14980000000000002</v>
      </c>
    </row>
    <row r="484" spans="1:19" outlineLevel="1">
      <c r="C484" s="20" t="s">
        <v>73</v>
      </c>
      <c r="D484" s="40" t="s">
        <v>103</v>
      </c>
      <c r="E484" s="20" t="s">
        <v>68</v>
      </c>
      <c r="F484" s="20" t="s">
        <v>66</v>
      </c>
      <c r="G484" s="55" cm="1">
        <f t="array" ref="G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MATCH($D$266,Inputs!$C$8:$Y$8,0)))/100,"-")</f>
        <v>4.7114999999999997E-2</v>
      </c>
      <c r="H484" s="55" cm="1">
        <f t="array" ref="H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MATCH($D$266,Inputs!$C$8:$Y$8,0)))/100,"-")</f>
        <v>2.9600000000000001E-2</v>
      </c>
      <c r="I484" s="55" cm="1">
        <f t="array" ref="I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MATCH($D$266,Inputs!$C$8:$Y$8,0)))/100,"-")</f>
        <v>2.9529999999999997E-2</v>
      </c>
      <c r="J484" s="55" cm="1">
        <f t="array" ref="J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MATCH($D$266,Inputs!$C$8:$Y$8,0)))/100,"-")</f>
        <v>3.5900000000000001E-2</v>
      </c>
      <c r="K484" s="55" cm="1">
        <f t="array" ref="K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MATCH($D$266,Inputs!$C$8:$Y$8,0)))/100,"-")</f>
        <v>3.3300000000000003E-2</v>
      </c>
    </row>
    <row r="485" spans="1:19">
      <c r="N485" s="78"/>
    </row>
    <row r="486" spans="1:19" ht="16" thickBot="1">
      <c r="B486" s="216">
        <f ca="1">MAX(B$3:B485)+0.01</f>
        <v>13.129999999999997</v>
      </c>
      <c r="C486" s="25" t="s">
        <v>140</v>
      </c>
      <c r="D486" s="25"/>
      <c r="E486" s="25"/>
      <c r="F486" s="25"/>
      <c r="G486" s="25"/>
      <c r="H486" s="25"/>
      <c r="I486" s="25"/>
      <c r="J486" s="25"/>
      <c r="K486" s="25"/>
    </row>
    <row r="487" spans="1:19" outlineLevel="1"/>
    <row r="488" spans="1:19" ht="15.5" outlineLevel="1">
      <c r="C488" s="26" t="s">
        <v>141</v>
      </c>
    </row>
    <row r="489" spans="1:19" ht="15.5" outlineLevel="1">
      <c r="C489" s="39" t="s">
        <v>33</v>
      </c>
      <c r="D489" s="39" t="s">
        <v>88</v>
      </c>
      <c r="E489" s="39" t="s">
        <v>56</v>
      </c>
      <c r="F489" s="39" t="s">
        <v>57</v>
      </c>
      <c r="G489" s="54" t="s">
        <v>58</v>
      </c>
      <c r="H489" s="54" t="s">
        <v>59</v>
      </c>
      <c r="I489" s="54" t="s">
        <v>60</v>
      </c>
      <c r="J489" s="54" t="s">
        <v>61</v>
      </c>
      <c r="K489" s="54" t="s">
        <v>62</v>
      </c>
    </row>
    <row r="490" spans="1:19" outlineLevel="1">
      <c r="C490" s="20" t="s">
        <v>142</v>
      </c>
      <c r="D490" s="20" t="s">
        <v>103</v>
      </c>
      <c r="E490" s="20" t="s">
        <v>68</v>
      </c>
      <c r="F490" s="20" t="s">
        <v>65</v>
      </c>
      <c r="G490" s="55" cm="1">
        <f t="array" ref="G490">IFERROR(
(IFERROR(INDEX(Calc_CPI_2[[CPI uplift factor]:[CPI uplift factor]],MATCH(Calc_WholesaleRES_2[[#This Row],[Cost item]:[Cost item]],Calc_CPI_2[[Cost item]:[Cost item]],0),1),0)+
INDEX(Input_ForRateCalc[],MATCH(Calc_WholesaleRES_2[[#This Row],[Cost item]:[Cost item]]&amp;" - "&amp;Calc_WholesaleRES_2[[#Headers],[Ausnet]],Input_ForRateCalc[[Cost item]:[Cost item]],0),MATCH($D$266,Inputs!$C$8:$Y$8,0)))/1000,"-")</f>
        <v>8.1459999999999991E-2</v>
      </c>
      <c r="H490" s="55" cm="1">
        <f t="array" ref="H490">IFERROR(
(IFERROR(INDEX(Calc_CPI_2[[CPI uplift factor]:[CPI uplift factor]],MATCH(Calc_WholesaleRES_2[[#This Row],[Cost item]:[Cost item]],Calc_CPI_2[[Cost item]:[Cost item]],0),1),0)+
INDEX(Input_ForRateCalc[],MATCH(Calc_WholesaleRES_2[[#This Row],[Cost item]:[Cost item]]&amp;" - "&amp;Calc_WholesaleRES_2[[#Headers],[Citipower]],Input_ForRateCalc[[Cost item]:[Cost item]],0),MATCH($D$266,Inputs!$C$8:$Y$8,0)))/1000,"-")</f>
        <v>7.6560000000000003E-2</v>
      </c>
      <c r="I490" s="55" cm="1">
        <f t="array" ref="I490">IFERROR(
(IFERROR(INDEX(Calc_CPI_2[[CPI uplift factor]:[CPI uplift factor]],MATCH(Calc_WholesaleRES_2[[#This Row],[Cost item]:[Cost item]],Calc_CPI_2[[Cost item]:[Cost item]],0),1),0)+
INDEX(Input_ForRateCalc[],MATCH(Calc_WholesaleRES_2[[#This Row],[Cost item]:[Cost item]]&amp;" - "&amp;Calc_WholesaleRES_2[[#Headers],[Jemena]],Input_ForRateCalc[[Cost item]:[Cost item]],0),MATCH($D$266,Inputs!$C$8:$Y$8,0)))/1000,"-")</f>
        <v>8.181999999999999E-2</v>
      </c>
      <c r="J490" s="55" cm="1">
        <f t="array" ref="J490">IFERROR(
(IFERROR(INDEX(Calc_CPI_2[[CPI uplift factor]:[CPI uplift factor]],MATCH(Calc_WholesaleRES_2[[#This Row],[Cost item]:[Cost item]],Calc_CPI_2[[Cost item]:[Cost item]],0),1),0)+
INDEX(Input_ForRateCalc[],MATCH(Calc_WholesaleRES_2[[#This Row],[Cost item]:[Cost item]]&amp;" - "&amp;Calc_WholesaleRES_2[[#Headers],[Powercor]],Input_ForRateCalc[[Cost item]:[Cost item]],0),MATCH($D$266,Inputs!$C$8:$Y$8,0)))/1000,"-")</f>
        <v>8.0250000000000002E-2</v>
      </c>
      <c r="K490" s="55" cm="1">
        <f t="array" ref="K490">IFERROR(
(IFERROR(INDEX(Calc_CPI_2[[CPI uplift factor]:[CPI uplift factor]],MATCH(Calc_WholesaleRES_2[[#This Row],[Cost item]:[Cost item]],Calc_CPI_2[[Cost item]:[Cost item]],0),1),0)+
INDEX(Input_ForRateCalc[],MATCH(Calc_WholesaleRES_2[[#This Row],[Cost item]:[Cost item]]&amp;" - "&amp;Calc_WholesaleRES_2[[#Headers],[United Energy]],Input_ForRateCalc[[Cost item]:[Cost item]],0),MATCH($D$266,Inputs!$C$8:$Y$8,0)))/1000,"-")</f>
        <v>8.1030000000000005E-2</v>
      </c>
      <c r="N490" s="71"/>
      <c r="O490" s="71"/>
      <c r="P490" s="71"/>
      <c r="Q490" s="71"/>
      <c r="R490" s="71"/>
      <c r="S490" s="71"/>
    </row>
    <row r="491" spans="1:19" outlineLevel="1">
      <c r="C491" s="20" t="s">
        <v>143</v>
      </c>
      <c r="D491" s="20" t="s">
        <v>103</v>
      </c>
      <c r="E491" s="20" t="s">
        <v>68</v>
      </c>
      <c r="F491" s="20" t="s">
        <v>65</v>
      </c>
      <c r="G491" s="55" cm="1">
        <f t="array" ref="G491">IFERROR(
(IFERROR(INDEX(Calc_CPI_2[[CPI uplift factor]:[CPI uplift factor]],MATCH(Calc_WholesaleRES_2[[#This Row],[Cost item]:[Cost item]],Calc_CPI_2[[Cost item]:[Cost item]],0),1),0)+
INDEX(Input_ForRateCalc[],MATCH(Calc_WholesaleRES_2[[#This Row],[Cost item]:[Cost item]]&amp;" - "&amp;Calc_WholesaleRES_2[[#Headers],[Ausnet]],Input_ForRateCalc[[Cost item]:[Cost item]],0),MATCH($D$266,Inputs!$C$8:$Y$8,0)))/1000,"-")</f>
        <v>3.8000000000000002E-4</v>
      </c>
      <c r="H491" s="55" cm="1">
        <f t="array" ref="H491">IFERROR(
(IFERROR(INDEX(Calc_CPI_2[[CPI uplift factor]:[CPI uplift factor]],MATCH(Calc_WholesaleRES_2[[#This Row],[Cost item]:[Cost item]],Calc_CPI_2[[Cost item]:[Cost item]],0),1),0)+
INDEX(Input_ForRateCalc[],MATCH(Calc_WholesaleRES_2[[#This Row],[Cost item]:[Cost item]]&amp;" - "&amp;Calc_WholesaleRES_2[[#Headers],[Citipower]],Input_ForRateCalc[[Cost item]:[Cost item]],0),MATCH($D$266,Inputs!$C$8:$Y$8,0)))/1000,"-")</f>
        <v>4.0000000000000002E-4</v>
      </c>
      <c r="I491" s="55" cm="1">
        <f t="array" ref="I491">IFERROR(
(IFERROR(INDEX(Calc_CPI_2[[CPI uplift factor]:[CPI uplift factor]],MATCH(Calc_WholesaleRES_2[[#This Row],[Cost item]:[Cost item]],Calc_CPI_2[[Cost item]:[Cost item]],0),1),0)+
INDEX(Input_ForRateCalc[],MATCH(Calc_WholesaleRES_2[[#This Row],[Cost item]:[Cost item]]&amp;" - "&amp;Calc_WholesaleRES_2[[#Headers],[Jemena]],Input_ForRateCalc[[Cost item]:[Cost item]],0),MATCH($D$266,Inputs!$C$8:$Y$8,0)))/1000,"-")</f>
        <v>3.8999999999999999E-4</v>
      </c>
      <c r="J491" s="55" cm="1">
        <f t="array" ref="J491">IFERROR(
(IFERROR(INDEX(Calc_CPI_2[[CPI uplift factor]:[CPI uplift factor]],MATCH(Calc_WholesaleRES_2[[#This Row],[Cost item]:[Cost item]],Calc_CPI_2[[Cost item]:[Cost item]],0),1),0)+
INDEX(Input_ForRateCalc[],MATCH(Calc_WholesaleRES_2[[#This Row],[Cost item]:[Cost item]]&amp;" - "&amp;Calc_WholesaleRES_2[[#Headers],[Powercor]],Input_ForRateCalc[[Cost item]:[Cost item]],0),MATCH($D$266,Inputs!$C$8:$Y$8,0)))/1000,"-")</f>
        <v>4.6000000000000001E-4</v>
      </c>
      <c r="K491" s="55" cm="1">
        <f t="array" ref="K491">IFERROR(
(IFERROR(INDEX(Calc_CPI_2[[CPI uplift factor]:[CPI uplift factor]],MATCH(Calc_WholesaleRES_2[[#This Row],[Cost item]:[Cost item]],Calc_CPI_2[[Cost item]:[Cost item]],0),1),0)+
INDEX(Input_ForRateCalc[],MATCH(Calc_WholesaleRES_2[[#This Row],[Cost item]:[Cost item]]&amp;" - "&amp;Calc_WholesaleRES_2[[#Headers],[United Energy]],Input_ForRateCalc[[Cost item]:[Cost item]],0),MATCH($D$266,Inputs!$C$8:$Y$8,0)))/1000,"-")</f>
        <v>4.7999999999999996E-4</v>
      </c>
    </row>
    <row r="492" spans="1:19" outlineLevel="1">
      <c r="C492" s="40" t="s">
        <v>104</v>
      </c>
      <c r="D492" s="40" t="s">
        <v>103</v>
      </c>
      <c r="E492" s="40" t="s">
        <v>68</v>
      </c>
      <c r="F492" s="20" t="s">
        <v>65</v>
      </c>
      <c r="G492" s="65">
        <f>IFERROR(G490+G491,"-")</f>
        <v>8.1839999999999996E-2</v>
      </c>
      <c r="H492" s="65">
        <f t="shared" ref="H492:K492" si="104">IFERROR(H490+H491,"-")</f>
        <v>7.6960000000000001E-2</v>
      </c>
      <c r="I492" s="65">
        <f t="shared" si="104"/>
        <v>8.2209999999999991E-2</v>
      </c>
      <c r="J492" s="65">
        <f t="shared" si="104"/>
        <v>8.0710000000000004E-2</v>
      </c>
      <c r="K492" s="65">
        <f t="shared" si="104"/>
        <v>8.1509999999999999E-2</v>
      </c>
    </row>
    <row r="493" spans="1:19" outlineLevel="1"/>
    <row r="494" spans="1:19" ht="15.5" outlineLevel="1">
      <c r="C494" s="26" t="s">
        <v>144</v>
      </c>
    </row>
    <row r="495" spans="1:19" ht="15.5" outlineLevel="1">
      <c r="C495" s="39" t="s">
        <v>33</v>
      </c>
      <c r="D495" s="39" t="s">
        <v>88</v>
      </c>
      <c r="E495" s="39" t="s">
        <v>56</v>
      </c>
      <c r="F495" s="39" t="s">
        <v>57</v>
      </c>
      <c r="G495" s="54" t="s">
        <v>58</v>
      </c>
      <c r="H495" s="54" t="s">
        <v>59</v>
      </c>
      <c r="I495" s="54" t="s">
        <v>60</v>
      </c>
      <c r="J495" s="54" t="s">
        <v>61</v>
      </c>
      <c r="K495" s="54" t="s">
        <v>62</v>
      </c>
    </row>
    <row r="496" spans="1:19" ht="15.5" outlineLevel="1" collapsed="1">
      <c r="A496" s="1" t="s">
        <v>18</v>
      </c>
      <c r="C496" s="20" t="s">
        <v>145</v>
      </c>
      <c r="D496" s="20" t="s">
        <v>103</v>
      </c>
      <c r="E496" s="20" t="s">
        <v>68</v>
      </c>
      <c r="F496" s="20" t="s">
        <v>66</v>
      </c>
      <c r="G496" s="55" cm="1">
        <f t="array" ref="G496">IFERROR(
(IFERROR(INDEX(Calc_CPI_2[[CPI uplift factor]:[CPI uplift factor]],MATCH(Calc_WholesaleSME_2[[#This Row],[Cost item]:[Cost item]],Calc_CPI_2[[Cost item]:[Cost item]],0),1),0)+
INDEX(Input_ForRateCalc[],MATCH(Calc_WholesaleSME_2[[#This Row],[Cost item]:[Cost item]]&amp;" - "&amp;Calc_WholesaleSME_2[[#Headers],[Ausnet]],Input_ForRateCalc[[Cost item]:[Cost item]],0),MATCH($D$266,Inputs!$C$8:$Y$8,0)))/1000,"-")</f>
        <v>7.0169999999999996E-2</v>
      </c>
      <c r="H496" s="55" cm="1">
        <f t="array" ref="H496">IFERROR(
(IFERROR(INDEX(Calc_CPI_2[[CPI uplift factor]:[CPI uplift factor]],MATCH(Calc_WholesaleSME_2[[#This Row],[Cost item]:[Cost item]],Calc_CPI_2[[Cost item]:[Cost item]],0),1),0)+
INDEX(Input_ForRateCalc[],MATCH(Calc_WholesaleSME_2[[#This Row],[Cost item]:[Cost item]]&amp;" - "&amp;Calc_WholesaleSME_2[[#Headers],[Citipower]],Input_ForRateCalc[[Cost item]:[Cost item]],0),MATCH($D$266,Inputs!$C$8:$Y$8,0)))/1000,"-")</f>
        <v>7.016E-2</v>
      </c>
      <c r="I496" s="55" cm="1">
        <f t="array" ref="I496">IFERROR(
(IFERROR(INDEX(Calc_CPI_2[[CPI uplift factor]:[CPI uplift factor]],MATCH(Calc_WholesaleSME_2[[#This Row],[Cost item]:[Cost item]],Calc_CPI_2[[Cost item]:[Cost item]],0),1),0)+
INDEX(Input_ForRateCalc[],MATCH(Calc_WholesaleSME_2[[#This Row],[Cost item]:[Cost item]]&amp;" - "&amp;Calc_WholesaleSME_2[[#Headers],[Jemena]],Input_ForRateCalc[[Cost item]:[Cost item]],0),MATCH($D$266,Inputs!$C$8:$Y$8,0)))/1000,"-")</f>
        <v>6.8780000000000008E-2</v>
      </c>
      <c r="J496" s="55" cm="1">
        <f t="array" ref="J496">IFERROR(
(IFERROR(INDEX(Calc_CPI_2[[CPI uplift factor]:[CPI uplift factor]],MATCH(Calc_WholesaleSME_2[[#This Row],[Cost item]:[Cost item]],Calc_CPI_2[[Cost item]:[Cost item]],0),1),0)+
INDEX(Input_ForRateCalc[],MATCH(Calc_WholesaleSME_2[[#This Row],[Cost item]:[Cost item]]&amp;" - "&amp;Calc_WholesaleSME_2[[#Headers],[Powercor]],Input_ForRateCalc[[Cost item]:[Cost item]],0),MATCH($D$266,Inputs!$C$8:$Y$8,0)))/1000,"-")</f>
        <v>6.9629999999999997E-2</v>
      </c>
      <c r="K496" s="55" cm="1">
        <f t="array" ref="K496">IFERROR(
(IFERROR(INDEX(Calc_CPI_2[[CPI uplift factor]:[CPI uplift factor]],MATCH(Calc_WholesaleSME_2[[#This Row],[Cost item]:[Cost item]],Calc_CPI_2[[Cost item]:[Cost item]],0),1),0)+
INDEX(Input_ForRateCalc[],MATCH(Calc_WholesaleSME_2[[#This Row],[Cost item]:[Cost item]]&amp;" - "&amp;Calc_WholesaleSME_2[[#Headers],[United Energy]],Input_ForRateCalc[[Cost item]:[Cost item]],0),MATCH($D$266,Inputs!$C$8:$Y$8,0)))/1000,"-")</f>
        <v>6.8949999999999997E-2</v>
      </c>
      <c r="N496" s="71"/>
      <c r="O496" s="71"/>
      <c r="P496" s="71"/>
      <c r="Q496" s="71"/>
      <c r="R496" s="71"/>
    </row>
    <row r="497" spans="2:14" outlineLevel="1">
      <c r="C497" s="20" t="s">
        <v>146</v>
      </c>
      <c r="D497" s="20" t="s">
        <v>103</v>
      </c>
      <c r="E497" s="20" t="s">
        <v>68</v>
      </c>
      <c r="F497" s="20" t="s">
        <v>66</v>
      </c>
      <c r="G497" s="55" cm="1">
        <f t="array" ref="G497">IFERROR(
(IFERROR(INDEX(Calc_CPI_2[[CPI uplift factor]:[CPI uplift factor]],MATCH(Calc_WholesaleSME_2[[#This Row],[Cost item]:[Cost item]],Calc_CPI_2[[Cost item]:[Cost item]],0),1),0)+
INDEX(Input_ForRateCalc[],MATCH(Calc_WholesaleSME_2[[#This Row],[Cost item]:[Cost item]]&amp;" - "&amp;Calc_WholesaleSME_2[[#Headers],[Ausnet]],Input_ForRateCalc[[Cost item]:[Cost item]],0),MATCH($D$266,Inputs!$C$8:$Y$8,0)))/1000,"-")</f>
        <v>4.4000000000000002E-4</v>
      </c>
      <c r="H497" s="55" cm="1">
        <f t="array" ref="H497">IFERROR(
(IFERROR(INDEX(Calc_CPI_2[[CPI uplift factor]:[CPI uplift factor]],MATCH(Calc_WholesaleSME_2[[#This Row],[Cost item]:[Cost item]],Calc_CPI_2[[Cost item]:[Cost item]],0),1),0)+
INDEX(Input_ForRateCalc[],MATCH(Calc_WholesaleSME_2[[#This Row],[Cost item]:[Cost item]]&amp;" - "&amp;Calc_WholesaleSME_2[[#Headers],[Citipower]],Input_ForRateCalc[[Cost item]:[Cost item]],0),MATCH($D$266,Inputs!$C$8:$Y$8,0)))/1000,"-")</f>
        <v>5.0000000000000001E-4</v>
      </c>
      <c r="I497" s="55" cm="1">
        <f t="array" ref="I497">IFERROR(
(IFERROR(INDEX(Calc_CPI_2[[CPI uplift factor]:[CPI uplift factor]],MATCH(Calc_WholesaleSME_2[[#This Row],[Cost item]:[Cost item]],Calc_CPI_2[[Cost item]:[Cost item]],0),1),0)+
INDEX(Input_ForRateCalc[],MATCH(Calc_WholesaleSME_2[[#This Row],[Cost item]:[Cost item]]&amp;" - "&amp;Calc_WholesaleSME_2[[#Headers],[Jemena]],Input_ForRateCalc[[Cost item]:[Cost item]],0),MATCH($D$266,Inputs!$C$8:$Y$8,0)))/1000,"-")</f>
        <v>5.5000000000000003E-4</v>
      </c>
      <c r="J497" s="55" cm="1">
        <f t="array" ref="J497">IFERROR(
(IFERROR(INDEX(Calc_CPI_2[[CPI uplift factor]:[CPI uplift factor]],MATCH(Calc_WholesaleSME_2[[#This Row],[Cost item]:[Cost item]],Calc_CPI_2[[Cost item]:[Cost item]],0),1),0)+
INDEX(Input_ForRateCalc[],MATCH(Calc_WholesaleSME_2[[#This Row],[Cost item]:[Cost item]]&amp;" - "&amp;Calc_WholesaleSME_2[[#Headers],[Powercor]],Input_ForRateCalc[[Cost item]:[Cost item]],0),MATCH($D$266,Inputs!$C$8:$Y$8,0)))/1000,"-")</f>
        <v>4.4000000000000002E-4</v>
      </c>
      <c r="K497" s="55" cm="1">
        <f t="array" ref="K497">IFERROR(
(IFERROR(INDEX(Calc_CPI_2[[CPI uplift factor]:[CPI uplift factor]],MATCH(Calc_WholesaleSME_2[[#This Row],[Cost item]:[Cost item]],Calc_CPI_2[[Cost item]:[Cost item]],0),1),0)+
INDEX(Input_ForRateCalc[],MATCH(Calc_WholesaleSME_2[[#This Row],[Cost item]:[Cost item]]&amp;" - "&amp;Calc_WholesaleSME_2[[#Headers],[United Energy]],Input_ForRateCalc[[Cost item]:[Cost item]],0),MATCH($D$266,Inputs!$C$8:$Y$8,0)))/1000,"-")</f>
        <v>5.8999999999999992E-4</v>
      </c>
    </row>
    <row r="498" spans="2:14" outlineLevel="1">
      <c r="C498" s="40" t="s">
        <v>104</v>
      </c>
      <c r="D498" s="40" t="s">
        <v>103</v>
      </c>
      <c r="E498" s="40" t="s">
        <v>68</v>
      </c>
      <c r="F498" s="20" t="s">
        <v>66</v>
      </c>
      <c r="G498" s="65">
        <f>IFERROR(G496+G497,"-")</f>
        <v>7.0609999999999992E-2</v>
      </c>
      <c r="H498" s="65">
        <f t="shared" ref="H498:K498" si="105">IFERROR(H496+H497,"-")</f>
        <v>7.0660000000000001E-2</v>
      </c>
      <c r="I498" s="65">
        <f t="shared" si="105"/>
        <v>6.9330000000000003E-2</v>
      </c>
      <c r="J498" s="65">
        <f t="shared" si="105"/>
        <v>7.0069999999999993E-2</v>
      </c>
      <c r="K498" s="65">
        <f t="shared" si="105"/>
        <v>6.9539999999999991E-2</v>
      </c>
    </row>
    <row r="500" spans="2:14" ht="16" thickBot="1">
      <c r="B500" s="216">
        <f ca="1">MAX(B$3:B499)+0.01</f>
        <v>13.139999999999997</v>
      </c>
      <c r="C500" s="25" t="s">
        <v>147</v>
      </c>
      <c r="D500" s="25"/>
      <c r="E500" s="25"/>
      <c r="F500" s="25"/>
      <c r="G500" s="25"/>
      <c r="H500" s="25"/>
      <c r="I500" s="25"/>
      <c r="J500" s="25"/>
      <c r="K500" s="25"/>
    </row>
    <row r="501" spans="2:14" outlineLevel="1"/>
    <row r="502" spans="2:14" ht="15.5" outlineLevel="1">
      <c r="C502" s="26" t="s">
        <v>148</v>
      </c>
    </row>
    <row r="503" spans="2:14" ht="15.5" outlineLevel="1">
      <c r="C503" s="39" t="s">
        <v>33</v>
      </c>
      <c r="D503" s="39" t="s">
        <v>88</v>
      </c>
      <c r="E503" s="39" t="s">
        <v>56</v>
      </c>
      <c r="F503" s="39" t="s">
        <v>57</v>
      </c>
      <c r="G503" s="54" t="s">
        <v>58</v>
      </c>
      <c r="H503" s="54" t="s">
        <v>59</v>
      </c>
      <c r="I503" s="54" t="s">
        <v>60</v>
      </c>
      <c r="J503" s="54" t="s">
        <v>61</v>
      </c>
      <c r="K503" s="54" t="s">
        <v>62</v>
      </c>
    </row>
    <row r="504" spans="2:14" outlineLevel="1">
      <c r="C504" s="20" t="s">
        <v>149</v>
      </c>
      <c r="D504" s="20" t="s">
        <v>103</v>
      </c>
      <c r="E504" s="20" t="s">
        <v>150</v>
      </c>
      <c r="F504" s="20" t="s">
        <v>91</v>
      </c>
      <c r="G504" s="55" cm="1">
        <f t="array" ref="G504">IFERROR(
(IFERROR(INDEX(Calc_CPI_2[[CPI uplift factor]:[CPI uplift factor]],MATCH($C504,Calc_CPI_2[[Cost item]:[Cost item]],0),1),0)+
INDEX(Input_ForRateCalc[],MATCH(Calc_EnviroVEU_2[[#This Row],[Cost item]:[Cost item]],Input_ForRateCalc[[Cost item]:[Cost item]],0),MATCH($D$266,Inputs!$C$8:$Y$8,0))),"-")</f>
        <v>73.624003962523105</v>
      </c>
      <c r="H504" s="55" cm="1">
        <f t="array" ref="H504">IFERROR(
(IFERROR(INDEX(Calc_CPI_2[[CPI uplift factor]:[CPI uplift factor]],MATCH($C504,Calc_CPI_2[[Cost item]:[Cost item]],0),1),0)+
INDEX(Input_ForRateCalc[],MATCH(Calc_EnviroVEU_2[[#This Row],[Cost item]:[Cost item]],Input_ForRateCalc[[Cost item]:[Cost item]],0),MATCH($D$266,Inputs!$C$8:$Y$8,0))),"-")</f>
        <v>73.624003962523105</v>
      </c>
      <c r="I504" s="55" cm="1">
        <f t="array" ref="I504">IFERROR(
(IFERROR(INDEX(Calc_CPI_2[[CPI uplift factor]:[CPI uplift factor]],MATCH($C504,Calc_CPI_2[[Cost item]:[Cost item]],0),1),0)+
INDEX(Input_ForRateCalc[],MATCH(Calc_EnviroVEU_2[[#This Row],[Cost item]:[Cost item]],Input_ForRateCalc[[Cost item]:[Cost item]],0),MATCH($D$266,Inputs!$C$8:$Y$8,0))),"-")</f>
        <v>73.624003962523105</v>
      </c>
      <c r="J504" s="55" cm="1">
        <f t="array" ref="J504">IFERROR(
(IFERROR(INDEX(Calc_CPI_2[[CPI uplift factor]:[CPI uplift factor]],MATCH($C504,Calc_CPI_2[[Cost item]:[Cost item]],0),1),0)+
INDEX(Input_ForRateCalc[],MATCH(Calc_EnviroVEU_2[[#This Row],[Cost item]:[Cost item]],Input_ForRateCalc[[Cost item]:[Cost item]],0),MATCH($D$266,Inputs!$C$8:$Y$8,0))),"-")</f>
        <v>73.624003962523105</v>
      </c>
      <c r="K504" s="55" cm="1">
        <f t="array" ref="K504">IFERROR(
(IFERROR(INDEX(Calc_CPI_2[[CPI uplift factor]:[CPI uplift factor]],MATCH($C504,Calc_CPI_2[[Cost item]:[Cost item]],0),1),0)+
INDEX(Input_ForRateCalc[],MATCH(Calc_EnviroVEU_2[[#This Row],[Cost item]:[Cost item]],Input_ForRateCalc[[Cost item]:[Cost item]],0),MATCH($D$266,Inputs!$C$8:$Y$8,0))),"-")</f>
        <v>73.624003962523105</v>
      </c>
    </row>
    <row r="505" spans="2:14" outlineLevel="1">
      <c r="C505" s="20" t="s">
        <v>151</v>
      </c>
      <c r="D505" s="20" t="s">
        <v>103</v>
      </c>
      <c r="E505" s="20" t="s">
        <v>152</v>
      </c>
      <c r="F505" s="20" t="s">
        <v>91</v>
      </c>
      <c r="G505" s="55" cm="1">
        <f t="array" ref="G505">IFERROR(
(IFERROR(INDEX(Calc_CPI_2[[CPI uplift factor]:[CPI uplift factor]],MATCH($C505,Calc_CPI_2[[Cost item]:[Cost item]],0),1),0)+
INDEX(Input_ForRateCalc[],MATCH(Calc_EnviroVEU_2[[#This Row],[Cost item]:[Cost item]],Input_ForRateCalc[[Cost item]:[Cost item]],0),MATCH($D$266,Inputs!$C$8:$Y$8,0))),"-")</f>
        <v>0.16113</v>
      </c>
      <c r="H505" s="55" cm="1">
        <f t="array" ref="H505">IFERROR(
(IFERROR(INDEX(Calc_CPI_2[[CPI uplift factor]:[CPI uplift factor]],MATCH($C505,Calc_CPI_2[[Cost item]:[Cost item]],0),1),0)+
INDEX(Input_ForRateCalc[],MATCH(Calc_EnviroVEU_2[[#This Row],[Cost item]:[Cost item]],Input_ForRateCalc[[Cost item]:[Cost item]],0),MATCH($D$266,Inputs!$C$8:$Y$8,0))),"-")</f>
        <v>0.16113</v>
      </c>
      <c r="I505" s="55" cm="1">
        <f t="array" ref="I505">IFERROR(
(IFERROR(INDEX(Calc_CPI_2[[CPI uplift factor]:[CPI uplift factor]],MATCH($C505,Calc_CPI_2[[Cost item]:[Cost item]],0),1),0)+
INDEX(Input_ForRateCalc[],MATCH(Calc_EnviroVEU_2[[#This Row],[Cost item]:[Cost item]],Input_ForRateCalc[[Cost item]:[Cost item]],0),MATCH($D$266,Inputs!$C$8:$Y$8,0))),"-")</f>
        <v>0.16113</v>
      </c>
      <c r="J505" s="55" cm="1">
        <f t="array" ref="J505">IFERROR(
(IFERROR(INDEX(Calc_CPI_2[[CPI uplift factor]:[CPI uplift factor]],MATCH($C505,Calc_CPI_2[[Cost item]:[Cost item]],0),1),0)+
INDEX(Input_ForRateCalc[],MATCH(Calc_EnviroVEU_2[[#This Row],[Cost item]:[Cost item]],Input_ForRateCalc[[Cost item]:[Cost item]],0),MATCH($D$266,Inputs!$C$8:$Y$8,0))),"-")</f>
        <v>0.16113</v>
      </c>
      <c r="K505" s="55" cm="1">
        <f t="array" ref="K505">IFERROR(
(IFERROR(INDEX(Calc_CPI_2[[CPI uplift factor]:[CPI uplift factor]],MATCH($C505,Calc_CPI_2[[Cost item]:[Cost item]],0),1),0)+
INDEX(Input_ForRateCalc[],MATCH(Calc_EnviroVEU_2[[#This Row],[Cost item]:[Cost item]],Input_ForRateCalc[[Cost item]:[Cost item]],0),MATCH($D$266,Inputs!$C$8:$Y$8,0))),"-")</f>
        <v>0.16113</v>
      </c>
    </row>
    <row r="506" spans="2:14" outlineLevel="1">
      <c r="C506" s="40" t="s">
        <v>153</v>
      </c>
      <c r="D506" s="40" t="s">
        <v>103</v>
      </c>
      <c r="E506" s="40" t="s">
        <v>68</v>
      </c>
      <c r="F506" s="20" t="s">
        <v>91</v>
      </c>
      <c r="G506" s="55">
        <f>IFERROR(
IFERROR(INDEX(Calc_CPI_2[[CPI uplift factor]:[CPI uplift factor]],MATCH($C506,Calc_CPI_2[[Cost item]:[Cost item]],0),1),0)+(G504*G505)/1000,"-")</f>
        <v>1.1863035758481346E-2</v>
      </c>
      <c r="H506" s="55">
        <f>IFERROR(
IFERROR(INDEX(Calc_CPI_2[[CPI uplift factor]:[CPI uplift factor]],MATCH($C506,Calc_CPI_2[[Cost item]:[Cost item]],0),1),0)+(H504*H505)/1000,"-")</f>
        <v>1.1863035758481346E-2</v>
      </c>
      <c r="I506" s="55">
        <f>IFERROR(
IFERROR(INDEX(Calc_CPI_2[[CPI uplift factor]:[CPI uplift factor]],MATCH($C506,Calc_CPI_2[[Cost item]:[Cost item]],0),1),0)+(I504*I505)/1000,"-")</f>
        <v>1.1863035758481346E-2</v>
      </c>
      <c r="J506" s="55">
        <f>IFERROR(
IFERROR(INDEX(Calc_CPI_2[[CPI uplift factor]:[CPI uplift factor]],MATCH($C506,Calc_CPI_2[[Cost item]:[Cost item]],0),1),0)+(J504*J505)/1000,"-")</f>
        <v>1.1863035758481346E-2</v>
      </c>
      <c r="K506" s="55">
        <f>IFERROR(
IFERROR(INDEX(Calc_CPI_2[[CPI uplift factor]:[CPI uplift factor]],MATCH($C506,Calc_CPI_2[[Cost item]:[Cost item]],0),1),0)+(K504*K505)/1000,"-")</f>
        <v>1.1863035758481346E-2</v>
      </c>
      <c r="M506" s="71"/>
    </row>
    <row r="507" spans="2:14" outlineLevel="1">
      <c r="C507" s="64"/>
      <c r="D507" s="64"/>
      <c r="E507" s="64"/>
      <c r="F507" s="64"/>
      <c r="G507" s="200"/>
      <c r="H507" s="200"/>
      <c r="I507" s="200"/>
      <c r="J507" s="200"/>
      <c r="K507" s="201">
        <f>K506*1000</f>
        <v>11.863035758481347</v>
      </c>
    </row>
    <row r="508" spans="2:14" ht="15.5" outlineLevel="1">
      <c r="C508" s="26" t="s">
        <v>154</v>
      </c>
      <c r="N508" s="71"/>
    </row>
    <row r="509" spans="2:14" ht="15.5" outlineLevel="1">
      <c r="C509" s="39" t="s">
        <v>33</v>
      </c>
      <c r="D509" s="39" t="s">
        <v>88</v>
      </c>
      <c r="E509" s="39" t="s">
        <v>56</v>
      </c>
      <c r="F509" s="39" t="s">
        <v>57</v>
      </c>
      <c r="G509" s="54" t="s">
        <v>58</v>
      </c>
      <c r="H509" s="54" t="s">
        <v>59</v>
      </c>
      <c r="I509" s="54" t="s">
        <v>60</v>
      </c>
      <c r="J509" s="54" t="s">
        <v>61</v>
      </c>
      <c r="K509" s="54" t="s">
        <v>62</v>
      </c>
    </row>
    <row r="510" spans="2:14" outlineLevel="1">
      <c r="C510" s="20" t="s">
        <v>155</v>
      </c>
      <c r="D510" s="20" t="s">
        <v>103</v>
      </c>
      <c r="E510" s="20" t="s">
        <v>150</v>
      </c>
      <c r="F510" s="20" t="s">
        <v>91</v>
      </c>
      <c r="G510" s="55" cm="1">
        <f t="array" ref="G510">IFERROR(
(IFERROR(INDEX(Calc_CPI_2[[CPI uplift factor]:[CPI uplift factor]],MATCH($C510,Calc_CPI_2[[Cost item]:[Cost item]],0),1),0)+
INDEX(Input_ForRateCalc[],MATCH(Calc_EnviroLRET_2[[#This Row],[Cost item]:[Cost item]],Input_ForRateCalc[[Cost item]:[Cost item]],0),MATCH($D$266,Inputs!$C$8:$Y$8,0))),"-")</f>
        <v>35.46</v>
      </c>
      <c r="H510" s="55" cm="1">
        <f t="array" ref="H510">IFERROR(
(IFERROR(INDEX(Calc_CPI_2[[CPI uplift factor]:[CPI uplift factor]],MATCH($C510,Calc_CPI_2[[Cost item]:[Cost item]],0),1),0)+
INDEX(Input_ForRateCalc[],MATCH(Calc_EnviroLRET_2[[#This Row],[Cost item]:[Cost item]],Input_ForRateCalc[[Cost item]:[Cost item]],0),MATCH($D$266,Inputs!$C$8:$Y$8,0))),"-")</f>
        <v>35.46</v>
      </c>
      <c r="I510" s="55" cm="1">
        <f t="array" ref="I510">IFERROR(
(IFERROR(INDEX(Calc_CPI_2[[CPI uplift factor]:[CPI uplift factor]],MATCH($C510,Calc_CPI_2[[Cost item]:[Cost item]],0),1),0)+
INDEX(Input_ForRateCalc[],MATCH(Calc_EnviroLRET_2[[#This Row],[Cost item]:[Cost item]],Input_ForRateCalc[[Cost item]:[Cost item]],0),MATCH($D$266,Inputs!$C$8:$Y$8,0))),"-")</f>
        <v>35.46</v>
      </c>
      <c r="J510" s="55" cm="1">
        <f t="array" ref="J510">IFERROR(
(IFERROR(INDEX(Calc_CPI_2[[CPI uplift factor]:[CPI uplift factor]],MATCH($C510,Calc_CPI_2[[Cost item]:[Cost item]],0),1),0)+
INDEX(Input_ForRateCalc[],MATCH(Calc_EnviroLRET_2[[#This Row],[Cost item]:[Cost item]],Input_ForRateCalc[[Cost item]:[Cost item]],0),MATCH($D$266,Inputs!$C$8:$Y$8,0))),"-")</f>
        <v>35.46</v>
      </c>
      <c r="K510" s="55" cm="1">
        <f t="array" ref="K510">IFERROR(
(IFERROR(INDEX(Calc_CPI_2[[CPI uplift factor]:[CPI uplift factor]],MATCH($C510,Calc_CPI_2[[Cost item]:[Cost item]],0),1),0)+
INDEX(Input_ForRateCalc[],MATCH(Calc_EnviroLRET_2[[#This Row],[Cost item]:[Cost item]],Input_ForRateCalc[[Cost item]:[Cost item]],0),MATCH($D$266,Inputs!$C$8:$Y$8,0))),"-")</f>
        <v>35.46</v>
      </c>
    </row>
    <row r="511" spans="2:14" outlineLevel="1">
      <c r="C511" s="20" t="s">
        <v>156</v>
      </c>
      <c r="D511" s="20" t="s">
        <v>103</v>
      </c>
      <c r="E511" s="20" t="s">
        <v>152</v>
      </c>
      <c r="F511" s="20" t="s">
        <v>91</v>
      </c>
      <c r="G511" s="55" cm="1">
        <f t="array" ref="G511">IFERROR(
(IFERROR(INDEX(Calc_CPI_2[[CPI uplift factor]:[CPI uplift factor]],MATCH($C511,Calc_CPI_2[[Cost item]:[Cost item]],0),1),0)+
INDEX(Input_ForRateCalc[],MATCH(Calc_EnviroLRET_2[[#This Row],[Cost item]:[Cost item]],Input_ForRateCalc[[Cost item]:[Cost item]],0),MATCH($D$266,Inputs!$C$8:$Y$8,0))),"-")</f>
        <v>0.18640000000000001</v>
      </c>
      <c r="H511" s="55" cm="1">
        <f t="array" ref="H511">IFERROR(
(IFERROR(INDEX(Calc_CPI_2[[CPI uplift factor]:[CPI uplift factor]],MATCH($C511,Calc_CPI_2[[Cost item]:[Cost item]],0),1),0)+
INDEX(Input_ForRateCalc[],MATCH(Calc_EnviroLRET_2[[#This Row],[Cost item]:[Cost item]],Input_ForRateCalc[[Cost item]:[Cost item]],0),MATCH($D$266,Inputs!$C$8:$Y$8,0))),"-")</f>
        <v>0.18640000000000001</v>
      </c>
      <c r="I511" s="55" cm="1">
        <f t="array" ref="I511">IFERROR(
(IFERROR(INDEX(Calc_CPI_2[[CPI uplift factor]:[CPI uplift factor]],MATCH($C511,Calc_CPI_2[[Cost item]:[Cost item]],0),1),0)+
INDEX(Input_ForRateCalc[],MATCH(Calc_EnviroLRET_2[[#This Row],[Cost item]:[Cost item]],Input_ForRateCalc[[Cost item]:[Cost item]],0),MATCH($D$266,Inputs!$C$8:$Y$8,0))),"-")</f>
        <v>0.18640000000000001</v>
      </c>
      <c r="J511" s="55" cm="1">
        <f t="array" ref="J511">IFERROR(
(IFERROR(INDEX(Calc_CPI_2[[CPI uplift factor]:[CPI uplift factor]],MATCH($C511,Calc_CPI_2[[Cost item]:[Cost item]],0),1),0)+
INDEX(Input_ForRateCalc[],MATCH(Calc_EnviroLRET_2[[#This Row],[Cost item]:[Cost item]],Input_ForRateCalc[[Cost item]:[Cost item]],0),MATCH($D$266,Inputs!$C$8:$Y$8,0))),"-")</f>
        <v>0.18640000000000001</v>
      </c>
      <c r="K511" s="55" cm="1">
        <f t="array" ref="K511">IFERROR(
(IFERROR(INDEX(Calc_CPI_2[[CPI uplift factor]:[CPI uplift factor]],MATCH($C511,Calc_CPI_2[[Cost item]:[Cost item]],0),1),0)+
INDEX(Input_ForRateCalc[],MATCH(Calc_EnviroLRET_2[[#This Row],[Cost item]:[Cost item]],Input_ForRateCalc[[Cost item]:[Cost item]],0),MATCH($D$266,Inputs!$C$8:$Y$8,0))),"-")</f>
        <v>0.18640000000000001</v>
      </c>
    </row>
    <row r="512" spans="2:14" outlineLevel="1">
      <c r="C512" s="40" t="s">
        <v>157</v>
      </c>
      <c r="D512" s="40" t="s">
        <v>103</v>
      </c>
      <c r="E512" s="40" t="s">
        <v>68</v>
      </c>
      <c r="F512" s="20" t="s">
        <v>91</v>
      </c>
      <c r="G512" s="65">
        <f>IFERROR(
IFERROR(INDEX(Calc_CPI_2[[CPI uplift factor]:[CPI uplift factor]],MATCH($C512,Calc_CPI_2[[Cost item]:[Cost item]],0),1),0)+(G510*G511)/1000,"-")</f>
        <v>6.6097440000000007E-3</v>
      </c>
      <c r="H512" s="65">
        <f>IFERROR(
IFERROR(INDEX(Calc_CPI_2[[CPI uplift factor]:[CPI uplift factor]],MATCH($C512,Calc_CPI_2[[Cost item]:[Cost item]],0),1),0)+(H510*H511)/1000,"-")</f>
        <v>6.6097440000000007E-3</v>
      </c>
      <c r="I512" s="65">
        <f>IFERROR(
IFERROR(INDEX(Calc_CPI_2[[CPI uplift factor]:[CPI uplift factor]],MATCH($C512,Calc_CPI_2[[Cost item]:[Cost item]],0),1),0)+(I510*I511)/1000,"-")</f>
        <v>6.6097440000000007E-3</v>
      </c>
      <c r="J512" s="65">
        <f>IFERROR(
IFERROR(INDEX(Calc_CPI_2[[CPI uplift factor]:[CPI uplift factor]],MATCH($C512,Calc_CPI_2[[Cost item]:[Cost item]],0),1),0)+(J510*J511)/1000,"-")</f>
        <v>6.6097440000000007E-3</v>
      </c>
      <c r="K512" s="65">
        <f>IFERROR(
IFERROR(INDEX(Calc_CPI_2[[CPI uplift factor]:[CPI uplift factor]],MATCH($C512,Calc_CPI_2[[Cost item]:[Cost item]],0),1),0)+(K510*K511)/1000,"-")</f>
        <v>6.6097440000000007E-3</v>
      </c>
      <c r="M512" s="71"/>
    </row>
    <row r="513" spans="3:13" outlineLevel="1"/>
    <row r="514" spans="3:13" ht="15.5" outlineLevel="1">
      <c r="C514" s="26" t="s">
        <v>158</v>
      </c>
    </row>
    <row r="515" spans="3:13" ht="15.5" outlineLevel="1">
      <c r="C515" s="39" t="s">
        <v>33</v>
      </c>
      <c r="D515" s="39" t="s">
        <v>88</v>
      </c>
      <c r="E515" s="39" t="s">
        <v>56</v>
      </c>
      <c r="F515" s="39" t="s">
        <v>57</v>
      </c>
      <c r="G515" s="54" t="s">
        <v>58</v>
      </c>
      <c r="H515" s="54" t="s">
        <v>59</v>
      </c>
      <c r="I515" s="54" t="s">
        <v>60</v>
      </c>
      <c r="J515" s="54" t="s">
        <v>61</v>
      </c>
      <c r="K515" s="54" t="s">
        <v>62</v>
      </c>
    </row>
    <row r="516" spans="3:13" outlineLevel="1">
      <c r="C516" s="20" t="s">
        <v>159</v>
      </c>
      <c r="D516" s="20" t="s">
        <v>103</v>
      </c>
      <c r="E516" s="20" t="s">
        <v>150</v>
      </c>
      <c r="F516" s="20" t="s">
        <v>91</v>
      </c>
      <c r="G516" s="55" cm="1">
        <f t="array" ref="G516">IFERROR(
(IFERROR(INDEX(Calc_CPI_2[[CPI uplift factor]:[CPI uplift factor]],MATCH($C516,Calc_CPI_2[[Cost item]:[Cost item]],0),1),0)+
INDEX(Input_ForRateCalc[],MATCH(Calc_EnviroSRES_2[[#This Row],[Cost item]:[Cost item]],Input_ForRateCalc[[Cost item]:[Cost item]],0),MATCH($D$266,Inputs!$C$8:$Y$8,0))),"-")</f>
        <v>40</v>
      </c>
      <c r="H516" s="55" cm="1">
        <f t="array" ref="H516">IFERROR(
(IFERROR(INDEX(Calc_CPI_2[[CPI uplift factor]:[CPI uplift factor]],MATCH($C516,Calc_CPI_2[[Cost item]:[Cost item]],0),1),0)+
INDEX(Input_ForRateCalc[],MATCH(Calc_EnviroSRES_2[[#This Row],[Cost item]:[Cost item]],Input_ForRateCalc[[Cost item]:[Cost item]],0),MATCH($D$266,Inputs!$C$8:$Y$8,0))),"-")</f>
        <v>40</v>
      </c>
      <c r="I516" s="55" cm="1">
        <f t="array" ref="I516">IFERROR(
(IFERROR(INDEX(Calc_CPI_2[[CPI uplift factor]:[CPI uplift factor]],MATCH($C516,Calc_CPI_2[[Cost item]:[Cost item]],0),1),0)+
INDEX(Input_ForRateCalc[],MATCH(Calc_EnviroSRES_2[[#This Row],[Cost item]:[Cost item]],Input_ForRateCalc[[Cost item]:[Cost item]],0),MATCH($D$266,Inputs!$C$8:$Y$8,0))),"-")</f>
        <v>40</v>
      </c>
      <c r="J516" s="55" cm="1">
        <f t="array" ref="J516">IFERROR(
(IFERROR(INDEX(Calc_CPI_2[[CPI uplift factor]:[CPI uplift factor]],MATCH($C516,Calc_CPI_2[[Cost item]:[Cost item]],0),1),0)+
INDEX(Input_ForRateCalc[],MATCH(Calc_EnviroSRES_2[[#This Row],[Cost item]:[Cost item]],Input_ForRateCalc[[Cost item]:[Cost item]],0),MATCH($D$266,Inputs!$C$8:$Y$8,0))),"-")</f>
        <v>40</v>
      </c>
      <c r="K516" s="55" cm="1">
        <f t="array" ref="K516">IFERROR(
(IFERROR(INDEX(Calc_CPI_2[[CPI uplift factor]:[CPI uplift factor]],MATCH($C516,Calc_CPI_2[[Cost item]:[Cost item]],0),1),0)+
INDEX(Input_ForRateCalc[],MATCH(Calc_EnviroSRES_2[[#This Row],[Cost item]:[Cost item]],Input_ForRateCalc[[Cost item]:[Cost item]],0),MATCH($D$266,Inputs!$C$8:$Y$8,0))),"-")</f>
        <v>40</v>
      </c>
    </row>
    <row r="517" spans="3:13" outlineLevel="1">
      <c r="C517" s="20" t="s">
        <v>160</v>
      </c>
      <c r="D517" s="20" t="s">
        <v>103</v>
      </c>
      <c r="E517" s="20" t="s">
        <v>152</v>
      </c>
      <c r="F517" s="20" t="s">
        <v>91</v>
      </c>
      <c r="G517" s="55" cm="1">
        <f t="array" ref="G517">IFERROR(
(IFERROR(INDEX(Calc_CPI_2[[CPI uplift factor]:[CPI uplift factor]],MATCH($C517,Calc_CPI_2[[Cost item]:[Cost item]],0),1),0)+
INDEX(Input_ForRateCalc[],MATCH(Calc_EnviroSRES_2[[#This Row],[Cost item]:[Cost item]],Input_ForRateCalc[[Cost item]:[Cost item]],0),MATCH($D$266,Inputs!$C$8:$Y$8,0))),"-")</f>
        <v>0.248</v>
      </c>
      <c r="H517" s="55" cm="1">
        <f t="array" ref="H517">IFERROR(
(IFERROR(INDEX(Calc_CPI_2[[CPI uplift factor]:[CPI uplift factor]],MATCH($C517,Calc_CPI_2[[Cost item]:[Cost item]],0),1),0)+
INDEX(Input_ForRateCalc[],MATCH(Calc_EnviroSRES_2[[#This Row],[Cost item]:[Cost item]],Input_ForRateCalc[[Cost item]:[Cost item]],0),MATCH($D$266,Inputs!$C$8:$Y$8,0))),"-")</f>
        <v>0.248</v>
      </c>
      <c r="I517" s="55" cm="1">
        <f t="array" ref="I517">IFERROR(
(IFERROR(INDEX(Calc_CPI_2[[CPI uplift factor]:[CPI uplift factor]],MATCH($C517,Calc_CPI_2[[Cost item]:[Cost item]],0),1),0)+
INDEX(Input_ForRateCalc[],MATCH(Calc_EnviroSRES_2[[#This Row],[Cost item]:[Cost item]],Input_ForRateCalc[[Cost item]:[Cost item]],0),MATCH($D$266,Inputs!$C$8:$Y$8,0))),"-")</f>
        <v>0.248</v>
      </c>
      <c r="J517" s="55" cm="1">
        <f t="array" ref="J517">IFERROR(
(IFERROR(INDEX(Calc_CPI_2[[CPI uplift factor]:[CPI uplift factor]],MATCH($C517,Calc_CPI_2[[Cost item]:[Cost item]],0),1),0)+
INDEX(Input_ForRateCalc[],MATCH(Calc_EnviroSRES_2[[#This Row],[Cost item]:[Cost item]],Input_ForRateCalc[[Cost item]:[Cost item]],0),MATCH($D$266,Inputs!$C$8:$Y$8,0))),"-")</f>
        <v>0.248</v>
      </c>
      <c r="K517" s="55" cm="1">
        <f t="array" ref="K517">IFERROR(
(IFERROR(INDEX(Calc_CPI_2[[CPI uplift factor]:[CPI uplift factor]],MATCH($C517,Calc_CPI_2[[Cost item]:[Cost item]],0),1),0)+
INDEX(Input_ForRateCalc[],MATCH(Calc_EnviroSRES_2[[#This Row],[Cost item]:[Cost item]],Input_ForRateCalc[[Cost item]:[Cost item]],0),MATCH($D$266,Inputs!$C$8:$Y$8,0))),"-")</f>
        <v>0.248</v>
      </c>
    </row>
    <row r="518" spans="3:13" outlineLevel="1">
      <c r="C518" s="40" t="s">
        <v>161</v>
      </c>
      <c r="D518" s="40" t="s">
        <v>103</v>
      </c>
      <c r="E518" s="40" t="s">
        <v>68</v>
      </c>
      <c r="F518" s="20" t="s">
        <v>91</v>
      </c>
      <c r="G518" s="65">
        <f>IFERROR(
IFERROR(INDEX(Calc_CPI_2[[CPI uplift factor]:[CPI uplift factor]],MATCH($C518,Calc_CPI_2[[Cost item]:[Cost item]],0),1),0)+(G516*G517)/1000,"-")</f>
        <v>9.92E-3</v>
      </c>
      <c r="H518" s="65">
        <f>IFERROR(
IFERROR(INDEX(Calc_CPI_2[[CPI uplift factor]:[CPI uplift factor]],MATCH($C518,Calc_CPI_2[[Cost item]:[Cost item]],0),1),0)+(H516*H517)/1000,"-")</f>
        <v>9.92E-3</v>
      </c>
      <c r="I518" s="65">
        <f>IFERROR(
IFERROR(INDEX(Calc_CPI_2[[CPI uplift factor]:[CPI uplift factor]],MATCH($C518,Calc_CPI_2[[Cost item]:[Cost item]],0),1),0)+(I516*I517)/1000,"-")</f>
        <v>9.92E-3</v>
      </c>
      <c r="J518" s="65">
        <f>IFERROR(
IFERROR(INDEX(Calc_CPI_2[[CPI uplift factor]:[CPI uplift factor]],MATCH($C518,Calc_CPI_2[[Cost item]:[Cost item]],0),1),0)+(J516*J517)/1000,"-")</f>
        <v>9.92E-3</v>
      </c>
      <c r="K518" s="65">
        <f>IFERROR(
IFERROR(INDEX(Calc_CPI_2[[CPI uplift factor]:[CPI uplift factor]],MATCH($C518,Calc_CPI_2[[Cost item]:[Cost item]],0),1),0)+(K516*K517)/1000,"-")</f>
        <v>9.92E-3</v>
      </c>
      <c r="M518" s="71"/>
    </row>
    <row r="519" spans="3:13" outlineLevel="1"/>
    <row r="520" spans="3:13" ht="15.5" outlineLevel="1" collapsed="1">
      <c r="C520" s="26" t="s">
        <v>162</v>
      </c>
    </row>
    <row r="521" spans="3:13" ht="15.5" outlineLevel="1">
      <c r="C521" s="39" t="s">
        <v>33</v>
      </c>
      <c r="D521" s="39" t="s">
        <v>88</v>
      </c>
      <c r="E521" s="39" t="s">
        <v>56</v>
      </c>
      <c r="F521" s="39" t="s">
        <v>57</v>
      </c>
      <c r="G521" s="54" t="s">
        <v>58</v>
      </c>
      <c r="H521" s="54" t="s">
        <v>59</v>
      </c>
      <c r="I521" s="54" t="s">
        <v>60</v>
      </c>
      <c r="J521" s="54" t="s">
        <v>61</v>
      </c>
      <c r="K521" s="54" t="s">
        <v>62</v>
      </c>
    </row>
    <row r="522" spans="3:13" outlineLevel="1">
      <c r="C522" s="40" t="s">
        <v>119</v>
      </c>
      <c r="D522" s="40" t="s">
        <v>90</v>
      </c>
      <c r="E522" s="20" t="s">
        <v>64</v>
      </c>
      <c r="F522" s="20" t="s">
        <v>91</v>
      </c>
      <c r="G522" s="55" cm="1">
        <f t="array" ref="G522">IFERROR(
(IFERROR(INDEX(Calc_CPI_2[[CPI uplift factor]:[CPI uplift factor]],MATCH($C522,Calc_CPI_2[[Cost item]:[Cost item]],0),1),0)+
INDEX(Input_ForRateCalc[],MATCH(Calc_FiT_2[[#This Row],[Cost item]:[Cost item]],Input_ForRateCalc[[Cost item]:[Cost item]],0),MATCH($D$266,Inputs!$C$8:$Y$8,0))),"-")</f>
        <v>16.375320494428642</v>
      </c>
      <c r="H522" s="55" cm="1">
        <f t="array" ref="H522">IFERROR(
(IFERROR(INDEX(Calc_CPI_2[[CPI uplift factor]:[CPI uplift factor]],MATCH($C522,Calc_CPI_2[[Cost item]:[Cost item]],0),1),0)+
INDEX(Input_ForRateCalc[],MATCH(Calc_FiT_2[[#This Row],[Cost item]:[Cost item]],Input_ForRateCalc[[Cost item]:[Cost item]],0),MATCH($D$266,Inputs!$C$8:$Y$8,0))),"-")</f>
        <v>16.375320494428642</v>
      </c>
      <c r="I522" s="55" cm="1">
        <f t="array" ref="I522">IFERROR(
(IFERROR(INDEX(Calc_CPI_2[[CPI uplift factor]:[CPI uplift factor]],MATCH($C522,Calc_CPI_2[[Cost item]:[Cost item]],0),1),0)+
INDEX(Input_ForRateCalc[],MATCH(Calc_FiT_2[[#This Row],[Cost item]:[Cost item]],Input_ForRateCalc[[Cost item]:[Cost item]],0),MATCH($D$266,Inputs!$C$8:$Y$8,0))),"-")</f>
        <v>16.375320494428642</v>
      </c>
      <c r="J522" s="55" cm="1">
        <f t="array" ref="J522">IFERROR(
(IFERROR(INDEX(Calc_CPI_2[[CPI uplift factor]:[CPI uplift factor]],MATCH($C522,Calc_CPI_2[[Cost item]:[Cost item]],0),1),0)+
INDEX(Input_ForRateCalc[],MATCH(Calc_FiT_2[[#This Row],[Cost item]:[Cost item]],Input_ForRateCalc[[Cost item]:[Cost item]],0),MATCH($D$266,Inputs!$C$8:$Y$8,0))),"-")</f>
        <v>16.375320494428642</v>
      </c>
      <c r="K522" s="55" cm="1">
        <f t="array" ref="K522">IFERROR(
(IFERROR(INDEX(Calc_CPI_2[[CPI uplift factor]:[CPI uplift factor]],MATCH($C522,Calc_CPI_2[[Cost item]:[Cost item]],0),1),0)+
INDEX(Input_ForRateCalc[],MATCH(Calc_FiT_2[[#This Row],[Cost item]:[Cost item]],Input_ForRateCalc[[Cost item]:[Cost item]],0),MATCH($D$266,Inputs!$C$8:$Y$8,0))),"-")</f>
        <v>16.375320494428642</v>
      </c>
    </row>
    <row r="526" spans="3:13">
      <c r="G526" s="78"/>
      <c r="H526" s="78"/>
      <c r="I526" s="78"/>
      <c r="J526" s="78"/>
      <c r="K526" s="78"/>
    </row>
    <row r="527" spans="3:13">
      <c r="G527" s="78"/>
      <c r="H527" s="78"/>
      <c r="I527" s="78"/>
      <c r="J527" s="78"/>
      <c r="K527" s="78"/>
    </row>
    <row r="528" spans="3:13">
      <c r="G528" s="78"/>
      <c r="H528" s="78"/>
      <c r="I528" s="78"/>
      <c r="J528" s="78"/>
      <c r="K528" s="78"/>
    </row>
    <row r="529" spans="4:11">
      <c r="G529" s="78"/>
      <c r="H529" s="78"/>
      <c r="I529" s="78"/>
      <c r="J529" s="78"/>
      <c r="K529" s="78"/>
    </row>
    <row r="530" spans="4:11">
      <c r="G530" s="78"/>
      <c r="H530" s="78"/>
      <c r="I530" s="78"/>
      <c r="J530" s="78"/>
      <c r="K530" s="78"/>
    </row>
    <row r="531" spans="4:11">
      <c r="D531" s="115"/>
      <c r="G531" s="78"/>
      <c r="H531" s="78"/>
      <c r="I531" s="78"/>
      <c r="J531" s="78"/>
      <c r="K531" s="78"/>
    </row>
    <row r="532" spans="4:11">
      <c r="G532" s="78"/>
      <c r="H532" s="78"/>
      <c r="I532" s="78"/>
      <c r="J532" s="78"/>
      <c r="K532" s="78"/>
    </row>
    <row r="533" spans="4:11">
      <c r="G533" s="78"/>
      <c r="H533" s="78"/>
      <c r="I533" s="78"/>
      <c r="J533" s="78"/>
      <c r="K533" s="78"/>
    </row>
    <row r="534" spans="4:11">
      <c r="G534" s="78"/>
      <c r="H534" s="78"/>
      <c r="I534" s="78"/>
      <c r="J534" s="78"/>
      <c r="K534" s="78"/>
    </row>
  </sheetData>
  <sheetProtection algorithmName="SHA-512" hashValue="GSOMelH5PcDhxqIHTdNwvhwwT+JSyzBugh8/+Y9yB/ZQ4hiOTxz2NH1Y4L28YGhAFKPR/OrmIRUFDONN91Nhpg==" saltValue="+q4tJoLHjif7BP3kfAICwA==" spinCount="100000" sheet="1" objects="1" scenarios="1"/>
  <mergeCells count="1">
    <mergeCell ref="A2:A3"/>
  </mergeCells>
  <phoneticPr fontId="30" type="noConversion"/>
  <hyperlinks>
    <hyperlink ref="B1" location="Contents!A1" display="&lt;&lt; Back to contents" xr:uid="{1D50E764-A720-4739-B564-B319AEF76019}"/>
  </hyperlinks>
  <pageMargins left="0.7" right="0.7" top="0.75" bottom="0.75" header="0.3" footer="0.3"/>
  <pageSetup paperSize="9" orientation="portrait" r:id="rId1"/>
  <headerFooter>
    <oddHeader>&amp;C&amp;B&amp;"Arial"&amp;12&amp;Kff0000​‌OFFICIAL‌​</oddHeader>
  </headerFooter>
  <ignoredErrors>
    <ignoredError sqref="G185:K199 G179:G180 G312:K317 G51:K56 E159 E148:E158 E160:E163 G441 H440:K441" calculatedColumn="1"/>
  </ignoredErrors>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extLst>
    <ext xmlns:x14="http://schemas.microsoft.com/office/spreadsheetml/2009/9/main" uri="{CCE6A557-97BC-4b89-ADB6-D9C93CAAB3DF}">
      <x14:dataValidations xmlns:xm="http://schemas.microsoft.com/office/excel/2006/main" count="4">
        <x14:dataValidation type="list" allowBlank="1" showInputMessage="1" showErrorMessage="1" xr:uid="{C269C7C9-C23E-4503-AA68-2E4DCB6653BB}">
          <x14:formula1>
            <xm:f>'Lookup refs'!$C$8:$C$10</xm:f>
          </x14:formula1>
          <xm:sqref>D179:D180 D148:D154 D229:D231 D213:D224 E224 D173 D82:D87 E238 D235:D238 D261 D24:D30 D58:D65 D508 D167:D169 D67:D72 D89:D94 D96:D101 D103:D110 D112:D117 D119:D124 D127:D132 D74:D79 D440:D441 D490:D492 D474:D485 E485 D255:D257 D343:D348 E499 D496:D499 D41:D47 D522 D466:D472 D285:D291 D319:D326 D409:D415 D312:D317 D428:D430 D328:D333 D350:D355 D357:D362 D364:D371 D373:D378 D380:D385 D388:D393 D335:D340 D134:D139 D395:D400 D205:D211 D32:D39 D271:D283 D293:D300 D302:D308 D51:D56 D243:D247 D249:D253 D434:D436 D175 D516:D518 D510:D514 D185:D199 D10:D22 D504:D506 D446:D460</xm:sqref>
        </x14:dataValidation>
        <x14:dataValidation type="list" allowBlank="1" showInputMessage="1" showErrorMessage="1" xr:uid="{33FF5899-A62D-484E-AA27-47145712B4A0}">
          <x14:formula1>
            <xm:f>'Lookup refs'!$E$8:$E$20</xm:f>
          </x14:formula1>
          <xm:sqref>E261 E395:E400 E167:E169 E173 E179:E180 E229:E231 E67:E72 E185:E199 E24:E30 E380:E385 E213:E223 E235:E237 E74:E79 E82:E87 E89:E94 E96:E101 E103:E110 E112:E117 E58:E65 E119:E124 E41:E47 E319:E326 E522 E388:E393 E428:E430 E440:E441 E490:E492 E328:E333 E10:E22 E285:E291 E466:E472 E127:E132 E474:E484 E312:E317 E496:E498 E134:E139 E335:E340 E343:E348 E350:E355 E357:E362 E364:E371 E373:E378 E508 E510:E514 E516:E518 E243:E247 E249:E253 E255:E257 E205:E211 E32:E39 E271:E283 E293:E300 E302:E308 E51:E56 E434:E436 E175 E504:E506 E446:E460</xm:sqref>
        </x14:dataValidation>
        <x14:dataValidation type="list" allowBlank="1" showInputMessage="1" showErrorMessage="1" xr:uid="{DAD79D20-6C02-417F-980C-C7F87801265D}">
          <x14:formula1>
            <xm:f>'Lookup refs'!$G$8:$G$10</xm:f>
          </x14:formula1>
          <xm:sqref>F185:F199 F167:F169 F173 F179:F180 F213:F223 F261 F229:F231 F24:F30 F235:F237 F328:F333 F364:F371 F74:F79 F58:F65 F82:F87 F103:F110 F89:F94 F119:F124 F127:F132 F112:F117 F67:F72 F96:F101 F10:F22 F428:F430 F255:F257 F440:F441 F474:F484 F522 F490:F492 F41:F47 F285:F291 F496:F498 F466:F470 F134:F139 F357:F362 F312:F317 F335:F340 F319:F326 F343:F348 F373:F378 F350:F355 F388:F393 F380:F385 F395:F400 F205:F209 F32:F39 F271:F283 F293:F300 F302:F308 F51:F56 F243:F245 F249:F251 F434:F436 F175 F516:F518 F510:F512 F504:F506 F446:F460</xm:sqref>
        </x14:dataValidation>
        <x14:dataValidation type="list" allowBlank="1" showInputMessage="1" showErrorMessage="1" xr:uid="{56A8F8AC-D35F-4FA4-B420-2499072F1B02}">
          <x14:formula1>
            <xm:f>Inputs!$O$140:$Q$140</xm:f>
          </x14:formula1>
          <xm:sqref>D266 D5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8B75-F4F5-4252-87E0-2C383E67EA33}">
  <sheetPr>
    <tabColor rgb="FF236192"/>
    <outlinePr summaryBelow="0"/>
    <pageSetUpPr autoPageBreaks="0"/>
  </sheetPr>
  <dimension ref="A1:T459"/>
  <sheetViews>
    <sheetView showGridLines="0" topLeftCell="B1" zoomScale="90" zoomScaleNormal="90" workbookViewId="0">
      <pane ySplit="3" topLeftCell="A4" activePane="bottomLeft" state="frozen"/>
      <selection activeCell="B33" sqref="B33"/>
      <selection pane="bottomLeft" activeCell="B1" sqref="B1"/>
    </sheetView>
  </sheetViews>
  <sheetFormatPr defaultColWidth="9.453125" defaultRowHeight="14.5" outlineLevelRow="1" outlineLevelCol="1"/>
  <cols>
    <col min="1" max="1" width="100.54296875" hidden="1" customWidth="1" outlineLevel="1"/>
    <col min="2" max="2" width="10.54296875" style="6" customWidth="1" collapsed="1"/>
    <col min="3" max="3" width="53.453125" bestFit="1" customWidth="1"/>
    <col min="4" max="17" width="20.54296875" customWidth="1"/>
  </cols>
  <sheetData>
    <row r="1" spans="1:17" ht="15" customHeight="1">
      <c r="A1" s="1" t="s">
        <v>15</v>
      </c>
      <c r="B1" s="231" t="s">
        <v>569</v>
      </c>
      <c r="C1" s="19"/>
      <c r="D1" s="19"/>
      <c r="E1" s="19"/>
      <c r="F1" s="19"/>
      <c r="G1" s="19"/>
      <c r="H1" s="19"/>
      <c r="I1" s="19"/>
      <c r="J1" s="19"/>
      <c r="K1" s="19"/>
      <c r="L1" s="19"/>
      <c r="M1" s="19"/>
      <c r="N1" s="19"/>
      <c r="O1" s="19"/>
      <c r="P1" s="19"/>
      <c r="Q1" s="19"/>
    </row>
    <row r="2" spans="1:17" s="4" customFormat="1" ht="50.15" customHeight="1">
      <c r="A2" s="236" t="s">
        <v>16</v>
      </c>
      <c r="B2" s="22"/>
      <c r="C2" s="22" t="str">
        <f>Disclaimer!$B$1</f>
        <v>VDO calculation model</v>
      </c>
      <c r="D2" s="22"/>
      <c r="E2" s="22"/>
      <c r="F2" s="22"/>
      <c r="G2" s="22"/>
      <c r="H2" s="22"/>
      <c r="I2" s="22"/>
      <c r="J2" s="22"/>
      <c r="K2" s="22"/>
      <c r="L2" s="22"/>
      <c r="M2" s="22"/>
      <c r="N2" s="22"/>
      <c r="O2" s="22"/>
      <c r="P2" s="22"/>
      <c r="Q2" s="22"/>
    </row>
    <row r="3" spans="1:17" s="4" customFormat="1" ht="30" customHeight="1">
      <c r="A3" s="236"/>
      <c r="B3" s="24">
        <f ca="1">_xlfn.SHEET()</f>
        <v>14</v>
      </c>
      <c r="C3" s="23" t="s">
        <v>173</v>
      </c>
      <c r="D3" s="23"/>
      <c r="E3" s="23"/>
      <c r="F3" s="23"/>
      <c r="G3" s="23"/>
      <c r="H3" s="23"/>
      <c r="I3" s="23"/>
      <c r="J3" s="23"/>
      <c r="K3" s="23"/>
      <c r="L3" s="23"/>
      <c r="M3" s="23"/>
      <c r="N3" s="23"/>
      <c r="O3" s="23"/>
      <c r="P3" s="23"/>
      <c r="Q3" s="23"/>
    </row>
    <row r="4" spans="1:17">
      <c r="B4"/>
    </row>
    <row r="5" spans="1:17" ht="15.5">
      <c r="B5"/>
      <c r="C5" s="49" t="s">
        <v>31</v>
      </c>
      <c r="D5" s="37" t="str">
        <f>Calc_Rates!$D$5</f>
        <v>VDO 2023-24 - Final</v>
      </c>
    </row>
    <row r="6" spans="1:17">
      <c r="B6"/>
    </row>
    <row r="7" spans="1:17" ht="16" thickBot="1">
      <c r="B7" s="216">
        <f ca="1">MAX(B$3:B6)+0.01</f>
        <v>14.01</v>
      </c>
      <c r="C7" s="25" t="s">
        <v>174</v>
      </c>
      <c r="D7" s="25"/>
      <c r="E7" s="25"/>
      <c r="F7" s="25"/>
      <c r="G7" s="25"/>
      <c r="H7" s="25"/>
      <c r="I7" s="25"/>
      <c r="J7" s="25"/>
      <c r="K7" s="25"/>
      <c r="L7" s="25"/>
      <c r="M7" s="25"/>
      <c r="N7" s="25"/>
      <c r="O7" s="25"/>
      <c r="P7" s="25"/>
      <c r="Q7" s="25"/>
    </row>
    <row r="9" spans="1:17" ht="15.5" outlineLevel="1">
      <c r="C9" s="49" t="s">
        <v>175</v>
      </c>
      <c r="D9" s="123">
        <v>12</v>
      </c>
      <c r="H9" s="38" t="s">
        <v>33</v>
      </c>
      <c r="I9" s="38" t="s">
        <v>56</v>
      </c>
      <c r="J9" s="38" t="s">
        <v>57</v>
      </c>
      <c r="K9" s="45" t="s">
        <v>58</v>
      </c>
      <c r="L9" s="45" t="s">
        <v>59</v>
      </c>
      <c r="M9" s="45" t="s">
        <v>60</v>
      </c>
      <c r="N9" s="45" t="s">
        <v>61</v>
      </c>
      <c r="O9" s="45" t="s">
        <v>62</v>
      </c>
      <c r="P9" s="45" t="s">
        <v>176</v>
      </c>
    </row>
    <row r="10" spans="1:17" ht="15.5" outlineLevel="1">
      <c r="C10" s="49" t="s">
        <v>177</v>
      </c>
      <c r="D10" s="124">
        <f>D9/MiY</f>
        <v>1</v>
      </c>
      <c r="H10" s="53" t="s">
        <v>178</v>
      </c>
      <c r="I10" s="20" t="s">
        <v>179</v>
      </c>
      <c r="J10" s="53" t="s">
        <v>91</v>
      </c>
      <c r="K10" s="112">
        <f>INDEX(Calc_TUV_Env_1[[Ausnet]:[United Energy]],MATCH($H10,Calc_TUV_Env_1[[Cost item]:[Cost item]],0),MATCH(K$9,Calc_TUV_Env_1[[#Headers],[Ausnet]:[United Energy]],0))*1000</f>
        <v>7.1411889574377815E-2</v>
      </c>
      <c r="L10" s="112">
        <f>INDEX(Calc_TUV_Env_1[[Ausnet]:[United Energy]],MATCH($H10,Calc_TUV_Env_1[[Cost item]:[Cost item]],0),MATCH(L$9,Calc_TUV_Env_1[[#Headers],[Ausnet]:[United Energy]],0))*1000</f>
        <v>6.9262229545457424E-2</v>
      </c>
      <c r="M10" s="112">
        <f>INDEX(Calc_TUV_Env_1[[Ausnet]:[United Energy]],MATCH($H10,Calc_TUV_Env_1[[Cost item]:[Cost item]],0),MATCH(M$9,Calc_TUV_Env_1[[#Headers],[Ausnet]:[United Energy]],0))*1000</f>
        <v>6.8672733182471399E-2</v>
      </c>
      <c r="N10" s="112">
        <f>INDEX(Calc_TUV_Env_1[[Ausnet]:[United Energy]],MATCH($H10,Calc_TUV_Env_1[[Cost item]:[Cost item]],0),MATCH(N$9,Calc_TUV_Env_1[[#Headers],[Ausnet]:[United Energy]],0))*1000</f>
        <v>7.0779916457632069E-2</v>
      </c>
      <c r="O10" s="112">
        <f>INDEX(Calc_TUV_Env_1[[Ausnet]:[United Energy]],MATCH($H10,Calc_TUV_Env_1[[Cost item]:[Cost item]],0),MATCH(O$9,Calc_TUV_Env_1[[#Headers],[Ausnet]:[United Energy]],0))*1000</f>
        <v>6.9073799593706769E-2</v>
      </c>
      <c r="P10" s="112">
        <f>IFERROR(AVERAGE(K10:O10),"-")</f>
        <v>6.9840113670729093E-2</v>
      </c>
    </row>
    <row r="11" spans="1:17" outlineLevel="1">
      <c r="H11" s="53" t="s">
        <v>182</v>
      </c>
      <c r="I11" s="20" t="s">
        <v>179</v>
      </c>
      <c r="J11" s="53" t="s">
        <v>91</v>
      </c>
      <c r="K11" s="112">
        <f>INDEX(Calc_TUV_Env_1[[Ausnet]:[United Energy]],MATCH($H11,Calc_TUV_Env_1[[Cost item]:[Cost item]],0),MATCH(K$9,Calc_TUV_Env_1[[#Headers],[Ausnet]:[United Energy]],0))*1000</f>
        <v>-1.5204731141753007</v>
      </c>
      <c r="L11" s="112">
        <f>INDEX(Calc_TUV_Env_1[[Ausnet]:[United Energy]],MATCH($H11,Calc_TUV_Env_1[[Cost item]:[Cost item]],0),MATCH(L$9,Calc_TUV_Env_1[[#Headers],[Ausnet]:[United Energy]],0))*1000</f>
        <v>-1.4747034209481451</v>
      </c>
      <c r="M11" s="112">
        <f>INDEX(Calc_TUV_Env_1[[Ausnet]:[United Energy]],MATCH($H11,Calc_TUV_Env_1[[Cost item]:[Cost item]],0),MATCH(M$9,Calc_TUV_Env_1[[#Headers],[Ausnet]:[United Energy]],0))*1000</f>
        <v>-1.462152102446892</v>
      </c>
      <c r="N11" s="112">
        <f>INDEX(Calc_TUV_Env_1[[Ausnet]:[United Energy]],MATCH($H11,Calc_TUV_Env_1[[Cost item]:[Cost item]],0),MATCH(N$9,Calc_TUV_Env_1[[#Headers],[Ausnet]:[United Energy]],0))*1000</f>
        <v>-1.5070173977866077</v>
      </c>
      <c r="O11" s="112">
        <f>INDEX(Calc_TUV_Env_1[[Ausnet]:[United Energy]],MATCH($H11,Calc_TUV_Env_1[[Cost item]:[Cost item]],0),MATCH(O$9,Calc_TUV_Env_1[[#Headers],[Ausnet]:[United Energy]],0))*1000</f>
        <v>-1.4706914465101379</v>
      </c>
      <c r="P11" s="112">
        <f t="shared" ref="P11:P12" si="0">IFERROR(AVERAGE(K11:O11),"-")</f>
        <v>-1.4870074963734168</v>
      </c>
    </row>
    <row r="12" spans="1:17" outlineLevel="1">
      <c r="H12" s="53" t="s">
        <v>184</v>
      </c>
      <c r="I12" s="20" t="s">
        <v>179</v>
      </c>
      <c r="J12" s="53" t="s">
        <v>91</v>
      </c>
      <c r="K12" s="112">
        <f>INDEX(Calc_TUV_Env_1[[Ausnet]:[United Energy]],MATCH($H12,Calc_TUV_Env_1[[Cost item]:[Cost item]],0),MATCH(K$9,Calc_TUV_Env_1[[#Headers],[Ausnet]:[United Energy]],0))*1000</f>
        <v>-8.1204149442636335E-4</v>
      </c>
      <c r="L12" s="112">
        <f>INDEX(Calc_TUV_Env_1[[Ausnet]:[United Energy]],MATCH($H12,Calc_TUV_Env_1[[Cost item]:[Cost item]],0),MATCH(L$9,Calc_TUV_Env_1[[#Headers],[Ausnet]:[United Energy]],0))*1000</f>
        <v>-7.8759720156704855E-4</v>
      </c>
      <c r="M12" s="112">
        <f>INDEX(Calc_TUV_Env_1[[Ausnet]:[United Energy]],MATCH($H12,Calc_TUV_Env_1[[Cost item]:[Cost item]],0),MATCH(M$9,Calc_TUV_Env_1[[#Headers],[Ausnet]:[United Energy]],0))*1000</f>
        <v>-7.8089389893199509E-4</v>
      </c>
      <c r="N12" s="112">
        <f>INDEX(Calc_TUV_Env_1[[Ausnet]:[United Energy]],MATCH($H12,Calc_TUV_Env_1[[Cost item]:[Cost item]],0),MATCH(N$9,Calc_TUV_Env_1[[#Headers],[Ausnet]:[United Energy]],0))*1000</f>
        <v>-8.048551785731047E-4</v>
      </c>
      <c r="O12" s="112">
        <f>INDEX(Calc_TUV_Env_1[[Ausnet]:[United Energy]],MATCH($H12,Calc_TUV_Env_1[[Cost item]:[Cost item]],0),MATCH(O$9,Calc_TUV_Env_1[[#Headers],[Ausnet]:[United Energy]],0))*1000</f>
        <v>-7.8545451999782712E-4</v>
      </c>
      <c r="P12" s="112">
        <f t="shared" si="0"/>
        <v>-7.9416845869926774E-4</v>
      </c>
    </row>
    <row r="13" spans="1:17" ht="15.5" outlineLevel="1">
      <c r="C13" s="26"/>
    </row>
    <row r="14" spans="1:17" ht="15.5" outlineLevel="1">
      <c r="C14" s="26" t="s">
        <v>185</v>
      </c>
    </row>
    <row r="15" spans="1:17" ht="15.5" outlineLevel="1">
      <c r="C15" s="39" t="s">
        <v>33</v>
      </c>
      <c r="D15" s="39" t="s">
        <v>31</v>
      </c>
      <c r="E15" s="39" t="s">
        <v>186</v>
      </c>
      <c r="F15" s="39" t="s">
        <v>187</v>
      </c>
      <c r="G15" s="39" t="s">
        <v>188</v>
      </c>
      <c r="H15" s="39" t="s">
        <v>88</v>
      </c>
      <c r="I15" s="39" t="s">
        <v>56</v>
      </c>
      <c r="J15" s="38" t="s">
        <v>57</v>
      </c>
      <c r="K15" s="54" t="s">
        <v>58</v>
      </c>
      <c r="L15" s="54" t="s">
        <v>59</v>
      </c>
      <c r="M15" s="54" t="s">
        <v>60</v>
      </c>
      <c r="N15" s="54" t="s">
        <v>61</v>
      </c>
      <c r="O15" s="54" t="s">
        <v>62</v>
      </c>
    </row>
    <row r="16" spans="1:17" outlineLevel="1">
      <c r="C16" s="20"/>
      <c r="D16" s="20"/>
      <c r="E16" s="20"/>
      <c r="F16" s="20"/>
      <c r="G16" s="20"/>
      <c r="H16" s="20"/>
      <c r="I16" s="20"/>
      <c r="J16" s="20"/>
      <c r="K16" s="20"/>
      <c r="L16" s="20"/>
      <c r="M16" s="20"/>
      <c r="N16" s="20"/>
      <c r="O16" s="20"/>
    </row>
    <row r="17" spans="3:15" outlineLevel="1">
      <c r="C17" s="51" t="s">
        <v>189</v>
      </c>
      <c r="D17" s="51"/>
      <c r="E17" s="51"/>
      <c r="F17" s="51"/>
      <c r="G17" s="62" t="s">
        <v>121</v>
      </c>
      <c r="H17" s="62"/>
      <c r="I17" s="20"/>
      <c r="J17" s="20"/>
      <c r="L17" s="20"/>
      <c r="M17" s="20"/>
      <c r="N17" s="20"/>
      <c r="O17" s="20"/>
    </row>
    <row r="18" spans="3:15" outlineLevel="1">
      <c r="C18" s="20" t="s">
        <v>155</v>
      </c>
      <c r="D18" s="75" t="str">
        <f>$D$5</f>
        <v>VDO 2023-24 - Final</v>
      </c>
      <c r="E18" s="20" t="s">
        <v>190</v>
      </c>
      <c r="F18" s="75" t="str">
        <f>INDEX(Inputs!$C$10:$Y$10,1,MATCH($D18,Inputs!$C$8:$Y$8,0))</f>
        <v>F-NextVDO_Input</v>
      </c>
      <c r="G18" s="52"/>
      <c r="H18" s="20" t="s">
        <v>103</v>
      </c>
      <c r="I18" s="20" t="s">
        <v>150</v>
      </c>
      <c r="J18" s="53" t="s">
        <v>91</v>
      </c>
      <c r="K18" s="59">
        <f>IFERROR(INDEX(Input_TUEnv_Actual[],MATCH($C18,Input_TUEnv_Actual[Cost item],0),MATCH($F18,Input_TUEnv_Actual[#Headers],0)),"-")</f>
        <v>35.46</v>
      </c>
      <c r="L18" s="59">
        <f>IFERROR(INDEX(Input_TUEnv_Actual[],MATCH($C18,Input_TUEnv_Actual[Cost item],0),MATCH($F18,Input_TUEnv_Actual[#Headers],0)),"-")</f>
        <v>35.46</v>
      </c>
      <c r="M18" s="59">
        <f>IFERROR(INDEX(Input_TUEnv_Actual[],MATCH($C18,Input_TUEnv_Actual[Cost item],0),MATCH($F18,Input_TUEnv_Actual[#Headers],0)),"-")</f>
        <v>35.46</v>
      </c>
      <c r="N18" s="59">
        <f>IFERROR(INDEX(Input_TUEnv_Actual[],MATCH($C18,Input_TUEnv_Actual[Cost item],0),MATCH($F18,Input_TUEnv_Actual[#Headers],0)),"-")</f>
        <v>35.46</v>
      </c>
      <c r="O18" s="59">
        <f>IFERROR(INDEX(Input_TUEnv_Actual[],MATCH($C18,Input_TUEnv_Actual[Cost item],0),MATCH($F18,Input_TUEnv_Actual[#Headers],0)),"-")</f>
        <v>35.46</v>
      </c>
    </row>
    <row r="19" spans="3:15" outlineLevel="1">
      <c r="C19" s="20" t="s">
        <v>156</v>
      </c>
      <c r="D19" s="75" t="str">
        <f t="shared" ref="D19:D20" si="1">$D$5</f>
        <v>VDO 2023-24 - Final</v>
      </c>
      <c r="E19" s="20" t="s">
        <v>190</v>
      </c>
      <c r="F19" s="75" t="str">
        <f>INDEX(Inputs!$C$10:$Y$10,1,MATCH($D19,Inputs!$C$8:$Y$8,0))</f>
        <v>F-NextVDO_Input</v>
      </c>
      <c r="G19" s="52"/>
      <c r="H19" s="20" t="s">
        <v>103</v>
      </c>
      <c r="I19" s="20" t="s">
        <v>152</v>
      </c>
      <c r="J19" s="53" t="s">
        <v>91</v>
      </c>
      <c r="K19" s="61">
        <f>IFERROR(INDEX(Input_TUEnv_Actual[],MATCH($C19,Input_TUEnv_Actual[Cost item],0),MATCH($F19,Input_TUEnv_Actual[#Headers],0)),"-")</f>
        <v>0.188</v>
      </c>
      <c r="L19" s="61">
        <f>IFERROR(INDEX(Input_TUEnv_Actual[],MATCH($C19,Input_TUEnv_Actual[Cost item],0),MATCH($F19,Input_TUEnv_Actual[#Headers],0)),"-")</f>
        <v>0.188</v>
      </c>
      <c r="M19" s="61">
        <f>IFERROR(INDEX(Input_TUEnv_Actual[],MATCH($C19,Input_TUEnv_Actual[Cost item],0),MATCH($F19,Input_TUEnv_Actual[#Headers],0)),"-")</f>
        <v>0.188</v>
      </c>
      <c r="N19" s="61">
        <f>IFERROR(INDEX(Input_TUEnv_Actual[],MATCH($C19,Input_TUEnv_Actual[Cost item],0),MATCH($F19,Input_TUEnv_Actual[#Headers],0)),"-")</f>
        <v>0.188</v>
      </c>
      <c r="O19" s="61">
        <f>IFERROR(INDEX(Input_TUEnv_Actual[],MATCH($C19,Input_TUEnv_Actual[Cost item],0),MATCH($F19,Input_TUEnv_Actual[#Headers],0)),"-")</f>
        <v>0.188</v>
      </c>
    </row>
    <row r="20" spans="3:15" outlineLevel="1">
      <c r="C20" s="20" t="s">
        <v>191</v>
      </c>
      <c r="D20" s="75" t="str">
        <f t="shared" si="1"/>
        <v>VDO 2023-24 - Final</v>
      </c>
      <c r="E20" s="20" t="s">
        <v>190</v>
      </c>
      <c r="F20" s="75" t="str">
        <f>INDEX(Inputs!$C$10:$Y$10,1,MATCH($D20,Inputs!$C$8:$Y$8,0))</f>
        <v>F-NextVDO_Input</v>
      </c>
      <c r="G20" s="52"/>
      <c r="H20" s="20" t="s">
        <v>103</v>
      </c>
      <c r="I20" s="20" t="s">
        <v>68</v>
      </c>
      <c r="J20" s="53" t="s">
        <v>91</v>
      </c>
      <c r="K20" s="58">
        <f>K18*K19/1000</f>
        <v>6.6664799999999998E-3</v>
      </c>
      <c r="L20" s="58">
        <f t="shared" ref="L20:O20" si="2">L18*L19/1000</f>
        <v>6.6664799999999998E-3</v>
      </c>
      <c r="M20" s="58">
        <f t="shared" si="2"/>
        <v>6.6664799999999998E-3</v>
      </c>
      <c r="N20" s="58">
        <f t="shared" si="2"/>
        <v>6.6664799999999998E-3</v>
      </c>
      <c r="O20" s="58">
        <f t="shared" si="2"/>
        <v>6.6664799999999998E-3</v>
      </c>
    </row>
    <row r="21" spans="3:15" outlineLevel="1">
      <c r="C21" s="20" t="s">
        <v>155</v>
      </c>
      <c r="D21" s="75" t="str">
        <f>INDEX(Input_DecisionActual[[Decision]:[Decision]],MATCH($D$5,Input_DecisionActual[[VDO period]:[VDO period]],0),1)</f>
        <v>VDO 2022-23 - Final</v>
      </c>
      <c r="E21" s="20" t="s">
        <v>192</v>
      </c>
      <c r="F21" s="75" t="str">
        <f>IF($D21="-","-",INDEX(Inputs!$C$10:$Y$10,1,MATCH($D21,Inputs!$C$8:$Y$8,0)))</f>
        <v>F-CurrentVDO_Input</v>
      </c>
      <c r="G21" s="52"/>
      <c r="H21" s="20" t="s">
        <v>103</v>
      </c>
      <c r="I21" s="20" t="s">
        <v>150</v>
      </c>
      <c r="J21" s="53" t="s">
        <v>91</v>
      </c>
      <c r="K21" s="60">
        <f>IFERROR(INDEX(Inputs!$C$11:$Y$134,MATCH($C21,Input_ForRateCalc[Cost item],0),MATCH($F21,Inputs!$C$10:$Y$10,0)),"-")</f>
        <v>35.46</v>
      </c>
      <c r="L21" s="60">
        <f>IFERROR(INDEX(Inputs!$C$11:$Y$134,MATCH($C21,Input_ForRateCalc[Cost item],0),MATCH($F21,Inputs!$C$10:$Y$10,0)),"-")</f>
        <v>35.46</v>
      </c>
      <c r="M21" s="60">
        <f>IFERROR(INDEX(Inputs!$C$11:$Y$134,MATCH($C21,Input_ForRateCalc[Cost item],0),MATCH($F21,Inputs!$C$10:$Y$10,0)),"-")</f>
        <v>35.46</v>
      </c>
      <c r="N21" s="60">
        <f>IFERROR(INDEX(Inputs!$C$11:$Y$134,MATCH($C21,Input_ForRateCalc[Cost item],0),MATCH($F21,Inputs!$C$10:$Y$10,0)),"-")</f>
        <v>35.46</v>
      </c>
      <c r="O21" s="60">
        <f>IFERROR(INDEX(Inputs!$C$11:$Y$134,MATCH($C21,Input_ForRateCalc[Cost item],0),MATCH($F21,Inputs!$C$10:$Y$10,0)),"-")</f>
        <v>35.46</v>
      </c>
    </row>
    <row r="22" spans="3:15" outlineLevel="1">
      <c r="C22" s="20" t="s">
        <v>156</v>
      </c>
      <c r="D22" s="75" t="str">
        <f>INDEX(Input_DecisionActual[[Decision]:[Decision]],MATCH($D$5,Input_DecisionActual[[VDO period]:[VDO period]],0),1)</f>
        <v>VDO 2022-23 - Final</v>
      </c>
      <c r="E22" s="20" t="s">
        <v>192</v>
      </c>
      <c r="F22" s="75" t="str">
        <f>IF($D22="-","-",INDEX(Inputs!$C$10:$Y$10,1,MATCH($D22,Inputs!$C$8:$Y$8,0)))</f>
        <v>F-CurrentVDO_Input</v>
      </c>
      <c r="G22" s="52"/>
      <c r="H22" s="20" t="s">
        <v>103</v>
      </c>
      <c r="I22" s="20" t="s">
        <v>152</v>
      </c>
      <c r="J22" s="53" t="s">
        <v>91</v>
      </c>
      <c r="K22" s="61">
        <f>IFERROR(INDEX(Inputs!$C$11:$Y$134,MATCH($C22,Input_ForRateCalc[Cost item],0),MATCH($F22,Inputs!$C$10:$Y$10,0)),"-")</f>
        <v>0.18640000000000001</v>
      </c>
      <c r="L22" s="61">
        <f>IFERROR(INDEX(Inputs!$C$11:$Y$134,MATCH($C22,Input_ForRateCalc[Cost item],0),MATCH($F22,Inputs!$C$10:$Y$10,0)),"-")</f>
        <v>0.18640000000000001</v>
      </c>
      <c r="M22" s="61">
        <f>IFERROR(INDEX(Inputs!$C$11:$Y$134,MATCH($C22,Input_ForRateCalc[Cost item],0),MATCH($F22,Inputs!$C$10:$Y$10,0)),"-")</f>
        <v>0.18640000000000001</v>
      </c>
      <c r="N22" s="61">
        <f>IFERROR(INDEX(Inputs!$C$11:$Y$134,MATCH($C22,Input_ForRateCalc[Cost item],0),MATCH($F22,Inputs!$C$10:$Y$10,0)),"-")</f>
        <v>0.18640000000000001</v>
      </c>
      <c r="O22" s="61">
        <f>IFERROR(INDEX(Inputs!$C$11:$Y$134,MATCH($C22,Input_ForRateCalc[Cost item],0),MATCH($F22,Inputs!$C$10:$Y$10,0)),"-")</f>
        <v>0.18640000000000001</v>
      </c>
    </row>
    <row r="23" spans="3:15" outlineLevel="1">
      <c r="C23" s="20" t="s">
        <v>191</v>
      </c>
      <c r="D23" s="75" t="str">
        <f>INDEX(Input_DecisionActual[[Decision]:[Decision]],MATCH($D$5,Input_DecisionActual[[VDO period]:[VDO period]],0),1)</f>
        <v>VDO 2022-23 - Final</v>
      </c>
      <c r="E23" s="20" t="s">
        <v>192</v>
      </c>
      <c r="F23" s="75" t="str">
        <f>IF($D23="-","-",INDEX(Inputs!$C$10:$Y$10,1,MATCH($D23,Inputs!$C$8:$Y$8,0)))</f>
        <v>F-CurrentVDO_Input</v>
      </c>
      <c r="G23" s="52"/>
      <c r="H23" s="20" t="s">
        <v>103</v>
      </c>
      <c r="I23" s="20" t="s">
        <v>68</v>
      </c>
      <c r="J23" s="53" t="s">
        <v>91</v>
      </c>
      <c r="K23" s="58">
        <f>IFERROR(K21*K22/1000,"-")</f>
        <v>6.6097440000000007E-3</v>
      </c>
      <c r="L23" s="58">
        <f t="shared" ref="L23:O23" si="3">IFERROR(L21*L22/1000,"-")</f>
        <v>6.6097440000000007E-3</v>
      </c>
      <c r="M23" s="58">
        <f t="shared" si="3"/>
        <v>6.6097440000000007E-3</v>
      </c>
      <c r="N23" s="58">
        <f t="shared" si="3"/>
        <v>6.6097440000000007E-3</v>
      </c>
      <c r="O23" s="58">
        <f t="shared" si="3"/>
        <v>6.6097440000000007E-3</v>
      </c>
    </row>
    <row r="24" spans="3:15" outlineLevel="1">
      <c r="C24" s="20" t="s">
        <v>193</v>
      </c>
      <c r="D24" s="20"/>
      <c r="E24" s="20"/>
      <c r="F24" s="20"/>
      <c r="G24" s="20"/>
      <c r="H24" s="20" t="s">
        <v>103</v>
      </c>
      <c r="I24" s="20" t="s">
        <v>68</v>
      </c>
      <c r="J24" s="20" t="s">
        <v>91</v>
      </c>
      <c r="K24" s="105">
        <f>IFERROR(K20-K23,"-")</f>
        <v>5.6735999999999072E-5</v>
      </c>
      <c r="L24" s="105">
        <f t="shared" ref="L24:O24" si="4">IFERROR(L20-L23,"-")</f>
        <v>5.6735999999999072E-5</v>
      </c>
      <c r="M24" s="105">
        <f t="shared" si="4"/>
        <v>5.6735999999999072E-5</v>
      </c>
      <c r="N24" s="105">
        <f t="shared" si="4"/>
        <v>5.6735999999999072E-5</v>
      </c>
      <c r="O24" s="105">
        <f t="shared" si="4"/>
        <v>5.6735999999999072E-5</v>
      </c>
    </row>
    <row r="25" spans="3:15" outlineLevel="1">
      <c r="C25" s="20" t="s">
        <v>194</v>
      </c>
      <c r="D25" s="75" t="str">
        <f>INDEX(Input_DecisionActual[[Decision]:[Decision]],MATCH($D$5,Input_DecisionActual[[VDO period]:[VDO period]],0),1)</f>
        <v>VDO 2022-23 - Final</v>
      </c>
      <c r="E25" s="20" t="s">
        <v>192</v>
      </c>
      <c r="F25" s="75" t="str">
        <f>IF($D25="-","-",INDEX(Inputs!$C$10:$Y$10,1,MATCH($D25,Inputs!$C$8:$Y$8,0)))</f>
        <v>F-CurrentVDO_Input</v>
      </c>
      <c r="G25" s="20"/>
      <c r="H25" s="20" t="s">
        <v>103</v>
      </c>
      <c r="I25" s="20" t="s">
        <v>68</v>
      </c>
      <c r="J25" s="20" t="s">
        <v>91</v>
      </c>
      <c r="K25" s="106">
        <f>IFERROR(K24*(INDEX(Inputs!$C$11:$Y$134,MATCH("Marginal loss factor - "&amp;K$15,Input_ForRateCalc[Cost item],0),MATCH($F25,Inputs!$C$10:$Y$10,0))*INDEX(Inputs!$C$11:$Y$134,MATCH("Distribution loss factor - "&amp;K$15,Input_ForRateCalc[Cost item],0),MATCH($F25,Inputs!$C$10:$Y$10,0))-1),"-")</f>
        <v>4.4860856403920447E-6</v>
      </c>
      <c r="L25" s="106">
        <f>IFERROR(L24*(INDEX(Inputs!$C$11:$Y$134,MATCH("Marginal loss factor - "&amp;L$15,Input_ForRateCalc[Cost item],0),MATCH($F25,Inputs!$C$10:$Y$10,0))*INDEX(Inputs!$C$11:$Y$134,MATCH("Distribution loss factor - "&amp;L$15,Input_ForRateCalc[Cost item],0),MATCH($F25,Inputs!$C$10:$Y$10,0))-1),"-")</f>
        <v>2.6431618475519522E-6</v>
      </c>
      <c r="M25" s="106">
        <f>IFERROR(M24*(INDEX(Inputs!$C$11:$Y$134,MATCH("Marginal loss factor - "&amp;M$15,Input_ForRateCalc[Cost item],0),MATCH($F25,Inputs!$C$10:$Y$10,0))*INDEX(Inputs!$C$11:$Y$134,MATCH("Distribution loss factor - "&amp;M$15,Input_ForRateCalc[Cost item],0),MATCH($F25,Inputs!$C$10:$Y$10,0))-1),"-")</f>
        <v>2.1377810624399695E-6</v>
      </c>
      <c r="N25" s="106">
        <f>IFERROR(N24*(INDEX(Inputs!$C$11:$Y$134,MATCH("Marginal loss factor - "&amp;N$15,Input_ForRateCalc[Cost item],0),MATCH($F25,Inputs!$C$10:$Y$10,0))*INDEX(Inputs!$C$11:$Y$134,MATCH("Distribution loss factor - "&amp;N$15,Input_ForRateCalc[Cost item],0),MATCH($F25,Inputs!$C$10:$Y$10,0))-1),"-")</f>
        <v>3.9442891341458991E-6</v>
      </c>
      <c r="O25" s="106">
        <f>IFERROR(O24*(INDEX(Inputs!$C$11:$Y$134,MATCH("Marginal loss factor - "&amp;O$15,Input_ForRateCalc[Cost item],0),MATCH($F25,Inputs!$C$10:$Y$10,0))*INDEX(Inputs!$C$11:$Y$134,MATCH("Distribution loss factor - "&amp;O$15,Input_ForRateCalc[Cost item],0),MATCH($F25,Inputs!$C$10:$Y$10,0))-1),"-")</f>
        <v>2.4816190748841288E-6</v>
      </c>
    </row>
    <row r="26" spans="3:15" hidden="1" outlineLevel="1">
      <c r="C26" s="20" t="s">
        <v>180</v>
      </c>
      <c r="D26" s="20"/>
      <c r="E26" s="20"/>
      <c r="F26" s="20"/>
      <c r="G26" s="20"/>
      <c r="H26" s="20" t="s">
        <v>103</v>
      </c>
      <c r="I26" s="20" t="s">
        <v>68</v>
      </c>
      <c r="J26" s="20" t="s">
        <v>91</v>
      </c>
      <c r="K26" s="106" t="str">
        <f>IF($D$11="Yes",SUM(K24:K25)*$D$12,"")</f>
        <v/>
      </c>
      <c r="L26" s="106" t="str">
        <f>IF($D$11="Yes",SUM(L24:L25)*$D$12,"")</f>
        <v/>
      </c>
      <c r="M26" s="106" t="str">
        <f>IF($D$11="Yes",SUM(M24:M25)*$D$12,"")</f>
        <v/>
      </c>
      <c r="N26" s="106" t="str">
        <f>IF($D$11="Yes",SUM(N24:N25)*$D$12,"")</f>
        <v/>
      </c>
      <c r="O26" s="106" t="str">
        <f>IF($D$11="Yes",SUM(O24:O25)*$D$12,"")</f>
        <v/>
      </c>
    </row>
    <row r="27" spans="3:15" outlineLevel="1">
      <c r="C27" s="20" t="s">
        <v>195</v>
      </c>
      <c r="D27" s="75" t="str">
        <f>INDEX(Input_DecisionActual[[Decision]:[Decision]],MATCH($D$5,Input_DecisionActual[[VDO period]:[VDO period]],0),1)</f>
        <v>VDO 2022-23 - Final</v>
      </c>
      <c r="E27" s="20" t="s">
        <v>192</v>
      </c>
      <c r="F27" s="75" t="str">
        <f>IF($D27="-","-",INDEX(Inputs!$C$10:$Y$10,1,MATCH($D27,Inputs!$C$8:$Y$8,0)))</f>
        <v>F-CurrentVDO_Input</v>
      </c>
      <c r="G27" s="20"/>
      <c r="H27" s="20" t="s">
        <v>103</v>
      </c>
      <c r="I27" s="20" t="s">
        <v>68</v>
      </c>
      <c r="J27" s="20" t="s">
        <v>91</v>
      </c>
      <c r="K27" s="106">
        <f>IFERROR(SUM(K24:K26)*(INDEX(Inputs!$C$11:$Y$134,MATCH("Retail operating margin",Input_ForRateCalc[Cost item],0),MATCH($F27,Inputs!$C$10:$Y$10,0))),"-")</f>
        <v>3.6978139726796235E-6</v>
      </c>
      <c r="L27" s="106">
        <f>IFERROR(SUM(L24:L26)*(INDEX(Inputs!$C$11:$Y$134,MATCH("Retail operating margin",Input_ForRateCalc[Cost item],0),MATCH($F27,Inputs!$C$10:$Y$10,0))),"-")</f>
        <v>3.5865013755920819E-6</v>
      </c>
      <c r="M27" s="106">
        <f>IFERROR(SUM(M24:M26)*(INDEX(Inputs!$C$11:$Y$134,MATCH("Retail operating margin",Input_ForRateCalc[Cost item],0),MATCH($F27,Inputs!$C$10:$Y$10,0))),"-")</f>
        <v>3.5559763761713181E-6</v>
      </c>
      <c r="N27" s="106">
        <f>IFERROR(SUM(N24:N26)*(INDEX(Inputs!$C$11:$Y$134,MATCH("Retail operating margin",Input_ForRateCalc[Cost item],0),MATCH($F27,Inputs!$C$10:$Y$10,0))),"-")</f>
        <v>3.6650894637023566E-6</v>
      </c>
      <c r="O27" s="106">
        <f>IFERROR(SUM(O24:O26)*(INDEX(Inputs!$C$11:$Y$134,MATCH("Retail operating margin",Input_ForRateCalc[Cost item],0),MATCH($F27,Inputs!$C$10:$Y$10,0))),"-")</f>
        <v>3.5767441921229453E-6</v>
      </c>
    </row>
    <row r="28" spans="3:15" outlineLevel="1">
      <c r="C28" s="20" t="s">
        <v>196</v>
      </c>
      <c r="D28" s="20"/>
      <c r="E28" s="20"/>
      <c r="F28" s="20"/>
      <c r="G28" s="20"/>
      <c r="H28" s="20" t="s">
        <v>103</v>
      </c>
      <c r="I28" s="20" t="s">
        <v>68</v>
      </c>
      <c r="J28" s="20" t="s">
        <v>91</v>
      </c>
      <c r="K28" s="106">
        <f>SUM(K24:K27)*GST</f>
        <v>6.491989961307075E-6</v>
      </c>
      <c r="L28" s="106">
        <f>SUM(L24:L27)*GST</f>
        <v>6.2965663223143106E-6</v>
      </c>
      <c r="M28" s="106">
        <f>SUM(M24:M27)*GST</f>
        <v>6.2429757438610369E-6</v>
      </c>
      <c r="N28" s="106">
        <f>SUM(N24:N27)*GST</f>
        <v>6.4345378597847339E-6</v>
      </c>
      <c r="O28" s="106">
        <f>SUM(O24:O27)*GST</f>
        <v>6.2794363267006159E-6</v>
      </c>
    </row>
    <row r="29" spans="3:15" outlineLevel="1">
      <c r="C29" s="53" t="s">
        <v>178</v>
      </c>
      <c r="D29" s="53"/>
      <c r="E29" s="53"/>
      <c r="F29" s="53"/>
      <c r="H29" s="53" t="s">
        <v>103</v>
      </c>
      <c r="I29" s="53" t="s">
        <v>68</v>
      </c>
      <c r="J29" s="53" t="s">
        <v>91</v>
      </c>
      <c r="K29" s="106">
        <f>SUM(K24:K28)</f>
        <v>7.1411889574377822E-5</v>
      </c>
      <c r="L29" s="106">
        <f>SUM(L24:L28)</f>
        <v>6.9262229545457419E-5</v>
      </c>
      <c r="M29" s="106">
        <f>SUM(M24:M28)</f>
        <v>6.8672733182471396E-5</v>
      </c>
      <c r="N29" s="106">
        <f>SUM(N24:N28)</f>
        <v>7.0779916457632067E-5</v>
      </c>
      <c r="O29" s="106">
        <f>SUM(O24:O28)</f>
        <v>6.9073799593706765E-5</v>
      </c>
    </row>
    <row r="30" spans="3:15" outlineLevel="1">
      <c r="C30" s="20"/>
      <c r="D30" s="20"/>
      <c r="E30" s="20"/>
      <c r="F30" s="20"/>
      <c r="G30" s="20"/>
      <c r="H30" s="20"/>
      <c r="I30" s="20"/>
      <c r="J30" s="20"/>
      <c r="K30" s="106"/>
      <c r="L30" s="106"/>
      <c r="M30" s="106"/>
      <c r="N30" s="106"/>
      <c r="O30" s="106"/>
    </row>
    <row r="31" spans="3:15" outlineLevel="1">
      <c r="C31" s="51" t="s">
        <v>197</v>
      </c>
      <c r="D31" s="51"/>
      <c r="E31" s="51"/>
      <c r="F31" s="51"/>
      <c r="G31" s="62" t="s">
        <v>121</v>
      </c>
      <c r="H31" s="62"/>
      <c r="I31" s="20"/>
      <c r="J31" s="20"/>
      <c r="K31" s="20"/>
      <c r="L31" s="20"/>
      <c r="M31" s="20"/>
      <c r="N31" s="20"/>
      <c r="O31" s="20"/>
    </row>
    <row r="32" spans="3:15" outlineLevel="1">
      <c r="C32" s="20" t="s">
        <v>159</v>
      </c>
      <c r="D32" s="75" t="str">
        <f>$D$5</f>
        <v>VDO 2023-24 - Final</v>
      </c>
      <c r="E32" s="20" t="s">
        <v>190</v>
      </c>
      <c r="F32" s="75" t="str">
        <f>INDEX(Inputs!$C$10:$Y$10,1,MATCH($D32,Inputs!$C$8:$Y$8,0))</f>
        <v>F-NextVDO_Input</v>
      </c>
      <c r="G32" s="52"/>
      <c r="H32" s="20" t="s">
        <v>103</v>
      </c>
      <c r="I32" s="20" t="s">
        <v>150</v>
      </c>
      <c r="J32" s="53" t="s">
        <v>91</v>
      </c>
      <c r="K32" s="59">
        <f>IFERROR(INDEX(Input_TUEnv_Actual[],MATCH($C32,Input_TUEnv_Actual[Cost item],0),MATCH($F32,Input_TUEnv_Actual[#Headers],0)),"-")</f>
        <v>40</v>
      </c>
      <c r="L32" s="59">
        <f>IFERROR(INDEX(Input_TUEnv_Actual[],MATCH($C32,Input_TUEnv_Actual[Cost item],0),MATCH($F32,Input_TUEnv_Actual[#Headers],0)),"-")</f>
        <v>40</v>
      </c>
      <c r="M32" s="59">
        <f>IFERROR(INDEX(Input_TUEnv_Actual[],MATCH($C32,Input_TUEnv_Actual[Cost item],0),MATCH($F32,Input_TUEnv_Actual[#Headers],0)),"-")</f>
        <v>40</v>
      </c>
      <c r="N32" s="59">
        <f>IFERROR(INDEX(Input_TUEnv_Actual[],MATCH($C32,Input_TUEnv_Actual[Cost item],0),MATCH($F32,Input_TUEnv_Actual[#Headers],0)),"-")</f>
        <v>40</v>
      </c>
      <c r="O32" s="59">
        <f>IFERROR(INDEX(Input_TUEnv_Actual[],MATCH($C32,Input_TUEnv_Actual[Cost item],0),MATCH($F32,Input_TUEnv_Actual[#Headers],0)),"-")</f>
        <v>40</v>
      </c>
    </row>
    <row r="33" spans="3:15" outlineLevel="1">
      <c r="C33" s="53" t="s">
        <v>160</v>
      </c>
      <c r="D33" s="75" t="str">
        <f t="shared" ref="D33:D34" si="5">$D$5</f>
        <v>VDO 2023-24 - Final</v>
      </c>
      <c r="E33" s="20" t="s">
        <v>190</v>
      </c>
      <c r="F33" s="75" t="str">
        <f>INDEX(Inputs!$C$10:$Y$10,1,MATCH($D33,Inputs!$C$8:$Y$8,0))</f>
        <v>F-NextVDO_Input</v>
      </c>
      <c r="G33" s="52"/>
      <c r="H33" s="20" t="s">
        <v>103</v>
      </c>
      <c r="I33" s="20" t="s">
        <v>152</v>
      </c>
      <c r="J33" s="53" t="s">
        <v>91</v>
      </c>
      <c r="K33" s="61">
        <f>IFERROR(INDEX(Input_TUEnv_Actual[],MATCH($C33,Input_TUEnv_Actual[Cost item],0),MATCH($F33,Input_TUEnv_Actual[#Headers],0)),"-")</f>
        <v>0.21779999999999999</v>
      </c>
      <c r="L33" s="61">
        <f>IFERROR(INDEX(Input_TUEnv_Actual[],MATCH($C33,Input_TUEnv_Actual[Cost item],0),MATCH($F33,Input_TUEnv_Actual[#Headers],0)),"-")</f>
        <v>0.21779999999999999</v>
      </c>
      <c r="M33" s="61">
        <f>IFERROR(INDEX(Input_TUEnv_Actual[],MATCH($C33,Input_TUEnv_Actual[Cost item],0),MATCH($F33,Input_TUEnv_Actual[#Headers],0)),"-")</f>
        <v>0.21779999999999999</v>
      </c>
      <c r="N33" s="61">
        <f>IFERROR(INDEX(Input_TUEnv_Actual[],MATCH($C33,Input_TUEnv_Actual[Cost item],0),MATCH($F33,Input_TUEnv_Actual[#Headers],0)),"-")</f>
        <v>0.21779999999999999</v>
      </c>
      <c r="O33" s="61">
        <f>IFERROR(INDEX(Input_TUEnv_Actual[],MATCH($C33,Input_TUEnv_Actual[Cost item],0),MATCH($F33,Input_TUEnv_Actual[#Headers],0)),"-")</f>
        <v>0.21779999999999999</v>
      </c>
    </row>
    <row r="34" spans="3:15" outlineLevel="1">
      <c r="C34" s="20" t="s">
        <v>191</v>
      </c>
      <c r="D34" s="75" t="str">
        <f t="shared" si="5"/>
        <v>VDO 2023-24 - Final</v>
      </c>
      <c r="E34" s="20" t="s">
        <v>190</v>
      </c>
      <c r="F34" s="75" t="str">
        <f>INDEX(Inputs!$C$10:$Y$10,1,MATCH($D34,Inputs!$C$8:$Y$8,0))</f>
        <v>F-NextVDO_Input</v>
      </c>
      <c r="G34" s="52"/>
      <c r="H34" s="20" t="s">
        <v>103</v>
      </c>
      <c r="I34" s="20" t="s">
        <v>68</v>
      </c>
      <c r="J34" s="53" t="s">
        <v>91</v>
      </c>
      <c r="K34" s="58">
        <f>K32*K33/1000</f>
        <v>8.7119999999999993E-3</v>
      </c>
      <c r="L34" s="58">
        <f t="shared" ref="L34" si="6">L32*L33/1000</f>
        <v>8.7119999999999993E-3</v>
      </c>
      <c r="M34" s="58">
        <f t="shared" ref="M34" si="7">M32*M33/1000</f>
        <v>8.7119999999999993E-3</v>
      </c>
      <c r="N34" s="58">
        <f t="shared" ref="N34" si="8">N32*N33/1000</f>
        <v>8.7119999999999993E-3</v>
      </c>
      <c r="O34" s="58">
        <f t="shared" ref="O34" si="9">O32*O33/1000</f>
        <v>8.7119999999999993E-3</v>
      </c>
    </row>
    <row r="35" spans="3:15" outlineLevel="1">
      <c r="C35" s="20" t="s">
        <v>159</v>
      </c>
      <c r="D35" s="75" t="str">
        <f>INDEX(Input_DecisionActual[[Decision]:[Decision]],MATCH($D$5,Input_DecisionActual[[VDO period]:[VDO period]],0),1)</f>
        <v>VDO 2022-23 - Final</v>
      </c>
      <c r="E35" s="20" t="s">
        <v>192</v>
      </c>
      <c r="F35" s="75" t="str">
        <f>IF($D35="-","-",INDEX(Inputs!$C$10:$Y$10,1,MATCH($D35,Inputs!$C$8:$Y$8,0)))</f>
        <v>F-CurrentVDO_Input</v>
      </c>
      <c r="G35" s="52"/>
      <c r="H35" s="20" t="s">
        <v>103</v>
      </c>
      <c r="I35" s="20" t="s">
        <v>150</v>
      </c>
      <c r="J35" s="53" t="s">
        <v>91</v>
      </c>
      <c r="K35" s="60">
        <f>IFERROR(INDEX(Inputs!$C$11:$Y$134,MATCH($C35,Input_ForRateCalc[Cost item],0),MATCH($F35,Inputs!$C$10:$Y$10,0)),"-")</f>
        <v>40</v>
      </c>
      <c r="L35" s="60">
        <f>IFERROR(INDEX(Inputs!$C$11:$Y$134,MATCH($C35,Input_ForRateCalc[Cost item],0),MATCH($F35,Inputs!$C$10:$Y$10,0)),"-")</f>
        <v>40</v>
      </c>
      <c r="M35" s="60">
        <f>IFERROR(INDEX(Inputs!$C$11:$Y$134,MATCH($C35,Input_ForRateCalc[Cost item],0),MATCH($F35,Inputs!$C$10:$Y$10,0)),"-")</f>
        <v>40</v>
      </c>
      <c r="N35" s="60">
        <f>IFERROR(INDEX(Inputs!$C$11:$Y$134,MATCH($C35,Input_ForRateCalc[Cost item],0),MATCH($F35,Inputs!$C$10:$Y$10,0)),"-")</f>
        <v>40</v>
      </c>
      <c r="O35" s="60">
        <f>IFERROR(INDEX(Inputs!$C$11:$Y$134,MATCH($C35,Input_ForRateCalc[Cost item],0),MATCH($F35,Inputs!$C$10:$Y$10,0)),"-")</f>
        <v>40</v>
      </c>
    </row>
    <row r="36" spans="3:15" outlineLevel="1">
      <c r="C36" s="53" t="s">
        <v>160</v>
      </c>
      <c r="D36" s="75" t="str">
        <f>INDEX(Input_DecisionActual[[Decision]:[Decision]],MATCH($D$5,Input_DecisionActual[[VDO period]:[VDO period]],0),1)</f>
        <v>VDO 2022-23 - Final</v>
      </c>
      <c r="E36" s="20" t="s">
        <v>192</v>
      </c>
      <c r="F36" s="75" t="str">
        <f>IF($D36="-","-",INDEX(Inputs!$C$10:$Y$10,1,MATCH($D36,Inputs!$C$8:$Y$8,0)))</f>
        <v>F-CurrentVDO_Input</v>
      </c>
      <c r="G36" s="52"/>
      <c r="H36" s="20" t="s">
        <v>103</v>
      </c>
      <c r="I36" s="20" t="s">
        <v>152</v>
      </c>
      <c r="J36" s="53" t="s">
        <v>91</v>
      </c>
      <c r="K36" s="61">
        <f>IFERROR(INDEX(Inputs!$C$11:$Y$134,MATCH($C36,Input_ForRateCalc[Cost item],0),MATCH($F36,Inputs!$C$10:$Y$10,0)),"-")</f>
        <v>0.248</v>
      </c>
      <c r="L36" s="61">
        <f>IFERROR(INDEX(Inputs!$C$11:$Y$134,MATCH($C36,Input_ForRateCalc[Cost item],0),MATCH($F36,Inputs!$C$10:$Y$10,0)),"-")</f>
        <v>0.248</v>
      </c>
      <c r="M36" s="61">
        <f>IFERROR(INDEX(Inputs!$C$11:$Y$134,MATCH($C36,Input_ForRateCalc[Cost item],0),MATCH($F36,Inputs!$C$10:$Y$10,0)),"-")</f>
        <v>0.248</v>
      </c>
      <c r="N36" s="61">
        <f>IFERROR(INDEX(Inputs!$C$11:$Y$134,MATCH($C36,Input_ForRateCalc[Cost item],0),MATCH($F36,Inputs!$C$10:$Y$10,0)),"-")</f>
        <v>0.248</v>
      </c>
      <c r="O36" s="61">
        <f>IFERROR(INDEX(Inputs!$C$11:$Y$134,MATCH($C36,Input_ForRateCalc[Cost item],0),MATCH($F36,Inputs!$C$10:$Y$10,0)),"-")</f>
        <v>0.248</v>
      </c>
    </row>
    <row r="37" spans="3:15" outlineLevel="1">
      <c r="C37" s="20" t="s">
        <v>191</v>
      </c>
      <c r="D37" s="75" t="str">
        <f>INDEX(Input_DecisionActual[[Decision]:[Decision]],MATCH($D$5,Input_DecisionActual[[VDO period]:[VDO period]],0),1)</f>
        <v>VDO 2022-23 - Final</v>
      </c>
      <c r="E37" s="20" t="s">
        <v>192</v>
      </c>
      <c r="F37" s="75" t="str">
        <f>IF($D37="-","-",INDEX(Inputs!$C$10:$Y$10,1,MATCH($D37,Inputs!$C$8:$Y$8,0)))</f>
        <v>F-CurrentVDO_Input</v>
      </c>
      <c r="G37" s="52"/>
      <c r="H37" s="20" t="s">
        <v>103</v>
      </c>
      <c r="I37" s="20" t="s">
        <v>68</v>
      </c>
      <c r="J37" s="53" t="s">
        <v>91</v>
      </c>
      <c r="K37" s="58">
        <f>IFERROR(K35*K36/1000,"-")</f>
        <v>9.92E-3</v>
      </c>
      <c r="L37" s="58">
        <f t="shared" ref="L37" si="10">IFERROR(L35*L36/1000,"-")</f>
        <v>9.92E-3</v>
      </c>
      <c r="M37" s="58">
        <f t="shared" ref="M37" si="11">IFERROR(M35*M36/1000,"-")</f>
        <v>9.92E-3</v>
      </c>
      <c r="N37" s="58">
        <f t="shared" ref="N37" si="12">IFERROR(N35*N36/1000,"-")</f>
        <v>9.92E-3</v>
      </c>
      <c r="O37" s="58">
        <f t="shared" ref="O37" si="13">IFERROR(O35*O36/1000,"-")</f>
        <v>9.92E-3</v>
      </c>
    </row>
    <row r="38" spans="3:15" outlineLevel="1">
      <c r="C38" s="20" t="s">
        <v>193</v>
      </c>
      <c r="D38" s="20"/>
      <c r="E38" s="20"/>
      <c r="F38" s="20"/>
      <c r="G38" s="20"/>
      <c r="H38" s="20" t="s">
        <v>103</v>
      </c>
      <c r="I38" s="20" t="s">
        <v>68</v>
      </c>
      <c r="J38" s="20" t="s">
        <v>91</v>
      </c>
      <c r="K38" s="105">
        <f>IFERROR(K34-K37,"-")</f>
        <v>-1.2080000000000007E-3</v>
      </c>
      <c r="L38" s="105">
        <f t="shared" ref="L38" si="14">IFERROR(L34-L37,"-")</f>
        <v>-1.2080000000000007E-3</v>
      </c>
      <c r="M38" s="105">
        <f t="shared" ref="M38" si="15">IFERROR(M34-M37,"-")</f>
        <v>-1.2080000000000007E-3</v>
      </c>
      <c r="N38" s="105">
        <f t="shared" ref="N38" si="16">IFERROR(N34-N37,"-")</f>
        <v>-1.2080000000000007E-3</v>
      </c>
      <c r="O38" s="105">
        <f t="shared" ref="O38" si="17">IFERROR(O34-O37,"-")</f>
        <v>-1.2080000000000007E-3</v>
      </c>
    </row>
    <row r="39" spans="3:15" outlineLevel="1">
      <c r="C39" s="20" t="s">
        <v>194</v>
      </c>
      <c r="D39" s="75" t="str">
        <f>INDEX(Input_DecisionActual[[Decision]:[Decision]],MATCH($D$5,Input_DecisionActual[[VDO period]:[VDO period]],0),1)</f>
        <v>VDO 2022-23 - Final</v>
      </c>
      <c r="E39" s="20" t="s">
        <v>192</v>
      </c>
      <c r="F39" s="75" t="str">
        <f>IF($D39="-","-",INDEX(Inputs!$C$10:$Y$10,1,MATCH($D39,Inputs!$C$8:$Y$8,0)))</f>
        <v>F-CurrentVDO_Input</v>
      </c>
      <c r="G39" s="20"/>
      <c r="H39" s="20" t="s">
        <v>103</v>
      </c>
      <c r="I39" s="20" t="s">
        <v>68</v>
      </c>
      <c r="J39" s="20" t="s">
        <v>91</v>
      </c>
      <c r="K39" s="106">
        <f>IFERROR(K38*(INDEX(Inputs!$C$11:$Y$134,MATCH("Marginal loss factor - "&amp;K$15,Input_ForRateCalc[Cost item],0),MATCH($F39,Inputs!$C$10:$Y$10,0))*INDEX(Inputs!$C$11:$Y$134,MATCH("Distribution loss factor - "&amp;K$15,Input_ForRateCalc[Cost item],0),MATCH($F39,Inputs!$C$10:$Y$10,0))-1),"-")</f>
        <v>-9.5515923815455472E-5</v>
      </c>
      <c r="L39" s="106">
        <f>IFERROR(L38*(INDEX(Inputs!$C$11:$Y$134,MATCH("Marginal loss factor - "&amp;L$15,Input_ForRateCalc[Cost item],0),MATCH($F39,Inputs!$C$10:$Y$10,0))*INDEX(Inputs!$C$11:$Y$134,MATCH("Distribution loss factor - "&amp;L$15,Input_ForRateCalc[Cost item],0),MATCH($F39,Inputs!$C$10:$Y$10,0))-1),"-")</f>
        <v>-5.6277134655999936E-5</v>
      </c>
      <c r="M39" s="106">
        <f>IFERROR(M38*(INDEX(Inputs!$C$11:$Y$134,MATCH("Marginal loss factor - "&amp;M$15,Input_ForRateCalc[Cost item],0),MATCH($F39,Inputs!$C$10:$Y$10,0))*INDEX(Inputs!$C$11:$Y$134,MATCH("Distribution loss factor - "&amp;M$15,Input_ForRateCalc[Cost item],0),MATCH($F39,Inputs!$C$10:$Y$10,0))-1),"-")</f>
        <v>-4.5516771070000129E-5</v>
      </c>
      <c r="N39" s="106">
        <f>IFERROR(N38*(INDEX(Inputs!$C$11:$Y$134,MATCH("Marginal loss factor - "&amp;N$15,Input_ForRateCalc[Cost item],0),MATCH($F39,Inputs!$C$10:$Y$10,0))*INDEX(Inputs!$C$11:$Y$134,MATCH("Distribution loss factor - "&amp;N$15,Input_ForRateCalc[Cost item],0),MATCH($F39,Inputs!$C$10:$Y$10,0))-1),"-")</f>
        <v>-8.3980211401021003E-5</v>
      </c>
      <c r="O39" s="106">
        <f>IFERROR(O38*(INDEX(Inputs!$C$11:$Y$134,MATCH("Marginal loss factor - "&amp;O$15,Input_ForRateCalc[Cost item],0),MATCH($F39,Inputs!$C$10:$Y$10,0))*INDEX(Inputs!$C$11:$Y$134,MATCH("Distribution loss factor - "&amp;O$15,Input_ForRateCalc[Cost item],0),MATCH($F39,Inputs!$C$10:$Y$10,0))-1),"-")</f>
        <v>-5.2837631177031839E-5</v>
      </c>
    </row>
    <row r="40" spans="3:15" hidden="1" outlineLevel="1">
      <c r="C40" s="20" t="s">
        <v>180</v>
      </c>
      <c r="D40" s="20"/>
      <c r="E40" s="20"/>
      <c r="F40" s="20"/>
      <c r="G40" s="20"/>
      <c r="H40" s="20" t="s">
        <v>103</v>
      </c>
      <c r="I40" s="20" t="s">
        <v>68</v>
      </c>
      <c r="J40" s="20" t="s">
        <v>91</v>
      </c>
      <c r="K40" s="106" t="str">
        <f>IF($D$11="Yes",SUM(K38:K39)*$D$12,"")</f>
        <v/>
      </c>
      <c r="L40" s="106" t="str">
        <f>IF($D$11="Yes",SUM(L38:L39)*$D$12,"")</f>
        <v/>
      </c>
      <c r="M40" s="106" t="str">
        <f>IF($D$11="Yes",SUM(M38:M39)*$D$12,"")</f>
        <v/>
      </c>
      <c r="N40" s="106" t="str">
        <f>IF($D$11="Yes",SUM(N38:N39)*$D$12,"")</f>
        <v/>
      </c>
      <c r="O40" s="106" t="str">
        <f>IF($D$11="Yes",SUM(O38:O39)*$D$12,"")</f>
        <v/>
      </c>
    </row>
    <row r="41" spans="3:15" outlineLevel="1">
      <c r="C41" s="20" t="s">
        <v>195</v>
      </c>
      <c r="D41" s="75" t="str">
        <f>INDEX(Input_DecisionActual[[Decision]:[Decision]],MATCH($D$5,Input_DecisionActual[[VDO period]:[VDO period]],0),1)</f>
        <v>VDO 2022-23 - Final</v>
      </c>
      <c r="E41" s="20" t="s">
        <v>192</v>
      </c>
      <c r="F41" s="75" t="str">
        <f>IF($D41="-","-",INDEX(Inputs!$C$10:$Y$10,1,MATCH($D41,Inputs!$C$8:$Y$8,0)))</f>
        <v>F-CurrentVDO_Input</v>
      </c>
      <c r="G41" s="20"/>
      <c r="H41" s="20" t="s">
        <v>103</v>
      </c>
      <c r="I41" s="20" t="s">
        <v>68</v>
      </c>
      <c r="J41" s="20" t="s">
        <v>91</v>
      </c>
      <c r="K41" s="106">
        <f>IFERROR(SUM(K38:K40)*(INDEX(Inputs!$C$11:$Y$134,MATCH("Retail operating margin",Input_ForRateCalc[Cost item],0),MATCH($F41,Inputs!$C$10:$Y$10,0))),"-")</f>
        <v>-7.873236179845356E-5</v>
      </c>
      <c r="L41" s="106">
        <f>IFERROR(SUM(L38:L40)*(INDEX(Inputs!$C$11:$Y$134,MATCH("Retail operating margin",Input_ForRateCalc[Cost item],0),MATCH($F41,Inputs!$C$10:$Y$10,0))),"-")</f>
        <v>-7.6362338933222442E-5</v>
      </c>
      <c r="M41" s="106">
        <f>IFERROR(SUM(M38:M40)*(INDEX(Inputs!$C$11:$Y$134,MATCH("Retail operating margin",Input_ForRateCalc[Cost item],0),MATCH($F41,Inputs!$C$10:$Y$10,0))),"-")</f>
        <v>-7.5712412972628055E-5</v>
      </c>
      <c r="N41" s="106">
        <f>IFERROR(SUM(N38:N40)*(INDEX(Inputs!$C$11:$Y$134,MATCH("Retail operating margin",Input_ForRateCalc[Cost item],0),MATCH($F41,Inputs!$C$10:$Y$10,0))),"-")</f>
        <v>-7.8035604768621718E-5</v>
      </c>
      <c r="O41" s="106">
        <f>IFERROR(SUM(O38:O40)*(INDEX(Inputs!$C$11:$Y$134,MATCH("Retail operating margin",Input_ForRateCalc[Cost item],0),MATCH($F41,Inputs!$C$10:$Y$10,0))),"-")</f>
        <v>-7.6154592923092775E-5</v>
      </c>
    </row>
    <row r="42" spans="3:15" outlineLevel="1">
      <c r="C42" s="20" t="s">
        <v>196</v>
      </c>
      <c r="D42" s="20"/>
      <c r="E42" s="20"/>
      <c r="F42" s="20"/>
      <c r="G42" s="20"/>
      <c r="H42" s="20" t="s">
        <v>103</v>
      </c>
      <c r="I42" s="20" t="s">
        <v>68</v>
      </c>
      <c r="J42" s="20" t="s">
        <v>91</v>
      </c>
      <c r="K42" s="106">
        <f>SUM(K38:K41)*GST</f>
        <v>-1.3822482856139099E-4</v>
      </c>
      <c r="L42" s="106">
        <f>SUM(L38:L41)*GST</f>
        <v>-1.3406394735892231E-4</v>
      </c>
      <c r="M42" s="106">
        <f>SUM(M38:M41)*GST</f>
        <v>-1.329229184042629E-4</v>
      </c>
      <c r="N42" s="106">
        <f>SUM(N38:N41)*GST</f>
        <v>-1.3700158161696435E-4</v>
      </c>
      <c r="O42" s="106">
        <f>SUM(O38:O41)*GST</f>
        <v>-1.3369922241001253E-4</v>
      </c>
    </row>
    <row r="43" spans="3:15" outlineLevel="1">
      <c r="C43" s="53" t="s">
        <v>182</v>
      </c>
      <c r="D43" s="53"/>
      <c r="E43" s="53"/>
      <c r="F43" s="53"/>
      <c r="H43" s="53" t="s">
        <v>103</v>
      </c>
      <c r="I43" s="53" t="s">
        <v>68</v>
      </c>
      <c r="J43" s="53" t="s">
        <v>91</v>
      </c>
      <c r="K43" s="106">
        <f>SUM(K38:K42)</f>
        <v>-1.5204731141753008E-3</v>
      </c>
      <c r="L43" s="106">
        <f>SUM(L38:L42)</f>
        <v>-1.4747034209481452E-3</v>
      </c>
      <c r="M43" s="106">
        <f>SUM(M38:M42)</f>
        <v>-1.4621521024468919E-3</v>
      </c>
      <c r="N43" s="106">
        <f>SUM(N38:N42)</f>
        <v>-1.5070173977866077E-3</v>
      </c>
      <c r="O43" s="106">
        <f>SUM(O38:O42)</f>
        <v>-1.470691446510138E-3</v>
      </c>
    </row>
    <row r="44" spans="3:15" outlineLevel="1">
      <c r="C44" s="20"/>
      <c r="D44" s="20"/>
      <c r="E44" s="20"/>
      <c r="F44" s="20"/>
      <c r="G44" s="20"/>
      <c r="H44" s="20"/>
      <c r="I44" s="20"/>
      <c r="J44" s="20"/>
      <c r="K44" s="59"/>
      <c r="L44" s="59"/>
      <c r="M44" s="59"/>
      <c r="N44" s="59"/>
      <c r="O44" s="59"/>
    </row>
    <row r="45" spans="3:15" outlineLevel="1">
      <c r="C45" s="51" t="s">
        <v>198</v>
      </c>
      <c r="D45" s="51"/>
      <c r="E45" s="51"/>
      <c r="F45" s="51"/>
      <c r="G45" s="62" t="s">
        <v>181</v>
      </c>
      <c r="H45" s="62"/>
      <c r="I45" s="20"/>
      <c r="J45" s="20"/>
      <c r="K45" s="20"/>
      <c r="L45" s="20"/>
      <c r="M45" s="20"/>
      <c r="N45" s="20"/>
      <c r="O45" s="20"/>
    </row>
    <row r="46" spans="3:15" outlineLevel="1">
      <c r="C46" s="20" t="s">
        <v>149</v>
      </c>
      <c r="D46" s="75" t="str">
        <f>$D$5</f>
        <v>VDO 2023-24 - Final</v>
      </c>
      <c r="E46" s="20" t="s">
        <v>190</v>
      </c>
      <c r="F46" s="75" t="str">
        <f>INDEX(Inputs!$C$10:$Y$10,1,MATCH($D46,Inputs!$C$8:$Y$8,0))</f>
        <v>F-NextVDO_Input</v>
      </c>
      <c r="G46" s="52"/>
      <c r="H46" s="20" t="s">
        <v>103</v>
      </c>
      <c r="I46" s="20" t="s">
        <v>150</v>
      </c>
      <c r="J46" s="53" t="s">
        <v>91</v>
      </c>
      <c r="K46" s="59">
        <f>IFERROR(INDEX(Input_TUEnv_Actual[],MATCH($C46,Input_TUEnv_Actual[Cost item],0),MATCH($F46,Input_TUEnv_Actual[#Headers],0)),"-")</f>
        <v>73.62</v>
      </c>
      <c r="L46" s="59">
        <f>IFERROR(INDEX(Input_TUEnv_Actual[],MATCH($C46,Input_TUEnv_Actual[Cost item],0),MATCH($F46,Input_TUEnv_Actual[#Headers],0)),"-")</f>
        <v>73.62</v>
      </c>
      <c r="M46" s="59">
        <f>IFERROR(INDEX(Input_TUEnv_Actual[],MATCH($C46,Input_TUEnv_Actual[Cost item],0),MATCH($F46,Input_TUEnv_Actual[#Headers],0)),"-")</f>
        <v>73.62</v>
      </c>
      <c r="N46" s="59">
        <f>IFERROR(INDEX(Input_TUEnv_Actual[],MATCH($C46,Input_TUEnv_Actual[Cost item],0),MATCH($F46,Input_TUEnv_Actual[#Headers],0)),"-")</f>
        <v>73.62</v>
      </c>
      <c r="O46" s="59">
        <f>IFERROR(INDEX(Input_TUEnv_Actual[],MATCH($C46,Input_TUEnv_Actual[Cost item],0),MATCH($F46,Input_TUEnv_Actual[#Headers],0)),"-")</f>
        <v>73.62</v>
      </c>
    </row>
    <row r="47" spans="3:15" outlineLevel="1">
      <c r="C47" s="20" t="s">
        <v>151</v>
      </c>
      <c r="D47" s="75" t="str">
        <f t="shared" ref="D47:D48" si="18">$D$5</f>
        <v>VDO 2023-24 - Final</v>
      </c>
      <c r="E47" s="20" t="s">
        <v>190</v>
      </c>
      <c r="F47" s="75" t="str">
        <f>INDEX(Inputs!$C$10:$Y$10,1,MATCH($D47,Inputs!$C$8:$Y$8,0))</f>
        <v>F-NextVDO_Input</v>
      </c>
      <c r="G47" s="52"/>
      <c r="H47" s="20" t="s">
        <v>103</v>
      </c>
      <c r="I47" s="20" t="s">
        <v>152</v>
      </c>
      <c r="J47" s="53" t="s">
        <v>91</v>
      </c>
      <c r="K47" s="61">
        <f>IFERROR(INDEX(Input_TUEnv_Actual[],MATCH($C47,Input_TUEnv_Actual[Cost item],0),MATCH($F47,Input_TUEnv_Actual[#Headers],0)),"-")</f>
        <v>0.16113</v>
      </c>
      <c r="L47" s="61">
        <f>IFERROR(INDEX(Input_TUEnv_Actual[],MATCH($C47,Input_TUEnv_Actual[Cost item],0),MATCH($F47,Input_TUEnv_Actual[#Headers],0)),"-")</f>
        <v>0.16113</v>
      </c>
      <c r="M47" s="61">
        <f>IFERROR(INDEX(Input_TUEnv_Actual[],MATCH($C47,Input_TUEnv_Actual[Cost item],0),MATCH($F47,Input_TUEnv_Actual[#Headers],0)),"-")</f>
        <v>0.16113</v>
      </c>
      <c r="N47" s="61">
        <f>IFERROR(INDEX(Input_TUEnv_Actual[],MATCH($C47,Input_TUEnv_Actual[Cost item],0),MATCH($F47,Input_TUEnv_Actual[#Headers],0)),"-")</f>
        <v>0.16113</v>
      </c>
      <c r="O47" s="61">
        <f>IFERROR(INDEX(Input_TUEnv_Actual[],MATCH($C47,Input_TUEnv_Actual[Cost item],0),MATCH($F47,Input_TUEnv_Actual[#Headers],0)),"-")</f>
        <v>0.16113</v>
      </c>
    </row>
    <row r="48" spans="3:15" outlineLevel="1">
      <c r="C48" s="20" t="s">
        <v>191</v>
      </c>
      <c r="D48" s="75" t="str">
        <f t="shared" si="18"/>
        <v>VDO 2023-24 - Final</v>
      </c>
      <c r="E48" s="20" t="s">
        <v>190</v>
      </c>
      <c r="F48" s="75" t="str">
        <f>INDEX(Inputs!$C$10:$Y$10,1,MATCH($D48,Inputs!$C$8:$Y$8,0))</f>
        <v>F-NextVDO_Input</v>
      </c>
      <c r="G48" s="52"/>
      <c r="H48" s="20" t="s">
        <v>103</v>
      </c>
      <c r="I48" s="20" t="s">
        <v>68</v>
      </c>
      <c r="J48" s="53" t="s">
        <v>91</v>
      </c>
      <c r="K48" s="58">
        <f>K46*K47/1000</f>
        <v>1.1862390600000002E-2</v>
      </c>
      <c r="L48" s="58">
        <f t="shared" ref="L48" si="19">L46*L47/1000</f>
        <v>1.1862390600000002E-2</v>
      </c>
      <c r="M48" s="58">
        <f t="shared" ref="M48" si="20">M46*M47/1000</f>
        <v>1.1862390600000002E-2</v>
      </c>
      <c r="N48" s="58">
        <f t="shared" ref="N48" si="21">N46*N47/1000</f>
        <v>1.1862390600000002E-2</v>
      </c>
      <c r="O48" s="58">
        <f t="shared" ref="O48" si="22">O46*O47/1000</f>
        <v>1.1862390600000002E-2</v>
      </c>
    </row>
    <row r="49" spans="2:17" outlineLevel="1">
      <c r="C49" s="20" t="s">
        <v>149</v>
      </c>
      <c r="D49" s="75" t="str">
        <f>INDEX(Input_DecisionActual[[Decision]:[Decision]],MATCH($D$5,Input_DecisionActual[[VDO period]:[VDO period]],0),1)</f>
        <v>VDO 2022-23 - Final</v>
      </c>
      <c r="E49" s="20" t="s">
        <v>192</v>
      </c>
      <c r="F49" s="75" t="str">
        <f>IF($D49="-","-",INDEX(Inputs!$C$10:$Y$10,1,MATCH($D49,Inputs!$C$8:$Y$8,0)))</f>
        <v>F-CurrentVDO_Input</v>
      </c>
      <c r="G49" s="52"/>
      <c r="H49" s="20" t="s">
        <v>103</v>
      </c>
      <c r="I49" s="20" t="s">
        <v>150</v>
      </c>
      <c r="J49" s="53" t="s">
        <v>91</v>
      </c>
      <c r="K49" s="60">
        <f>IFERROR(INDEX(Inputs!$C$11:$Y$134,MATCH($C49,Input_ForRateCalc[Cost item],0),MATCH($F49,Inputs!$C$10:$Y$10,0)),"-")</f>
        <v>73.624003962523105</v>
      </c>
      <c r="L49" s="60">
        <f>IFERROR(INDEX(Inputs!$C$11:$Y$134,MATCH($C49,Input_ForRateCalc[Cost item],0),MATCH($F49,Inputs!$C$10:$Y$10,0)),"-")</f>
        <v>73.624003962523105</v>
      </c>
      <c r="M49" s="60">
        <f>IFERROR(INDEX(Inputs!$C$11:$Y$134,MATCH($C49,Input_ForRateCalc[Cost item],0),MATCH($F49,Inputs!$C$10:$Y$10,0)),"-")</f>
        <v>73.624003962523105</v>
      </c>
      <c r="N49" s="60">
        <f>IFERROR(INDEX(Inputs!$C$11:$Y$134,MATCH($C49,Input_ForRateCalc[Cost item],0),MATCH($F49,Inputs!$C$10:$Y$10,0)),"-")</f>
        <v>73.624003962523105</v>
      </c>
      <c r="O49" s="60">
        <f>IFERROR(INDEX(Inputs!$C$11:$Y$134,MATCH($C49,Input_ForRateCalc[Cost item],0),MATCH($F49,Inputs!$C$10:$Y$10,0)),"-")</f>
        <v>73.624003962523105</v>
      </c>
    </row>
    <row r="50" spans="2:17" outlineLevel="1">
      <c r="C50" s="20" t="s">
        <v>151</v>
      </c>
      <c r="D50" s="75" t="str">
        <f>INDEX(Input_DecisionActual[[Decision]:[Decision]],MATCH($D$5,Input_DecisionActual[[VDO period]:[VDO period]],0),1)</f>
        <v>VDO 2022-23 - Final</v>
      </c>
      <c r="E50" s="20" t="s">
        <v>192</v>
      </c>
      <c r="F50" s="75" t="str">
        <f>IF($D50="-","-",INDEX(Inputs!$C$10:$Y$10,1,MATCH($D50,Inputs!$C$8:$Y$8,0)))</f>
        <v>F-CurrentVDO_Input</v>
      </c>
      <c r="G50" s="52"/>
      <c r="H50" s="20" t="s">
        <v>103</v>
      </c>
      <c r="I50" s="20" t="s">
        <v>152</v>
      </c>
      <c r="J50" s="53" t="s">
        <v>91</v>
      </c>
      <c r="K50" s="61">
        <f>IFERROR(INDEX(Inputs!$C$11:$Y$134,MATCH($C50,Input_ForRateCalc[Cost item],0),MATCH($F50,Inputs!$C$10:$Y$10,0)),"-")</f>
        <v>0.16113</v>
      </c>
      <c r="L50" s="61">
        <f>IFERROR(INDEX(Inputs!$C$11:$Y$134,MATCH($C50,Input_ForRateCalc[Cost item],0),MATCH($F50,Inputs!$C$10:$Y$10,0)),"-")</f>
        <v>0.16113</v>
      </c>
      <c r="M50" s="61">
        <f>IFERROR(INDEX(Inputs!$C$11:$Y$134,MATCH($C50,Input_ForRateCalc[Cost item],0),MATCH($F50,Inputs!$C$10:$Y$10,0)),"-")</f>
        <v>0.16113</v>
      </c>
      <c r="N50" s="61">
        <f>IFERROR(INDEX(Inputs!$C$11:$Y$134,MATCH($C50,Input_ForRateCalc[Cost item],0),MATCH($F50,Inputs!$C$10:$Y$10,0)),"-")</f>
        <v>0.16113</v>
      </c>
      <c r="O50" s="61">
        <f>IFERROR(INDEX(Inputs!$C$11:$Y$134,MATCH($C50,Input_ForRateCalc[Cost item],0),MATCH($F50,Inputs!$C$10:$Y$10,0)),"-")</f>
        <v>0.16113</v>
      </c>
    </row>
    <row r="51" spans="2:17" outlineLevel="1">
      <c r="C51" s="20" t="s">
        <v>191</v>
      </c>
      <c r="D51" s="75" t="str">
        <f>INDEX(Input_DecisionActual[[Decision]:[Decision]],MATCH($D$5,Input_DecisionActual[[VDO period]:[VDO period]],0),1)</f>
        <v>VDO 2022-23 - Final</v>
      </c>
      <c r="E51" s="20" t="s">
        <v>192</v>
      </c>
      <c r="F51" s="75" t="str">
        <f>IF($D51="-","-",INDEX(Inputs!$C$10:$Y$10,1,MATCH($D51,Inputs!$C$8:$Y$8,0)))</f>
        <v>F-CurrentVDO_Input</v>
      </c>
      <c r="G51" s="52"/>
      <c r="H51" s="20" t="s">
        <v>103</v>
      </c>
      <c r="I51" s="20" t="s">
        <v>68</v>
      </c>
      <c r="J51" s="53" t="s">
        <v>91</v>
      </c>
      <c r="K51" s="58">
        <f>IFERROR(K49*K50/1000,"-")</f>
        <v>1.1863035758481346E-2</v>
      </c>
      <c r="L51" s="58">
        <f t="shared" ref="L51" si="23">IFERROR(L49*L50/1000,"-")</f>
        <v>1.1863035758481346E-2</v>
      </c>
      <c r="M51" s="58">
        <f t="shared" ref="M51" si="24">IFERROR(M49*M50/1000,"-")</f>
        <v>1.1863035758481346E-2</v>
      </c>
      <c r="N51" s="58">
        <f t="shared" ref="N51" si="25">IFERROR(N49*N50/1000,"-")</f>
        <v>1.1863035758481346E-2</v>
      </c>
      <c r="O51" s="58">
        <f t="shared" ref="O51" si="26">IFERROR(O49*O50/1000,"-")</f>
        <v>1.1863035758481346E-2</v>
      </c>
    </row>
    <row r="52" spans="2:17" outlineLevel="1">
      <c r="C52" s="20" t="s">
        <v>193</v>
      </c>
      <c r="D52" s="20"/>
      <c r="E52" s="20"/>
      <c r="F52" s="20"/>
      <c r="G52" s="20"/>
      <c r="H52" s="20" t="s">
        <v>103</v>
      </c>
      <c r="I52" s="20" t="s">
        <v>68</v>
      </c>
      <c r="J52" s="20" t="s">
        <v>91</v>
      </c>
      <c r="K52" s="105">
        <f>IFERROR(K48-K51,"-")</f>
        <v>-6.4515848134487352E-7</v>
      </c>
      <c r="L52" s="105">
        <f t="shared" ref="L52" si="27">IFERROR(L48-L51,"-")</f>
        <v>-6.4515848134487352E-7</v>
      </c>
      <c r="M52" s="105">
        <f t="shared" ref="M52" si="28">IFERROR(M48-M51,"-")</f>
        <v>-6.4515848134487352E-7</v>
      </c>
      <c r="N52" s="105">
        <f t="shared" ref="N52" si="29">IFERROR(N48-N51,"-")</f>
        <v>-6.4515848134487352E-7</v>
      </c>
      <c r="O52" s="105">
        <f t="shared" ref="O52" si="30">IFERROR(O48-O51,"-")</f>
        <v>-6.4515848134487352E-7</v>
      </c>
    </row>
    <row r="53" spans="2:17" outlineLevel="1">
      <c r="C53" s="20" t="s">
        <v>194</v>
      </c>
      <c r="D53" s="75" t="str">
        <f>INDEX(Input_DecisionActual[[Decision]:[Decision]],MATCH($D$5,Input_DecisionActual[[VDO period]:[VDO period]],0),1)</f>
        <v>VDO 2022-23 - Final</v>
      </c>
      <c r="E53" s="20" t="s">
        <v>192</v>
      </c>
      <c r="F53" s="75" t="str">
        <f>IF($D53="-","-",INDEX(Inputs!$C$10:$Y$10,1,MATCH($D53,Inputs!$C$8:$Y$8,0)))</f>
        <v>F-CurrentVDO_Input</v>
      </c>
      <c r="G53" s="20"/>
      <c r="H53" s="20" t="s">
        <v>103</v>
      </c>
      <c r="I53" s="20" t="s">
        <v>68</v>
      </c>
      <c r="J53" s="20" t="s">
        <v>91</v>
      </c>
      <c r="K53" s="106">
        <f>IFERROR(K52*(INDEX(Inputs!$C$11:$Y$134,MATCH("Marginal loss factor - "&amp;K$15,Input_ForRateCalc[Cost item],0),MATCH($F53,Inputs!$C$10:$Y$10,0))*INDEX(Inputs!$C$11:$Y$134,MATCH("Distribution loss factor - "&amp;K$15,Input_ForRateCalc[Cost item],0),MATCH($F53,Inputs!$C$10:$Y$10,0))-1),"-")</f>
        <v>-5.101234135184756E-8</v>
      </c>
      <c r="L53" s="106">
        <f>IFERROR(L52*(INDEX(Inputs!$C$11:$Y$134,MATCH("Marginal loss factor - "&amp;L$15,Input_ForRateCalc[Cost item],0),MATCH($F53,Inputs!$C$10:$Y$10,0))*INDEX(Inputs!$C$11:$Y$134,MATCH("Distribution loss factor - "&amp;L$15,Input_ForRateCalc[Cost item],0),MATCH($F53,Inputs!$C$10:$Y$10,0))-1),"-")</f>
        <v>-3.0056018815484974E-8</v>
      </c>
      <c r="M53" s="106">
        <f>IFERROR(M52*(INDEX(Inputs!$C$11:$Y$134,MATCH("Marginal loss factor - "&amp;M$15,Input_ForRateCalc[Cost item],0),MATCH($F53,Inputs!$C$10:$Y$10,0))*INDEX(Inputs!$C$11:$Y$134,MATCH("Distribution loss factor - "&amp;M$15,Input_ForRateCalc[Cost item],0),MATCH($F53,Inputs!$C$10:$Y$10,0))-1),"-")</f>
        <v>-2.4309214320565841E-8</v>
      </c>
      <c r="N53" s="106">
        <f>IFERROR(N52*(INDEX(Inputs!$C$11:$Y$134,MATCH("Marginal loss factor - "&amp;N$15,Input_ForRateCalc[Cost item],0),MATCH($F53,Inputs!$C$10:$Y$10,0))*INDEX(Inputs!$C$11:$Y$134,MATCH("Distribution loss factor - "&amp;N$15,Input_ForRateCalc[Cost item],0),MATCH($F53,Inputs!$C$10:$Y$10,0))-1),"-")</f>
        <v>-4.4851445074920615E-8</v>
      </c>
      <c r="O53" s="106">
        <f>IFERROR(O52*(INDEX(Inputs!$C$11:$Y$134,MATCH("Marginal loss factor - "&amp;O$15,Input_ForRateCalc[Cost item],0),MATCH($F53,Inputs!$C$10:$Y$10,0))*INDEX(Inputs!$C$11:$Y$134,MATCH("Distribution loss factor - "&amp;O$15,Input_ForRateCalc[Cost item],0),MATCH($F53,Inputs!$C$10:$Y$10,0))-1),"-")</f>
        <v>-2.8219077721882768E-8</v>
      </c>
    </row>
    <row r="54" spans="2:17" hidden="1" outlineLevel="1">
      <c r="C54" s="20" t="s">
        <v>180</v>
      </c>
      <c r="D54" s="20"/>
      <c r="E54" s="20"/>
      <c r="F54" s="20"/>
      <c r="G54" s="20"/>
      <c r="H54" s="20" t="s">
        <v>103</v>
      </c>
      <c r="I54" s="20" t="s">
        <v>68</v>
      </c>
      <c r="J54" s="20" t="s">
        <v>91</v>
      </c>
      <c r="K54" s="106" t="str">
        <f>IF($D$11="Yes",SUM(K52:K53)*$D$12,"")</f>
        <v/>
      </c>
      <c r="L54" s="106" t="str">
        <f>IF($D$11="Yes",SUM(L52:L53)*$D$12,"")</f>
        <v/>
      </c>
      <c r="M54" s="106" t="str">
        <f>IF($D$11="Yes",SUM(M52:M53)*$D$12,"")</f>
        <v/>
      </c>
      <c r="N54" s="106" t="str">
        <f>IF($D$11="Yes",SUM(N52:N53)*$D$12,"")</f>
        <v/>
      </c>
      <c r="O54" s="106" t="str">
        <f>IF($D$11="Yes",SUM(O52:O53)*$D$12,"")</f>
        <v/>
      </c>
    </row>
    <row r="55" spans="2:17" outlineLevel="1">
      <c r="C55" s="20" t="s">
        <v>195</v>
      </c>
      <c r="D55" s="75" t="str">
        <f>INDEX(Input_DecisionActual[[Decision]:[Decision]],MATCH($D$5,Input_DecisionActual[[VDO period]:[VDO period]],0),1)</f>
        <v>VDO 2022-23 - Final</v>
      </c>
      <c r="E55" s="20" t="s">
        <v>192</v>
      </c>
      <c r="F55" s="75" t="str">
        <f>IF($D55="-","-",INDEX(Inputs!$C$10:$Y$10,1,MATCH($D55,Inputs!$C$8:$Y$8,0)))</f>
        <v>F-CurrentVDO_Input</v>
      </c>
      <c r="G55" s="20"/>
      <c r="H55" s="20" t="s">
        <v>103</v>
      </c>
      <c r="I55" s="20" t="s">
        <v>68</v>
      </c>
      <c r="J55" s="20" t="s">
        <v>91</v>
      </c>
      <c r="K55" s="106">
        <f>IFERROR(SUM(K52:K54)*(INDEX(Inputs!$C$11:$Y$134,MATCH("Retail operating margin",Input_ForRateCalc[Cost item],0),MATCH($F55,Inputs!$C$10:$Y$10,0))),"-")</f>
        <v>-4.2048717690881954E-8</v>
      </c>
      <c r="L55" s="106">
        <f>IFERROR(SUM(L52:L54)*(INDEX(Inputs!$C$11:$Y$134,MATCH("Retail operating margin",Input_ForRateCalc[Cost item],0),MATCH($F55,Inputs!$C$10:$Y$10,0))),"-")</f>
        <v>-4.0782955809685654E-8</v>
      </c>
      <c r="M55" s="106">
        <f>IFERROR(SUM(M52:M54)*(INDEX(Inputs!$C$11:$Y$134,MATCH("Retail operating margin",Input_ForRateCalc[Cost item],0),MATCH($F55,Inputs!$C$10:$Y$10,0))),"-")</f>
        <v>-4.0435848818192538E-8</v>
      </c>
      <c r="N55" s="106">
        <f>IFERROR(SUM(N52:N54)*(INDEX(Inputs!$C$11:$Y$134,MATCH("Retail operating margin",Input_ForRateCalc[Cost item],0),MATCH($F55,Inputs!$C$10:$Y$10,0))),"-")</f>
        <v>-4.1676599555755566E-8</v>
      </c>
      <c r="O55" s="106">
        <f>IFERROR(SUM(O52:O54)*(INDEX(Inputs!$C$11:$Y$134,MATCH("Retail operating margin",Input_ForRateCalc[Cost item],0),MATCH($F55,Inputs!$C$10:$Y$10,0))),"-")</f>
        <v>-4.0672004567632079E-8</v>
      </c>
    </row>
    <row r="56" spans="2:17" outlineLevel="1">
      <c r="B56"/>
      <c r="C56" s="20" t="s">
        <v>196</v>
      </c>
      <c r="D56" s="20"/>
      <c r="E56" s="20"/>
      <c r="F56" s="20"/>
      <c r="G56" s="20"/>
      <c r="H56" s="20" t="s">
        <v>103</v>
      </c>
      <c r="I56" s="20" t="s">
        <v>68</v>
      </c>
      <c r="J56" s="20" t="s">
        <v>91</v>
      </c>
      <c r="K56" s="106">
        <f>SUM(K52:K55)*GST</f>
        <v>-7.382195403876031E-8</v>
      </c>
      <c r="L56" s="106">
        <f>SUM(L52:L55)*GST</f>
        <v>-7.1599745597004419E-8</v>
      </c>
      <c r="M56" s="106">
        <f>SUM(M52:M55)*GST</f>
        <v>-7.0990354448363195E-8</v>
      </c>
      <c r="N56" s="106">
        <f>SUM(N52:N55)*GST</f>
        <v>-7.3168652597554977E-8</v>
      </c>
      <c r="O56" s="106">
        <f>SUM(O52:O55)*GST</f>
        <v>-7.1404956363438844E-8</v>
      </c>
    </row>
    <row r="57" spans="2:17" outlineLevel="1">
      <c r="B57"/>
      <c r="C57" s="40" t="s">
        <v>184</v>
      </c>
      <c r="D57" s="40"/>
      <c r="E57" s="40"/>
      <c r="F57" s="40"/>
      <c r="G57" s="64"/>
      <c r="H57" s="20" t="s">
        <v>103</v>
      </c>
      <c r="I57" s="20" t="s">
        <v>68</v>
      </c>
      <c r="J57" s="53" t="s">
        <v>91</v>
      </c>
      <c r="K57" s="106">
        <f>SUM(K52:K56)</f>
        <v>-8.1204149442636333E-7</v>
      </c>
      <c r="L57" s="106">
        <f>SUM(L52:L56)</f>
        <v>-7.8759720156704853E-7</v>
      </c>
      <c r="M57" s="106">
        <f>SUM(M52:M56)</f>
        <v>-7.8089389893199512E-7</v>
      </c>
      <c r="N57" s="106">
        <f>SUM(N52:N56)</f>
        <v>-8.0485517857310466E-7</v>
      </c>
      <c r="O57" s="106">
        <f>SUM(O52:O56)</f>
        <v>-7.8545451999782717E-7</v>
      </c>
    </row>
    <row r="58" spans="2:17" outlineLevel="1"/>
    <row r="59" spans="2:17" ht="16" thickBot="1">
      <c r="B59" s="216">
        <f ca="1">MAX(B$3:B58)+0.01</f>
        <v>14.02</v>
      </c>
      <c r="C59" s="25" t="s">
        <v>199</v>
      </c>
      <c r="D59" s="25"/>
      <c r="E59" s="25"/>
      <c r="F59" s="25"/>
      <c r="G59" s="25"/>
      <c r="H59" s="25"/>
      <c r="I59" s="25"/>
      <c r="J59" s="25"/>
      <c r="K59" s="25"/>
      <c r="L59" s="25"/>
      <c r="M59" s="25"/>
      <c r="N59" s="25"/>
      <c r="O59" s="25"/>
      <c r="P59" s="25"/>
      <c r="Q59" s="25"/>
    </row>
    <row r="60" spans="2:17" collapsed="1"/>
    <row r="61" spans="2:17" ht="15.5" hidden="1" outlineLevel="1">
      <c r="C61" s="38" t="s">
        <v>33</v>
      </c>
      <c r="D61" s="38" t="s">
        <v>200</v>
      </c>
      <c r="G61" s="38" t="s">
        <v>188</v>
      </c>
      <c r="H61" s="38" t="s">
        <v>88</v>
      </c>
      <c r="I61" s="38" t="s">
        <v>56</v>
      </c>
      <c r="J61" s="38" t="s">
        <v>57</v>
      </c>
      <c r="K61" s="45" t="s">
        <v>58</v>
      </c>
      <c r="L61" s="45" t="s">
        <v>59</v>
      </c>
      <c r="M61" s="45" t="s">
        <v>60</v>
      </c>
      <c r="N61" s="45" t="s">
        <v>61</v>
      </c>
      <c r="O61" s="45" t="s">
        <v>62</v>
      </c>
      <c r="P61" s="45" t="s">
        <v>176</v>
      </c>
      <c r="Q61" s="38" t="s">
        <v>201</v>
      </c>
    </row>
    <row r="62" spans="2:17" hidden="1" outlineLevel="1">
      <c r="C62" s="51" t="s">
        <v>202</v>
      </c>
      <c r="D62" s="51"/>
      <c r="G62" s="51"/>
      <c r="H62" s="51"/>
      <c r="I62" s="51"/>
      <c r="J62" s="51"/>
      <c r="K62" s="133">
        <f>SUM(K63:K64)</f>
        <v>0</v>
      </c>
      <c r="L62" s="133">
        <f t="shared" ref="L62:O62" si="31">SUM(L63:L64)</f>
        <v>0</v>
      </c>
      <c r="M62" s="133">
        <f t="shared" si="31"/>
        <v>0</v>
      </c>
      <c r="N62" s="133">
        <f t="shared" si="31"/>
        <v>0</v>
      </c>
      <c r="O62" s="133">
        <f t="shared" si="31"/>
        <v>0</v>
      </c>
      <c r="P62" s="132">
        <f>IFERROR(AVERAGE(K62:O62),"-")</f>
        <v>0</v>
      </c>
      <c r="Q62" s="178" t="str">
        <f>IFERROR(P62/ROUND($D$78/30,0),"-")</f>
        <v>-</v>
      </c>
    </row>
    <row r="63" spans="2:17" hidden="1" outlineLevel="1">
      <c r="C63" s="118" t="s">
        <v>90</v>
      </c>
      <c r="D63" s="53"/>
      <c r="G63" s="53"/>
      <c r="H63" s="53"/>
      <c r="I63" s="53"/>
      <c r="J63" s="53"/>
      <c r="K63" s="134" t="str">
        <f>K117</f>
        <v>-</v>
      </c>
      <c r="L63" s="134" t="str">
        <f t="shared" ref="L63:O63" si="32">L117</f>
        <v>-</v>
      </c>
      <c r="M63" s="134" t="str">
        <f t="shared" si="32"/>
        <v>-</v>
      </c>
      <c r="N63" s="134" t="str">
        <f t="shared" si="32"/>
        <v>-</v>
      </c>
      <c r="O63" s="134" t="str">
        <f t="shared" si="32"/>
        <v>-</v>
      </c>
      <c r="P63" s="112" t="str">
        <f t="shared" ref="P63:P73" si="33">IFERROR(AVERAGE(K63:O63),"-")</f>
        <v>-</v>
      </c>
      <c r="Q63" s="178" t="str">
        <f t="shared" ref="Q63:Q73" si="34">IFERROR(P63/ROUND($D$78/30,0),"-")</f>
        <v>-</v>
      </c>
    </row>
    <row r="64" spans="2:17" hidden="1" outlineLevel="1">
      <c r="C64" s="118" t="s">
        <v>103</v>
      </c>
      <c r="D64" s="53"/>
      <c r="G64" s="53"/>
      <c r="H64" s="53"/>
      <c r="I64" s="53"/>
      <c r="J64" s="53"/>
      <c r="K64" s="134" t="str">
        <f>K132</f>
        <v>-</v>
      </c>
      <c r="L64" s="134" t="str">
        <f t="shared" ref="L64:O64" si="35">L132</f>
        <v>-</v>
      </c>
      <c r="M64" s="134" t="str">
        <f t="shared" si="35"/>
        <v>-</v>
      </c>
      <c r="N64" s="134" t="str">
        <f t="shared" si="35"/>
        <v>-</v>
      </c>
      <c r="O64" s="134" t="str">
        <f t="shared" si="35"/>
        <v>-</v>
      </c>
      <c r="P64" s="112" t="str">
        <f t="shared" si="33"/>
        <v>-</v>
      </c>
      <c r="Q64" s="178" t="str">
        <f t="shared" si="34"/>
        <v>-</v>
      </c>
    </row>
    <row r="65" spans="2:17" hidden="1" outlineLevel="1">
      <c r="C65" s="51" t="s">
        <v>203</v>
      </c>
      <c r="D65" s="51"/>
      <c r="G65" s="51"/>
      <c r="H65" s="51"/>
      <c r="I65" s="51"/>
      <c r="J65" s="51"/>
      <c r="K65" s="133">
        <f>SUM(K66:K67)</f>
        <v>0</v>
      </c>
      <c r="L65" s="133">
        <f t="shared" ref="L65:O65" si="36">SUM(L66:L67)</f>
        <v>0</v>
      </c>
      <c r="M65" s="133">
        <f t="shared" si="36"/>
        <v>0</v>
      </c>
      <c r="N65" s="133">
        <f t="shared" si="36"/>
        <v>0</v>
      </c>
      <c r="O65" s="133">
        <f t="shared" si="36"/>
        <v>0</v>
      </c>
      <c r="P65" s="132">
        <f t="shared" si="33"/>
        <v>0</v>
      </c>
      <c r="Q65" s="178" t="str">
        <f t="shared" si="34"/>
        <v>-</v>
      </c>
    </row>
    <row r="66" spans="2:17" hidden="1" outlineLevel="1">
      <c r="C66" s="118" t="s">
        <v>90</v>
      </c>
      <c r="D66" s="53"/>
      <c r="G66" s="53"/>
      <c r="H66" s="53"/>
      <c r="I66" s="53"/>
      <c r="J66" s="53"/>
      <c r="K66" s="134" t="str">
        <f>K157</f>
        <v>-</v>
      </c>
      <c r="L66" s="134" t="str">
        <f t="shared" ref="L66:O66" si="37">L157</f>
        <v>-</v>
      </c>
      <c r="M66" s="134" t="str">
        <f t="shared" si="37"/>
        <v>-</v>
      </c>
      <c r="N66" s="134" t="str">
        <f t="shared" si="37"/>
        <v>-</v>
      </c>
      <c r="O66" s="134" t="str">
        <f t="shared" si="37"/>
        <v>-</v>
      </c>
      <c r="P66" s="112" t="str">
        <f t="shared" si="33"/>
        <v>-</v>
      </c>
      <c r="Q66" s="178" t="str">
        <f t="shared" si="34"/>
        <v>-</v>
      </c>
    </row>
    <row r="67" spans="2:17" hidden="1" outlineLevel="1">
      <c r="C67" s="118" t="s">
        <v>103</v>
      </c>
      <c r="D67" s="53"/>
      <c r="G67" s="53"/>
      <c r="H67" s="53"/>
      <c r="I67" s="53"/>
      <c r="J67" s="53"/>
      <c r="K67" s="134" t="str">
        <f>K172</f>
        <v>-</v>
      </c>
      <c r="L67" s="134" t="str">
        <f t="shared" ref="L67:O67" si="38">L172</f>
        <v>-</v>
      </c>
      <c r="M67" s="134" t="str">
        <f t="shared" si="38"/>
        <v>-</v>
      </c>
      <c r="N67" s="134" t="str">
        <f t="shared" si="38"/>
        <v>-</v>
      </c>
      <c r="O67" s="134" t="str">
        <f t="shared" si="38"/>
        <v>-</v>
      </c>
      <c r="P67" s="112" t="str">
        <f t="shared" si="33"/>
        <v>-</v>
      </c>
      <c r="Q67" s="178" t="str">
        <f t="shared" si="34"/>
        <v>-</v>
      </c>
    </row>
    <row r="68" spans="2:17" hidden="1" outlineLevel="1">
      <c r="C68" s="51" t="s">
        <v>204</v>
      </c>
      <c r="D68" s="51"/>
      <c r="G68" s="51"/>
      <c r="H68" s="51"/>
      <c r="I68" s="51"/>
      <c r="J68" s="51"/>
      <c r="K68" s="133">
        <f>SUM(K69:K70)</f>
        <v>0</v>
      </c>
      <c r="L68" s="133">
        <f t="shared" ref="L68:O68" si="39">SUM(L69:L70)</f>
        <v>0</v>
      </c>
      <c r="M68" s="133">
        <f t="shared" si="39"/>
        <v>0</v>
      </c>
      <c r="N68" s="133">
        <f t="shared" si="39"/>
        <v>0</v>
      </c>
      <c r="O68" s="133">
        <f t="shared" si="39"/>
        <v>0</v>
      </c>
      <c r="P68" s="132">
        <f t="shared" si="33"/>
        <v>0</v>
      </c>
      <c r="Q68" s="178" t="str">
        <f t="shared" si="34"/>
        <v>-</v>
      </c>
    </row>
    <row r="69" spans="2:17" hidden="1" outlineLevel="1">
      <c r="C69" s="118" t="s">
        <v>90</v>
      </c>
      <c r="D69" s="53"/>
      <c r="G69" s="53"/>
      <c r="H69" s="53"/>
      <c r="I69" s="53"/>
      <c r="J69" s="53"/>
      <c r="K69" s="134" t="str">
        <f>K187</f>
        <v>-</v>
      </c>
      <c r="L69" s="134" t="str">
        <f t="shared" ref="L69:O69" si="40">L187</f>
        <v>-</v>
      </c>
      <c r="M69" s="134" t="str">
        <f t="shared" si="40"/>
        <v>-</v>
      </c>
      <c r="N69" s="134" t="str">
        <f t="shared" si="40"/>
        <v>-</v>
      </c>
      <c r="O69" s="134" t="str">
        <f t="shared" si="40"/>
        <v>-</v>
      </c>
      <c r="P69" s="112" t="str">
        <f t="shared" si="33"/>
        <v>-</v>
      </c>
      <c r="Q69" s="178" t="str">
        <f t="shared" si="34"/>
        <v>-</v>
      </c>
    </row>
    <row r="70" spans="2:17" hidden="1" outlineLevel="1">
      <c r="C70" s="118" t="s">
        <v>103</v>
      </c>
      <c r="D70" s="53"/>
      <c r="G70" s="53"/>
      <c r="H70" s="53"/>
      <c r="I70" s="53"/>
      <c r="J70" s="53"/>
      <c r="K70" s="134" t="str">
        <f>K201</f>
        <v>-</v>
      </c>
      <c r="L70" s="134" t="str">
        <f t="shared" ref="L70:O70" si="41">L201</f>
        <v>-</v>
      </c>
      <c r="M70" s="134" t="str">
        <f t="shared" si="41"/>
        <v>-</v>
      </c>
      <c r="N70" s="134" t="str">
        <f t="shared" si="41"/>
        <v>-</v>
      </c>
      <c r="O70" s="134" t="str">
        <f t="shared" si="41"/>
        <v>-</v>
      </c>
      <c r="P70" s="112" t="str">
        <f t="shared" si="33"/>
        <v>-</v>
      </c>
      <c r="Q70" s="178" t="str">
        <f t="shared" si="34"/>
        <v>-</v>
      </c>
    </row>
    <row r="71" spans="2:17" hidden="1" outlineLevel="1">
      <c r="C71" s="51" t="s">
        <v>205</v>
      </c>
      <c r="D71" s="51"/>
      <c r="G71" s="51"/>
      <c r="H71" s="51"/>
      <c r="I71" s="51"/>
      <c r="J71" s="51"/>
      <c r="K71" s="133">
        <f>SUM(K72:K73)</f>
        <v>0</v>
      </c>
      <c r="L71" s="133">
        <f t="shared" ref="L71:O71" si="42">SUM(L72:L73)</f>
        <v>0</v>
      </c>
      <c r="M71" s="133">
        <f t="shared" si="42"/>
        <v>0</v>
      </c>
      <c r="N71" s="133">
        <f t="shared" si="42"/>
        <v>0</v>
      </c>
      <c r="O71" s="133">
        <f t="shared" si="42"/>
        <v>0</v>
      </c>
      <c r="P71" s="132">
        <f t="shared" si="33"/>
        <v>0</v>
      </c>
      <c r="Q71" s="178" t="str">
        <f t="shared" si="34"/>
        <v>-</v>
      </c>
    </row>
    <row r="72" spans="2:17" hidden="1" outlineLevel="1">
      <c r="C72" s="118" t="s">
        <v>90</v>
      </c>
      <c r="D72" s="53"/>
      <c r="G72" s="53"/>
      <c r="H72" s="53"/>
      <c r="I72" s="53"/>
      <c r="J72" s="53"/>
      <c r="K72" s="134" t="str">
        <f>K215</f>
        <v>-</v>
      </c>
      <c r="L72" s="134" t="str">
        <f t="shared" ref="L72:O72" si="43">L215</f>
        <v>-</v>
      </c>
      <c r="M72" s="134" t="str">
        <f t="shared" si="43"/>
        <v>-</v>
      </c>
      <c r="N72" s="134" t="str">
        <f t="shared" si="43"/>
        <v>-</v>
      </c>
      <c r="O72" s="134" t="str">
        <f t="shared" si="43"/>
        <v>-</v>
      </c>
      <c r="P72" s="112" t="str">
        <f t="shared" si="33"/>
        <v>-</v>
      </c>
      <c r="Q72" s="178" t="str">
        <f t="shared" si="34"/>
        <v>-</v>
      </c>
    </row>
    <row r="73" spans="2:17" hidden="1" outlineLevel="1">
      <c r="C73" s="118" t="s">
        <v>103</v>
      </c>
      <c r="D73" s="53"/>
      <c r="G73" s="53"/>
      <c r="H73" s="53"/>
      <c r="I73" s="53"/>
      <c r="J73" s="53"/>
      <c r="K73" s="134" t="str">
        <f>K229</f>
        <v>-</v>
      </c>
      <c r="L73" s="134" t="str">
        <f t="shared" ref="L73:O73" si="44">L229</f>
        <v>-</v>
      </c>
      <c r="M73" s="134" t="str">
        <f t="shared" si="44"/>
        <v>-</v>
      </c>
      <c r="N73" s="134" t="str">
        <f t="shared" si="44"/>
        <v>-</v>
      </c>
      <c r="O73" s="134" t="str">
        <f t="shared" si="44"/>
        <v>-</v>
      </c>
      <c r="P73" s="112" t="str">
        <f t="shared" si="33"/>
        <v>-</v>
      </c>
      <c r="Q73" s="178" t="str">
        <f t="shared" si="34"/>
        <v>-</v>
      </c>
    </row>
    <row r="74" spans="2:17" hidden="1" outlineLevel="1"/>
    <row r="75" spans="2:17" hidden="1" outlineLevel="1">
      <c r="I75" t="s">
        <v>206</v>
      </c>
      <c r="J75" s="53" t="s">
        <v>65</v>
      </c>
      <c r="K75" t="str">
        <f>IFERROR(K68/ROUND($D$78/30,0),"-")</f>
        <v>-</v>
      </c>
      <c r="L75" t="str">
        <f t="shared" ref="L75:O75" si="45">IFERROR(L68/ROUND($D$78/30,0),"-")</f>
        <v>-</v>
      </c>
      <c r="M75" t="str">
        <f t="shared" si="45"/>
        <v>-</v>
      </c>
      <c r="N75" t="str">
        <f t="shared" si="45"/>
        <v>-</v>
      </c>
      <c r="O75" t="str">
        <f t="shared" si="45"/>
        <v>-</v>
      </c>
    </row>
    <row r="76" spans="2:17" ht="15.5" hidden="1" outlineLevel="1">
      <c r="B76"/>
      <c r="C76" s="49" t="s">
        <v>207</v>
      </c>
      <c r="D76" s="75" t="str">
        <f>IFERROR(INDEX(Inputs!$H$10:$U$10,1,MATCH($D$5,Inputs!$H$8:$U$8,0)),"-")</f>
        <v>-</v>
      </c>
      <c r="E76" s="149" t="str">
        <f>IFERROR(INDEX(Input_TUNet_Dates[[F-PreviousVDO_Input]:[F-PreviousVDO_Input2]],MATCH($C76,Input_TUNet_Dates[Item],0),MATCH($D76,Input_TUNet_Dates[[#Headers],[F-PreviousVDO_Input]:[F-PreviousVDO_Input2]],0)),"-")</f>
        <v>-</v>
      </c>
      <c r="I76" t="s">
        <v>206</v>
      </c>
      <c r="J76" s="53" t="s">
        <v>66</v>
      </c>
      <c r="K76" t="str">
        <f>IFERROR(K71/ROUND($D$78/30,0),"-")</f>
        <v>-</v>
      </c>
      <c r="L76" t="str">
        <f t="shared" ref="L76:O76" si="46">IFERROR(L71/ROUND($D$78/30,0),"-")</f>
        <v>-</v>
      </c>
      <c r="M76" t="str">
        <f t="shared" si="46"/>
        <v>-</v>
      </c>
      <c r="N76" t="str">
        <f t="shared" si="46"/>
        <v>-</v>
      </c>
      <c r="O76" t="str">
        <f t="shared" si="46"/>
        <v>-</v>
      </c>
    </row>
    <row r="77" spans="2:17" ht="15.5" hidden="1" outlineLevel="1">
      <c r="B77"/>
      <c r="C77" s="49" t="s">
        <v>208</v>
      </c>
      <c r="D77" s="75" t="str">
        <f>IFERROR(INDEX(Inputs!$H$10:$U$10,1,MATCH($D$5,Inputs!$H$8:$U$8,0)),"-")</f>
        <v>-</v>
      </c>
      <c r="E77" s="149" t="str">
        <f>IFERROR(INDEX(Input_TUNet_Dates[[F-PreviousVDO_Input]:[F-PreviousVDO_Input2]],MATCH($C77,Input_TUNet_Dates[Item],0),MATCH($D77,Input_TUNet_Dates[[#Headers],[F-PreviousVDO_Input]:[F-PreviousVDO_Input2]],0)),"-")</f>
        <v>-</v>
      </c>
      <c r="K77" s="100"/>
      <c r="L77" s="100"/>
      <c r="M77" s="100"/>
      <c r="N77" s="100"/>
      <c r="O77" s="100"/>
    </row>
    <row r="78" spans="2:17" ht="15.5" hidden="1" outlineLevel="1">
      <c r="B78"/>
      <c r="C78" s="49" t="s">
        <v>209</v>
      </c>
      <c r="D78" t="str">
        <f>IFERROR(_xlfn.DAYS(E77,E76)+1,"-")</f>
        <v>-</v>
      </c>
      <c r="K78" s="100"/>
      <c r="L78" s="100"/>
      <c r="M78" s="100"/>
      <c r="N78" s="100"/>
      <c r="O78" s="100"/>
    </row>
    <row r="79" spans="2:17" ht="15.5" hidden="1" outlineLevel="1">
      <c r="B79"/>
      <c r="C79" s="49" t="s">
        <v>177</v>
      </c>
      <c r="D79" s="124">
        <f>IFERROR(D78/DiY,0)</f>
        <v>0</v>
      </c>
    </row>
    <row r="80" spans="2:17" ht="15.5" hidden="1" outlineLevel="1">
      <c r="B80"/>
      <c r="C80" s="49" t="s">
        <v>180</v>
      </c>
      <c r="D80" s="123" t="s">
        <v>181</v>
      </c>
    </row>
    <row r="81" spans="2:10" ht="15.5" hidden="1" outlineLevel="1">
      <c r="B81"/>
      <c r="C81" s="49" t="s">
        <v>183</v>
      </c>
      <c r="D81" s="124">
        <f>(1+WACC)^(1/2)-1</f>
        <v>3.2230594392551382E-2</v>
      </c>
    </row>
    <row r="82" spans="2:10" hidden="1" outlineLevel="1">
      <c r="B82"/>
    </row>
    <row r="83" spans="2:10" ht="15.5" hidden="1" outlineLevel="1">
      <c r="B83"/>
      <c r="C83" s="26" t="s">
        <v>210</v>
      </c>
    </row>
    <row r="84" spans="2:10" ht="15.5" hidden="1" outlineLevel="1">
      <c r="B84"/>
      <c r="C84" s="39" t="s">
        <v>6</v>
      </c>
      <c r="D84" s="39" t="s">
        <v>31</v>
      </c>
      <c r="E84" s="39" t="s">
        <v>57</v>
      </c>
      <c r="F84" s="39" t="s">
        <v>211</v>
      </c>
    </row>
    <row r="85" spans="2:10" hidden="1" outlineLevel="1">
      <c r="B85"/>
      <c r="C85" s="53" t="s">
        <v>212</v>
      </c>
      <c r="D85" s="75" t="str">
        <f>INDEX(Inputs!$C$10:$Y$10,1,MATCH($D$5,Inputs!$C$8:$Y$8,0))</f>
        <v>F-NextVDO_Input</v>
      </c>
      <c r="E85" s="53" t="s">
        <v>65</v>
      </c>
      <c r="F85" s="144" t="str">
        <f>IFERROR(SUMIFS(
INDEX(Input_TUNet_Actual[[F-PreviousVDO_Input]:[F-PreviousVDO_Input2]],0,MATCH(TUNet_Usage_Actual_1[[#This Row],[VDO decision]],Input_TUNet_Actual[[#Headers],[F-PreviousVDO_Input]:[F-PreviousVDO_Input2]],0)),
Input_TUNet_Actual[Customer type],Calc_TU_values!E85,Input_TUNet_Actual[Item],Calc_TU_values!C85),"-")</f>
        <v>-</v>
      </c>
    </row>
    <row r="86" spans="2:10" hidden="1" outlineLevel="1">
      <c r="B86"/>
      <c r="C86" s="20" t="s">
        <v>213</v>
      </c>
      <c r="D86" s="75" t="str">
        <f>INDEX(Inputs!$C$10:$Y$10,1,MATCH($D$5,Inputs!$C$8:$Y$8,0))</f>
        <v>F-NextVDO_Input</v>
      </c>
      <c r="E86" s="53" t="s">
        <v>65</v>
      </c>
      <c r="F86" s="144" t="str">
        <f>IFERROR(SUMIFS(
INDEX(Input_TUNet_Actual[[F-PreviousVDO_Input]:[F-PreviousVDO_Input2]],0,MATCH(TUNet_Usage_Actual_1[[#This Row],[VDO decision]],Input_TUNet_Actual[[#Headers],[F-PreviousVDO_Input]:[F-PreviousVDO_Input2]],0)),
Input_TUNet_Actual[Customer type],Calc_TU_values!E86,Input_TUNet_Actual[Item],Calc_TU_values!C86),"-")</f>
        <v>-</v>
      </c>
    </row>
    <row r="87" spans="2:10" hidden="1" outlineLevel="1">
      <c r="B87"/>
      <c r="C87" s="53" t="s">
        <v>214</v>
      </c>
      <c r="D87" s="75" t="str">
        <f>INDEX(Inputs!$C$10:$Y$10,1,MATCH($D$5,Inputs!$C$8:$Y$8,0))</f>
        <v>F-NextVDO_Input</v>
      </c>
      <c r="E87" s="53" t="s">
        <v>65</v>
      </c>
      <c r="F87" s="145" t="str">
        <f>IFERROR(F85/F86,"-")</f>
        <v>-</v>
      </c>
    </row>
    <row r="88" spans="2:10" hidden="1" outlineLevel="1">
      <c r="B88"/>
      <c r="C88" s="53" t="s">
        <v>212</v>
      </c>
      <c r="D88" s="75" t="str">
        <f>INDEX(Inputs!$C$10:$Y$10,1,MATCH($D$5,Inputs!$C$8:$Y$8,0))</f>
        <v>F-NextVDO_Input</v>
      </c>
      <c r="E88" s="53" t="s">
        <v>66</v>
      </c>
      <c r="F88" s="144" t="str">
        <f>IFERROR(SUMIFS(
INDEX(Input_TUNet_Actual[[F-PreviousVDO_Input]:[F-PreviousVDO_Input2]],0,MATCH(TUNet_Usage_Actual_1[[#This Row],[VDO decision]],Input_TUNet_Actual[[#Headers],[F-PreviousVDO_Input]:[F-PreviousVDO_Input2]],0)),
Input_TUNet_Actual[Customer type],Calc_TU_values!E88,Input_TUNet_Actual[Item],Calc_TU_values!C88),"-")</f>
        <v>-</v>
      </c>
    </row>
    <row r="89" spans="2:10" hidden="1" outlineLevel="1">
      <c r="B89"/>
      <c r="C89" s="20" t="s">
        <v>213</v>
      </c>
      <c r="D89" s="75" t="str">
        <f>INDEX(Inputs!$C$10:$Y$10,1,MATCH($D$5,Inputs!$C$8:$Y$8,0))</f>
        <v>F-NextVDO_Input</v>
      </c>
      <c r="E89" s="53" t="s">
        <v>66</v>
      </c>
      <c r="F89" s="144" t="str">
        <f>IFERROR(SUMIFS(
INDEX(Input_TUNet_Actual[[F-PreviousVDO_Input]:[F-PreviousVDO_Input2]],0,MATCH(TUNet_Usage_Actual_1[[#This Row],[VDO decision]],Input_TUNet_Actual[[#Headers],[F-PreviousVDO_Input]:[F-PreviousVDO_Input2]],0)),
Input_TUNet_Actual[Customer type],Calc_TU_values!E89,Input_TUNet_Actual[Item],Calc_TU_values!C89),"-")</f>
        <v>-</v>
      </c>
    </row>
    <row r="90" spans="2:10" hidden="1" outlineLevel="1">
      <c r="B90"/>
      <c r="C90" s="146" t="s">
        <v>214</v>
      </c>
      <c r="D90" s="75" t="str">
        <f>INDEX(Inputs!$C$10:$Y$10,1,MATCH($D$5,Inputs!$C$8:$Y$8,0))</f>
        <v>F-NextVDO_Input</v>
      </c>
      <c r="E90" s="146" t="s">
        <v>66</v>
      </c>
      <c r="F90" s="145" t="str">
        <f>IFERROR(F88/F89,"-")</f>
        <v>-</v>
      </c>
    </row>
    <row r="91" spans="2:10" hidden="1" outlineLevel="1">
      <c r="B91"/>
      <c r="C91" s="146" t="s">
        <v>215</v>
      </c>
      <c r="D91" s="147" t="str">
        <f>INDEX(Inputs!$C$10:$Y$10,1,MATCH($D$5,Inputs!$C$8:$Y$8,0))</f>
        <v>F-NextVDO_Input</v>
      </c>
      <c r="E91" s="53" t="s">
        <v>65</v>
      </c>
      <c r="F91" s="202" t="str">
        <f>IFERROR(SUMIFS(
INDEX(Input_TUNet_Actual[[F-PreviousVDO_Input]:[F-PreviousVDO_Input2]],0,MATCH(TUNet_Usage_Actual_1[[#This Row],[VDO decision]],Input_TUNet_Actual[[#Headers],[F-PreviousVDO_Input]:[F-PreviousVDO_Input2]],0)),
Input_TUNet_Actual[Item],"Total usage - Controlled load",Input_TUNet_Actual[Customer type],TUNet_Usage_Actual_1[[#This Row],[Customer type]],Input_TUNet_Actual[Month],"July 2020 to August 2020")
/SUMIFS(
INDEX(Input_TUNet_Actual[[F-PreviousVDO_Input]:[F-PreviousVDO_Input2]],0,MATCH(TUNet_Usage_Actual_1[[#This Row],[VDO decision]],Input_TUNet_Actual[[#Headers],[F-PreviousVDO_Input]:[F-PreviousVDO_Input2]],0)),
Input_TUNet_Actual[Item],"Total usage - Controlled load",Input_TUNet_Actual[Customer type],TUNet_Usage_Actual_1[[#This Row],[Customer type]],Input_TUNet_Actual[Month],"July 2020 to June 2021"),"-")</f>
        <v>-</v>
      </c>
    </row>
    <row r="92" spans="2:10" hidden="1" outlineLevel="1">
      <c r="B92"/>
    </row>
    <row r="93" spans="2:10" ht="15.5" hidden="1" outlineLevel="1">
      <c r="B93"/>
      <c r="C93" s="26" t="s">
        <v>216</v>
      </c>
    </row>
    <row r="94" spans="2:10" ht="15.5" hidden="1" outlineLevel="1">
      <c r="B94"/>
      <c r="C94" s="39" t="s">
        <v>6</v>
      </c>
      <c r="D94" s="39" t="s">
        <v>31</v>
      </c>
      <c r="E94" s="39" t="s">
        <v>57</v>
      </c>
      <c r="F94" s="39" t="s">
        <v>58</v>
      </c>
      <c r="G94" s="54" t="s">
        <v>59</v>
      </c>
      <c r="H94" s="54" t="s">
        <v>60</v>
      </c>
      <c r="I94" s="54" t="s">
        <v>61</v>
      </c>
      <c r="J94" s="54" t="s">
        <v>62</v>
      </c>
    </row>
    <row r="95" spans="2:10" hidden="1" outlineLevel="1">
      <c r="B95"/>
      <c r="C95" s="53" t="s">
        <v>217</v>
      </c>
      <c r="D95" s="75" t="str">
        <f>INDEX(Inputs!$C$10:$Y$10,1,MATCH($D$5,Inputs!$C$8:$Y$8,0))</f>
        <v>F-NextVDO_Input</v>
      </c>
      <c r="E95" s="53" t="s">
        <v>65</v>
      </c>
      <c r="F95" s="148" t="str">
        <f>IFERROR(IF(SUMIFS(
INDEX(Input_TUNet_Actual[[F-PreviousVDO_Input]:[F-PreviousVDO_Input2]],0,MATCH(TUNet_Usage_PerRate_1[[#This Row],[VDO decision]],Input_TUNet_Actual[[#Headers],[F-PreviousVDO_Input]:[F-PreviousVDO_Input2]],0)),
Input_TUNet_Actual[Customer type],$E95,Input_TUNet_Actual[Item],$C95&amp;" - "&amp;F$94)=0,"-",MIN(SUMIFS(TUNet_Usage_Actual_1[Value],TUNet_Usage_Actual_1[Customer type],$E95,TUNet_Usage_Actual_1[Description],"Usage per customer"),SUMIFS(
INDEX(Input_TUNet_Actual[[F-PreviousVDO_Input]:[F-PreviousVDO_Input2]],0,MATCH(TUNet_Usage_PerRate_1[[#This Row],[VDO decision]],Input_TUNet_Actual[[#Headers],[F-PreviousVDO_Input]:[F-PreviousVDO_Input2]],0)),
Input_TUNet_Actual[Customer type],$E95,Input_TUNet_Actual[Item],$C95&amp;" - "&amp;F$94))),"-")</f>
        <v>-</v>
      </c>
      <c r="G95" s="148" t="str">
        <f>IFERROR(IF(SUMIFS(
INDEX(Input_TUNet_Actual[[F-PreviousVDO_Input]:[F-PreviousVDO_Input2]],0,MATCH(TUNet_Usage_PerRate_1[[#This Row],[Customer type]],Input_TUNet_Actual[[#Headers],[F-PreviousVDO_Input]:[F-PreviousVDO_Input2]],0)),
Input_TUNet_Actual[Unit],$E95,Input_TUNet_Actual[Month],$C95&amp;" - "&amp;G$94)=0,"-",MIN(SUMIFS(TUNet_Usage_Actual_1[Description],TUNet_Usage_Actual_1[Value],$E95,TUNet_Usage_Actual_1[VDO decision],"Usage per customer"),SUMIFS(
INDEX(Input_TUNet_Actual[[F-PreviousVDO_Input]:[F-PreviousVDO_Input2]],0,MATCH(TUNet_Usage_PerRate_1[[#This Row],[Customer type]],Input_TUNet_Actual[[#Headers],[F-PreviousVDO_Input]:[F-PreviousVDO_Input2]],0)),
Input_TUNet_Actual[Unit],$E95,Input_TUNet_Actual[Month],$C95&amp;" - "&amp;G$94))),"-")</f>
        <v>-</v>
      </c>
      <c r="H95" s="148" t="str">
        <f>IFERROR(IF(SUMIFS(
INDEX(Input_TUNet_Actual[[F-PreviousVDO_Input]:[F-PreviousVDO_Input2]],0,MATCH(TUNet_Usage_PerRate_1[[#This Row],[Ausnet]],Input_TUNet_Actual[[#Headers],[F-PreviousVDO_Input]:[F-PreviousVDO_Input2]],0)),
Input_TUNet_Actual[F-PreviousVDO_Input],$E95,Input_TUNet_Actual[Customer type],$C95&amp;" - "&amp;H$94)=0,"-",MIN(SUMIFS(TUNet_Usage_Actual_1[VDO decision],TUNet_Usage_Actual_1[Description],$E95,TUNet_Usage_Actual_1[Customer type],"Usage per customer"),SUMIFS(
INDEX(Input_TUNet_Actual[[F-PreviousVDO_Input]:[F-PreviousVDO_Input2]],0,MATCH(TUNet_Usage_PerRate_1[[#This Row],[Ausnet]],Input_TUNet_Actual[[#Headers],[F-PreviousVDO_Input]:[F-PreviousVDO_Input2]],0)),
Input_TUNet_Actual[F-PreviousVDO_Input],$E95,Input_TUNet_Actual[Customer type],$C95&amp;" - "&amp;H$94))),"-")</f>
        <v>-</v>
      </c>
      <c r="I95" s="148" t="str">
        <f>IFERROR(IF(SUMIFS(
INDEX(Input_TUNet_Actual[[F-PreviousVDO_Input]:[F-PreviousVDO_Input2]],0,MATCH(TUNet_Usage_PerRate_1[[#This Row],[Citipower]],Input_TUNet_Actual[[#Headers],[F-PreviousVDO_Input]:[F-PreviousVDO_Input2]],0)),
Input_TUNet_Actual[VD-PreviousVDO_Input],$E95,Input_TUNet_Actual[Unit],$C95&amp;" - "&amp;I$94)=0,"-",MIN(SUMIFS(TUNet_Usage_Actual_1[Customer type],TUNet_Usage_Actual_1[VDO decision],$E95,TUNet_Usage_Actual_1[Value],"Usage per customer"),SUMIFS(
INDEX(Input_TUNet_Actual[[F-PreviousVDO_Input]:[F-PreviousVDO_Input2]],0,MATCH(TUNet_Usage_PerRate_1[[#This Row],[Citipower]],Input_TUNet_Actual[[#Headers],[F-PreviousVDO_Input]:[F-PreviousVDO_Input2]],0)),
Input_TUNet_Actual[VD-PreviousVDO_Input],$E95,Input_TUNet_Actual[Unit],$C95&amp;" - "&amp;I$94))),"-")</f>
        <v>-</v>
      </c>
      <c r="J95" s="148" t="str">
        <f>IFERROR(IF(SUMIFS(
INDEX(Input_TUNet_Actual[[F-PreviousVDO_Input]:[F-PreviousVDO_Input2]],0,MATCH(TUNet_Usage_PerRate_1[[#This Row],[Jemena]],Input_TUNet_Actual[[#Headers],[F-PreviousVDO_Input]:[F-PreviousVDO_Input2]],0)),
Input_TUNet_Actual[VF-PreviousVDO_Input],$E95,Input_TUNet_Actual[F-PreviousVDO_Input],$C95&amp;" - "&amp;J$94)=0,"-",MIN(SUMIFS(TUNet_Usage_Actual_1[Value],TUNet_Usage_Actual_1[Customer type],$E95,TUNet_Usage_Actual_1[Description],"Usage per customer"),SUMIFS(
INDEX(Input_TUNet_Actual[[F-PreviousVDO_Input]:[F-PreviousVDO_Input2]],0,MATCH(TUNet_Usage_PerRate_1[[#This Row],[Jemena]],Input_TUNet_Actual[[#Headers],[F-PreviousVDO_Input]:[F-PreviousVDO_Input2]],0)),
Input_TUNet_Actual[VF-PreviousVDO_Input],$E95,Input_TUNet_Actual[F-PreviousVDO_Input],$C95&amp;" - "&amp;J$94))),"-")</f>
        <v>-</v>
      </c>
    </row>
    <row r="96" spans="2:10" hidden="1" outlineLevel="1">
      <c r="B96"/>
      <c r="C96" s="53" t="s">
        <v>217</v>
      </c>
      <c r="D96" s="75" t="str">
        <f>INDEX(Inputs!$C$10:$Y$10,1,MATCH($D$5,Inputs!$C$8:$Y$8,0))</f>
        <v>F-NextVDO_Input</v>
      </c>
      <c r="E96" s="53" t="s">
        <v>66</v>
      </c>
      <c r="F96" s="148" t="str">
        <f>IFERROR(IF(SUMIFS(
INDEX(Input_TUNet_Actual[[F-PreviousVDO_Input]:[F-PreviousVDO_Input2]],0,MATCH(TUNet_Usage_PerRate_1[[#This Row],[VDO decision]],Input_TUNet_Actual[[#Headers],[F-PreviousVDO_Input]:[F-PreviousVDO_Input2]],0)),
Input_TUNet_Actual[Customer type],$E96,Input_TUNet_Actual[Item],$C96&amp;" - "&amp;F$94)=0,"-",MIN(SUMIFS(TUNet_Usage_Actual_1[Value],TUNet_Usage_Actual_1[Customer type],$E96,TUNet_Usage_Actual_1[Description],"Usage per customer"),SUMIFS(
INDEX(Input_TUNet_Actual[[F-PreviousVDO_Input]:[F-PreviousVDO_Input2]],0,MATCH(TUNet_Usage_PerRate_1[[#This Row],[VDO decision]],Input_TUNet_Actual[[#Headers],[F-PreviousVDO_Input]:[F-PreviousVDO_Input2]],0)),
Input_TUNet_Actual[Customer type],$E96,Input_TUNet_Actual[Item],$C96&amp;" - "&amp;F$94))),"-")</f>
        <v>-</v>
      </c>
      <c r="G96" s="148" t="str">
        <f>IFERROR(IF(SUMIFS(
INDEX(Input_TUNet_Actual[[F-PreviousVDO_Input]:[F-PreviousVDO_Input2]],0,MATCH(TUNet_Usage_PerRate_1[[#This Row],[Customer type]],Input_TUNet_Actual[[#Headers],[F-PreviousVDO_Input]:[F-PreviousVDO_Input2]],0)),
Input_TUNet_Actual[Unit],$E96,Input_TUNet_Actual[Month],$C96&amp;" - "&amp;G$94)=0,"-",MIN(SUMIFS(TUNet_Usage_Actual_1[Description],TUNet_Usage_Actual_1[Value],$E96,TUNet_Usage_Actual_1[VDO decision],"Usage per customer"),SUMIFS(
INDEX(Input_TUNet_Actual[[F-PreviousVDO_Input]:[F-PreviousVDO_Input2]],0,MATCH(TUNet_Usage_PerRate_1[[#This Row],[Customer type]],Input_TUNet_Actual[[#Headers],[F-PreviousVDO_Input]:[F-PreviousVDO_Input2]],0)),
Input_TUNet_Actual[Unit],$E96,Input_TUNet_Actual[Month],$C96&amp;" - "&amp;G$94))),"-")</f>
        <v>-</v>
      </c>
      <c r="H96" s="148" t="str">
        <f>IFERROR(IF(SUMIFS(
INDEX(Input_TUNet_Actual[[F-PreviousVDO_Input]:[F-PreviousVDO_Input2]],0,MATCH(TUNet_Usage_PerRate_1[[#This Row],[Ausnet]],Input_TUNet_Actual[[#Headers],[F-PreviousVDO_Input]:[F-PreviousVDO_Input2]],0)),
Input_TUNet_Actual[F-PreviousVDO_Input],$E96,Input_TUNet_Actual[Customer type],$C96&amp;" - "&amp;H$94)=0,"-",MIN(SUMIFS(TUNet_Usage_Actual_1[VDO decision],TUNet_Usage_Actual_1[Description],$E96,TUNet_Usage_Actual_1[Customer type],"Usage per customer"),SUMIFS(
INDEX(Input_TUNet_Actual[[F-PreviousVDO_Input]:[F-PreviousVDO_Input2]],0,MATCH(TUNet_Usage_PerRate_1[[#This Row],[Ausnet]],Input_TUNet_Actual[[#Headers],[F-PreviousVDO_Input]:[F-PreviousVDO_Input2]],0)),
Input_TUNet_Actual[F-PreviousVDO_Input],$E96,Input_TUNet_Actual[Customer type],$C96&amp;" - "&amp;H$94))),"-")</f>
        <v>-</v>
      </c>
      <c r="I96" s="148" t="str">
        <f>IFERROR(IF(SUMIFS(
INDEX(Input_TUNet_Actual[[F-PreviousVDO_Input]:[F-PreviousVDO_Input2]],0,MATCH(TUNet_Usage_PerRate_1[[#This Row],[Citipower]],Input_TUNet_Actual[[#Headers],[F-PreviousVDO_Input]:[F-PreviousVDO_Input2]],0)),
Input_TUNet_Actual[VD-PreviousVDO_Input],$E96,Input_TUNet_Actual[Unit],$C96&amp;" - "&amp;I$94)=0,"-",MIN(SUMIFS(TUNet_Usage_Actual_1[Customer type],TUNet_Usage_Actual_1[VDO decision],$E96,TUNet_Usage_Actual_1[Value],"Usage per customer"),SUMIFS(
INDEX(Input_TUNet_Actual[[F-PreviousVDO_Input]:[F-PreviousVDO_Input2]],0,MATCH(TUNet_Usage_PerRate_1[[#This Row],[Citipower]],Input_TUNet_Actual[[#Headers],[F-PreviousVDO_Input]:[F-PreviousVDO_Input2]],0)),
Input_TUNet_Actual[VD-PreviousVDO_Input],$E96,Input_TUNet_Actual[Unit],$C96&amp;" - "&amp;I$94))),"-")</f>
        <v>-</v>
      </c>
      <c r="J96" s="148" t="str">
        <f>IFERROR(IF(SUMIFS(
INDEX(Input_TUNet_Actual[[F-PreviousVDO_Input]:[F-PreviousVDO_Input2]],0,MATCH(TUNet_Usage_PerRate_1[[#This Row],[Jemena]],Input_TUNet_Actual[[#Headers],[F-PreviousVDO_Input]:[F-PreviousVDO_Input2]],0)),
Input_TUNet_Actual[VF-PreviousVDO_Input],$E96,Input_TUNet_Actual[F-PreviousVDO_Input],$C96&amp;" - "&amp;J$94)=0,"-",MIN(SUMIFS(TUNet_Usage_Actual_1[Value],TUNet_Usage_Actual_1[Customer type],$E96,TUNet_Usage_Actual_1[Description],"Usage per customer"),SUMIFS(
INDEX(Input_TUNet_Actual[[F-PreviousVDO_Input]:[F-PreviousVDO_Input2]],0,MATCH(TUNet_Usage_PerRate_1[[#This Row],[Jemena]],Input_TUNet_Actual[[#Headers],[F-PreviousVDO_Input]:[F-PreviousVDO_Input2]],0)),
Input_TUNet_Actual[VF-PreviousVDO_Input],$E96,Input_TUNet_Actual[F-PreviousVDO_Input],$C96&amp;" - "&amp;J$94))),"-")</f>
        <v>-</v>
      </c>
    </row>
    <row r="97" spans="2:15" hidden="1" outlineLevel="1">
      <c r="B97"/>
      <c r="C97" s="146" t="s">
        <v>218</v>
      </c>
      <c r="D97" s="75" t="str">
        <f>INDEX(Inputs!$C$10:$Y$10,1,MATCH($D$5,Inputs!$C$8:$Y$8,0))</f>
        <v>F-NextVDO_Input</v>
      </c>
      <c r="E97" s="53" t="s">
        <v>65</v>
      </c>
      <c r="F97" s="148" t="str">
        <f>IFERROR(IF(SUMIFS(F$95:F$96,$E$95:$E$96,$E97,$C$95:$C$96,"Usage per customer - Block 1")=0,"-",SUMIFS(TUNet_Usage_Actual_1[Value],TUNet_Usage_Actual_1[Customer type],$E97,TUNet_Usage_Actual_1[Description],"Usage per customer")-SUMIFS(F$95:F$96,$E$95:$E$96,$E97,$C$95:$C$96,"Usage per customer - Block 1")),"-")</f>
        <v>-</v>
      </c>
      <c r="G97" s="148" t="str">
        <f>IFERROR(IF(SUMIFS(G$95:G$96,$E$95:$E$96,$E97,$C$95:$C$96,"Usage per customer - Block 1")=0,"-",SUMIFS(TUNet_Usage_Actual_1[Description],TUNet_Usage_Actual_1[Value],$E97,TUNet_Usage_Actual_1[VDO decision],"Usage per customer")-SUMIFS(G$95:G$96,$E$95:$E$96,$E97,$C$95:$C$96,"Usage per customer - Block 1")),"-")</f>
        <v>-</v>
      </c>
      <c r="H97" s="148" t="str">
        <f>IFERROR(IF(SUMIFS(H$95:H$96,$E$95:$E$96,$E97,$C$95:$C$96,"Usage per customer - Block 1")=0,"-",SUMIFS(TUNet_Usage_Actual_1[VDO decision],TUNet_Usage_Actual_1[Description],$E97,TUNet_Usage_Actual_1[Customer type],"Usage per customer")-SUMIFS(H$95:H$96,$E$95:$E$96,$E97,$C$95:$C$96,"Usage per customer - Block 1")),"-")</f>
        <v>-</v>
      </c>
      <c r="I97" s="148" t="str">
        <f>IFERROR(IF(SUMIFS(I$95:I$96,$E$95:$E$96,$E97,$C$95:$C$96,"Usage per customer - Block 1")=0,"-",SUMIFS(TUNet_Usage_Actual_1[Customer type],TUNet_Usage_Actual_1[VDO decision],$E97,TUNet_Usage_Actual_1[Value],"Usage per customer")-SUMIFS(I$95:I$96,$E$95:$E$96,$E97,$C$95:$C$96,"Usage per customer - Block 1")),"-")</f>
        <v>-</v>
      </c>
      <c r="J97" s="148" t="str">
        <f>IFERROR(IF(SUMIFS(J$95:J$96,$E$95:$E$96,$E97,$C$95:$C$96,"Usage per customer - Block 1")=0,"-",SUMIFS(TUNet_Usage_Actual_1[Value],TUNet_Usage_Actual_1[Customer type],$E97,TUNet_Usage_Actual_1[Description],"Usage per customer")-SUMIFS(J$95:J$96,$E$95:$E$96,$E97,$C$95:$C$96,"Usage per customer - Block 1")),"-")</f>
        <v>-</v>
      </c>
    </row>
    <row r="98" spans="2:15" hidden="1" outlineLevel="1">
      <c r="B98"/>
      <c r="C98" s="146" t="s">
        <v>218</v>
      </c>
      <c r="D98" s="75" t="str">
        <f>INDEX(Inputs!$C$10:$Y$10,1,MATCH($D$5,Inputs!$C$8:$Y$8,0))</f>
        <v>F-NextVDO_Input</v>
      </c>
      <c r="E98" s="53" t="s">
        <v>66</v>
      </c>
      <c r="F98" s="148" t="str">
        <f>IFERROR(IF(SUMIFS(F$95:F$96,$E$95:$E$96,$E98,$C$95:$C$96,"Usage per customer - Block 1")=0,"-",SUMIFS(TUNet_Usage_Actual_1[Value],TUNet_Usage_Actual_1[Customer type],$E98,TUNet_Usage_Actual_1[Description],"Usage per customer")-SUMIFS(F$95:F$96,$E$95:$E$96,$E98,$C$95:$C$96,"Usage per customer - Block 1")),"-")</f>
        <v>-</v>
      </c>
      <c r="G98" s="148" t="str">
        <f>IFERROR(IF(SUMIFS(G$95:G$96,$E$95:$E$96,$E98,$C$95:$C$96,"Usage per customer - Block 1")=0,"-",SUMIFS(TUNet_Usage_Actual_1[Description],TUNet_Usage_Actual_1[Value],$E98,TUNet_Usage_Actual_1[VDO decision],"Usage per customer")-SUMIFS(G$95:G$96,$E$95:$E$96,$E98,$C$95:$C$96,"Usage per customer - Block 1")),"-")</f>
        <v>-</v>
      </c>
      <c r="H98" s="148" t="str">
        <f>IFERROR(IF(SUMIFS(H$95:H$96,$E$95:$E$96,$E98,$C$95:$C$96,"Usage per customer - Block 1")=0,"-",SUMIFS(TUNet_Usage_Actual_1[VDO decision],TUNet_Usage_Actual_1[Description],$E98,TUNet_Usage_Actual_1[Customer type],"Usage per customer")-SUMIFS(H$95:H$96,$E$95:$E$96,$E98,$C$95:$C$96,"Usage per customer - Block 1")),"-")</f>
        <v>-</v>
      </c>
      <c r="I98" s="148" t="str">
        <f>IFERROR(IF(SUMIFS(I$95:I$96,$E$95:$E$96,$E98,$C$95:$C$96,"Usage per customer - Block 1")=0,"-",SUMIFS(TUNet_Usage_Actual_1[Customer type],TUNet_Usage_Actual_1[VDO decision],$E98,TUNet_Usage_Actual_1[Value],"Usage per customer")-SUMIFS(I$95:I$96,$E$95:$E$96,$E98,$C$95:$C$96,"Usage per customer - Block 1")),"-")</f>
        <v>-</v>
      </c>
      <c r="J98" s="148" t="str">
        <f>IFERROR(IF(SUMIFS(J$95:J$96,$E$95:$E$96,$E98,$C$95:$C$96,"Usage per customer - Block 1")=0,"-",SUMIFS(TUNet_Usage_Actual_1[Value],TUNet_Usage_Actual_1[Customer type],$E98,TUNet_Usage_Actual_1[Description],"Usage per customer")-SUMIFS(J$95:J$96,$E$95:$E$96,$E98,$C$95:$C$96,"Usage per customer - Block 1")),"-")</f>
        <v>-</v>
      </c>
    </row>
    <row r="99" spans="2:15" hidden="1" outlineLevel="1">
      <c r="B99"/>
      <c r="C99" s="146" t="s">
        <v>219</v>
      </c>
      <c r="D99" s="75" t="str">
        <f>INDEX(Inputs!$C$10:$Y$10,1,MATCH($D$5,Inputs!$C$8:$Y$8,0))</f>
        <v>F-NextVDO_Input</v>
      </c>
      <c r="E99" s="53" t="s">
        <v>65</v>
      </c>
      <c r="F99" s="144" t="str">
        <f>IFERROR(IF(SUMIFS(
INDEX(Input_TUNet_Actual[[F-PreviousVDO_Input]:[F-PreviousVDO_Input2]],0,MATCH(TUNet_Usage_PerRate_1[[#This Row],[VDO decision]],Input_TUNet_Actual[[#Headers],[F-PreviousVDO_Input]:[F-PreviousVDO_Input2]],0)),
Input_TUNet_Actual[Customer type],$E99,Input_TUNet_Actual[Item],"Usage per customer - Block 1 - "&amp;F$94)=0,SUMIFS(TUNet_Usage_Actual_1[Value],TUNet_Usage_Actual_1[Customer type],$E99,TUNet_Usage_Actual_1[Description],"Usage per customer"),"-"),"-")</f>
        <v>-</v>
      </c>
      <c r="G99" s="144" t="str">
        <f>IFERROR(IF(SUMIFS(
INDEX(Input_TUNet_Actual[[F-PreviousVDO_Input]:[F-PreviousVDO_Input2]],0,MATCH(TUNet_Usage_PerRate_1[[#This Row],[Customer type]],Input_TUNet_Actual[[#Headers],[F-PreviousVDO_Input]:[F-PreviousVDO_Input2]],0)),
Input_TUNet_Actual[Unit],$E99,Input_TUNet_Actual[Month],"Usage per customer - Block 1 - "&amp;G$94)=0,SUMIFS(TUNet_Usage_Actual_1[Description],TUNet_Usage_Actual_1[Value],$E99,TUNet_Usage_Actual_1[VDO decision],"Usage per customer"),"-"),"-")</f>
        <v>-</v>
      </c>
      <c r="H99" s="144" t="str">
        <f>IFERROR(IF(SUMIFS(
INDEX(Input_TUNet_Actual[[F-PreviousVDO_Input]:[F-PreviousVDO_Input2]],0,MATCH(TUNet_Usage_PerRate_1[[#This Row],[Ausnet]],Input_TUNet_Actual[[#Headers],[F-PreviousVDO_Input]:[F-PreviousVDO_Input2]],0)),
Input_TUNet_Actual[F-PreviousVDO_Input],$E99,Input_TUNet_Actual[Customer type],"Usage per customer - Block 1 - "&amp;H$94)=0,SUMIFS(TUNet_Usage_Actual_1[VDO decision],TUNet_Usage_Actual_1[Description],$E99,TUNet_Usage_Actual_1[Customer type],"Usage per customer"),"-"),"-")</f>
        <v>-</v>
      </c>
      <c r="I99" s="144" t="str">
        <f>IFERROR(IF(SUMIFS(
INDEX(Input_TUNet_Actual[[F-PreviousVDO_Input]:[F-PreviousVDO_Input2]],0,MATCH(TUNet_Usage_PerRate_1[[#This Row],[Citipower]],Input_TUNet_Actual[[#Headers],[F-PreviousVDO_Input]:[F-PreviousVDO_Input2]],0)),
Input_TUNet_Actual[VD-PreviousVDO_Input],$E99,Input_TUNet_Actual[Unit],"Usage per customer - Block 1 - "&amp;I$94)=0,SUMIFS(TUNet_Usage_Actual_1[Customer type],TUNet_Usage_Actual_1[VDO decision],$E99,TUNet_Usage_Actual_1[Value],"Usage per customer"),"-"),"-")</f>
        <v>-</v>
      </c>
      <c r="J99" s="144" t="str">
        <f>IFERROR(IF(SUMIFS(
INDEX(Input_TUNet_Actual[[F-PreviousVDO_Input]:[F-PreviousVDO_Input2]],0,MATCH(TUNet_Usage_PerRate_1[[#This Row],[Jemena]],Input_TUNet_Actual[[#Headers],[F-PreviousVDO_Input]:[F-PreviousVDO_Input2]],0)),
Input_TUNet_Actual[VF-PreviousVDO_Input],$E99,Input_TUNet_Actual[F-PreviousVDO_Input],"Usage per customer - Block 1 - "&amp;J$94)=0,SUMIFS(TUNet_Usage_Actual_1[Value],TUNet_Usage_Actual_1[Customer type],$E99,TUNet_Usage_Actual_1[Description],"Usage per customer"),"-"),"-")</f>
        <v>-</v>
      </c>
    </row>
    <row r="100" spans="2:15" hidden="1" outlineLevel="1">
      <c r="B100"/>
      <c r="C100" s="53" t="s">
        <v>219</v>
      </c>
      <c r="D100" s="75" t="str">
        <f>INDEX(Inputs!$C$10:$Y$10,1,MATCH($D$5,Inputs!$C$8:$Y$8,0))</f>
        <v>F-NextVDO_Input</v>
      </c>
      <c r="E100" s="53" t="s">
        <v>66</v>
      </c>
      <c r="F100" s="144" t="str">
        <f>IFERROR(IF(SUMIFS(
INDEX(Input_TUNet_Actual[[F-PreviousVDO_Input]:[F-PreviousVDO_Input2]],0,MATCH(TUNet_Usage_PerRate_1[[#This Row],[VDO decision]],Input_TUNet_Actual[[#Headers],[F-PreviousVDO_Input]:[F-PreviousVDO_Input2]],0)),
Input_TUNet_Actual[Customer type],$E100,Input_TUNet_Actual[Item],"Usage per customer - Block 1 - "&amp;F$94)=0,SUMIFS(TUNet_Usage_Actual_1[Value],TUNet_Usage_Actual_1[Customer type],$E100,TUNet_Usage_Actual_1[Description],"Usage per customer"),"-"),"-")</f>
        <v>-</v>
      </c>
      <c r="G100" s="144" t="str">
        <f>IFERROR(IF(SUMIFS(
INDEX(Input_TUNet_Actual[[F-PreviousVDO_Input]:[F-PreviousVDO_Input2]],0,MATCH(TUNet_Usage_PerRate_1[[#This Row],[Customer type]],Input_TUNet_Actual[[#Headers],[F-PreviousVDO_Input]:[F-PreviousVDO_Input2]],0)),
Input_TUNet_Actual[Unit],$E100,Input_TUNet_Actual[Month],"Usage per customer - Block 1 - "&amp;G$94)=0,SUMIFS(TUNet_Usage_Actual_1[Description],TUNet_Usage_Actual_1[Value],$E100,TUNet_Usage_Actual_1[VDO decision],"Usage per customer"),"-"),"-")</f>
        <v>-</v>
      </c>
      <c r="H100" s="144" t="str">
        <f>IFERROR(IF(SUMIFS(
INDEX(Input_TUNet_Actual[[F-PreviousVDO_Input]:[F-PreviousVDO_Input2]],0,MATCH(TUNet_Usage_PerRate_1[[#This Row],[Ausnet]],Input_TUNet_Actual[[#Headers],[F-PreviousVDO_Input]:[F-PreviousVDO_Input2]],0)),
Input_TUNet_Actual[F-PreviousVDO_Input],$E100,Input_TUNet_Actual[Customer type],"Usage per customer - Block 1 - "&amp;H$94)=0,SUMIFS(TUNet_Usage_Actual_1[VDO decision],TUNet_Usage_Actual_1[Description],$E100,TUNet_Usage_Actual_1[Customer type],"Usage per customer"),"-"),"-")</f>
        <v>-</v>
      </c>
      <c r="I100" s="144" t="str">
        <f>IFERROR(IF(SUMIFS(
INDEX(Input_TUNet_Actual[[F-PreviousVDO_Input]:[F-PreviousVDO_Input2]],0,MATCH(TUNet_Usage_PerRate_1[[#This Row],[Citipower]],Input_TUNet_Actual[[#Headers],[F-PreviousVDO_Input]:[F-PreviousVDO_Input2]],0)),
Input_TUNet_Actual[VD-PreviousVDO_Input],$E100,Input_TUNet_Actual[Unit],"Usage per customer - Block 1 - "&amp;I$94)=0,SUMIFS(TUNet_Usage_Actual_1[Customer type],TUNet_Usage_Actual_1[VDO decision],$E100,TUNet_Usage_Actual_1[Value],"Usage per customer"),"-"),"-")</f>
        <v>-</v>
      </c>
      <c r="J100" s="144" t="str">
        <f>IFERROR(IF(SUMIFS(
INDEX(Input_TUNet_Actual[[F-PreviousVDO_Input]:[F-PreviousVDO_Input2]],0,MATCH(TUNet_Usage_PerRate_1[[#This Row],[Jemena]],Input_TUNet_Actual[[#Headers],[F-PreviousVDO_Input]:[F-PreviousVDO_Input2]],0)),
Input_TUNet_Actual[VF-PreviousVDO_Input],$E100,Input_TUNet_Actual[F-PreviousVDO_Input],"Usage per customer - Block 1 - "&amp;J$94)=0,SUMIFS(TUNet_Usage_Actual_1[Value],TUNet_Usage_Actual_1[Customer type],$E100,TUNet_Usage_Actual_1[Description],"Usage per customer"),"-"),"-")</f>
        <v>-</v>
      </c>
    </row>
    <row r="101" spans="2:15" hidden="1" outlineLevel="1">
      <c r="B101"/>
    </row>
    <row r="102" spans="2:15" ht="15.5" hidden="1" outlineLevel="1">
      <c r="B102"/>
      <c r="C102" s="26" t="s">
        <v>220</v>
      </c>
    </row>
    <row r="103" spans="2:15" ht="15.5" hidden="1" outlineLevel="1">
      <c r="C103" s="39" t="s">
        <v>33</v>
      </c>
      <c r="D103" s="39" t="s">
        <v>31</v>
      </c>
      <c r="E103" s="39" t="s">
        <v>186</v>
      </c>
      <c r="F103" s="39" t="s">
        <v>187</v>
      </c>
      <c r="G103" s="39" t="s">
        <v>188</v>
      </c>
      <c r="H103" s="39" t="s">
        <v>88</v>
      </c>
      <c r="I103" s="39" t="s">
        <v>56</v>
      </c>
      <c r="J103" s="38" t="s">
        <v>57</v>
      </c>
      <c r="K103" s="54" t="s">
        <v>58</v>
      </c>
      <c r="L103" s="54" t="s">
        <v>59</v>
      </c>
      <c r="M103" s="54" t="s">
        <v>60</v>
      </c>
      <c r="N103" s="54" t="s">
        <v>61</v>
      </c>
      <c r="O103" s="54" t="s">
        <v>62</v>
      </c>
    </row>
    <row r="104" spans="2:15" hidden="1" outlineLevel="1">
      <c r="C104" s="53"/>
      <c r="D104" s="53"/>
      <c r="E104" s="53"/>
      <c r="F104" s="53"/>
      <c r="G104" s="53"/>
      <c r="H104" s="53"/>
      <c r="I104" s="53"/>
      <c r="J104" s="53"/>
      <c r="K104" s="60"/>
      <c r="L104" s="53"/>
      <c r="M104" s="53"/>
      <c r="N104" s="53"/>
      <c r="O104" s="53"/>
    </row>
    <row r="105" spans="2:15" ht="15.5" hidden="1" outlineLevel="1">
      <c r="C105" s="1" t="s">
        <v>202</v>
      </c>
      <c r="D105" s="53"/>
      <c r="E105" s="53"/>
      <c r="F105" s="53"/>
      <c r="G105" s="62" t="s">
        <v>181</v>
      </c>
      <c r="H105" s="53"/>
      <c r="I105" s="53"/>
      <c r="J105" s="53"/>
      <c r="K105" s="60"/>
      <c r="L105" s="53"/>
      <c r="M105" s="53"/>
      <c r="N105" s="53"/>
      <c r="O105" s="53"/>
    </row>
    <row r="106" spans="2:15" hidden="1" outlineLevel="1">
      <c r="C106" s="51" t="s">
        <v>221</v>
      </c>
      <c r="D106" s="51"/>
      <c r="E106" s="51"/>
      <c r="F106" s="51"/>
      <c r="G106" s="62"/>
      <c r="H106" s="62"/>
      <c r="I106" s="20"/>
      <c r="J106" s="20"/>
      <c r="K106" s="59"/>
      <c r="L106" s="20"/>
      <c r="M106" s="20"/>
      <c r="N106" s="20"/>
      <c r="O106" s="20"/>
    </row>
    <row r="107" spans="2:15" hidden="1" outlineLevel="1">
      <c r="C107" s="53" t="s">
        <v>222</v>
      </c>
      <c r="D107" s="75" t="str">
        <f>$D$5</f>
        <v>VDO 2023-24 - Final</v>
      </c>
      <c r="E107" s="20" t="s">
        <v>190</v>
      </c>
      <c r="F107" s="75" t="str">
        <f>INDEX(Inputs!$C$10:$Y$10,1,MATCH($D107,Inputs!$C$8:$Y$8,0))</f>
        <v>F-NextVDO_Input</v>
      </c>
      <c r="G107" s="52"/>
      <c r="H107" s="20" t="s">
        <v>90</v>
      </c>
      <c r="I107" s="20" t="s">
        <v>64</v>
      </c>
      <c r="J107" s="53" t="s">
        <v>65</v>
      </c>
      <c r="K107" s="60" cm="1">
        <f t="array" ref="K107">IFERROR(INDEX(Input_ForRateCalc[],MATCH($C107&amp;" - "&amp;K$103,Input_ForRateCalc[[Cost item]:[Cost item]],0),MATCH(Calc_TUV_Net_1[[#This Row],[Decision ref]:[Decision ref]],Input_ForRateCalc[#Headers],0))*TUProp_Days_1,"-")</f>
        <v>0</v>
      </c>
      <c r="L107" s="60" cm="1">
        <f t="array" ref="L107">IFERROR(INDEX(Input_ForRateCalc[],MATCH($C107&amp;" - "&amp;L$103,Input_ForRateCalc[[Cost item]:[Cost item]],0),MATCH(Calc_TUV_Net_1[[#This Row],[Decision ref]:[Decision ref]],Input_ForRateCalc[#Headers],0))*TUProp_Days_1,"-")</f>
        <v>0</v>
      </c>
      <c r="M107" s="60" cm="1">
        <f t="array" ref="M107">IFERROR(INDEX(Input_ForRateCalc[],MATCH($C107&amp;" - "&amp;M$103,Input_ForRateCalc[[Cost item]:[Cost item]],0),MATCH(Calc_TUV_Net_1[[#This Row],[Decision ref]:[Decision ref]],Input_ForRateCalc[#Headers],0))*TUProp_Days_1,"-")</f>
        <v>0</v>
      </c>
      <c r="N107" s="60" cm="1">
        <f t="array" ref="N107">IFERROR(INDEX(Input_ForRateCalc[],MATCH($C107&amp;" - "&amp;N$103,Input_ForRateCalc[[Cost item]:[Cost item]],0),MATCH(Calc_TUV_Net_1[[#This Row],[Decision ref]:[Decision ref]],Input_ForRateCalc[#Headers],0))*TUProp_Days_1,"-")</f>
        <v>0</v>
      </c>
      <c r="O107" s="60" cm="1">
        <f t="array" ref="O107">IFERROR(INDEX(Input_ForRateCalc[],MATCH($C107&amp;" - "&amp;O$103,Input_ForRateCalc[[Cost item]:[Cost item]],0),MATCH(Calc_TUV_Net_1[[#This Row],[Decision ref]:[Decision ref]],Input_ForRateCalc[#Headers],0))*TUProp_Days_1,"-")</f>
        <v>0</v>
      </c>
    </row>
    <row r="108" spans="2:15" hidden="1" outlineLevel="1">
      <c r="C108" s="53" t="s">
        <v>94</v>
      </c>
      <c r="D108" s="75" t="str">
        <f t="shared" ref="D108:D109" si="47">$D$5</f>
        <v>VDO 2023-24 - Final</v>
      </c>
      <c r="E108" s="20" t="s">
        <v>190</v>
      </c>
      <c r="F108" s="75" t="str">
        <f>INDEX(Inputs!$C$10:$Y$10,1,MATCH($D108,Inputs!$C$8:$Y$8,0))</f>
        <v>F-NextVDO_Input</v>
      </c>
      <c r="G108" s="52"/>
      <c r="H108" s="20" t="s">
        <v>90</v>
      </c>
      <c r="I108" s="20" t="s">
        <v>64</v>
      </c>
      <c r="J108" s="53" t="s">
        <v>65</v>
      </c>
      <c r="K108" s="60" cm="1">
        <f t="array" ref="K108">IFERROR(INDEX(Input_ForRateCalc[],MATCH($C108&amp;" - "&amp;K$103,Input_ForRateCalc[[Cost item]:[Cost item]],0),MATCH(Calc_TUV_Net_1[[#This Row],[Decision ref]:[Decision ref]],Input_ForRateCalc[#Headers],0))*TUProp_Days_1,"-")</f>
        <v>0</v>
      </c>
      <c r="L108" s="60" cm="1">
        <f t="array" ref="L108">IFERROR(INDEX(Input_ForRateCalc[],MATCH($C108&amp;" - "&amp;L$103,Input_ForRateCalc[[Cost item]:[Cost item]],0),MATCH(Calc_TUV_Net_1[[#This Row],[Decision ref]:[Decision ref]],Input_ForRateCalc[#Headers],0))*TUProp_Days_1,"-")</f>
        <v>0</v>
      </c>
      <c r="M108" s="60" cm="1">
        <f t="array" ref="M108">IFERROR(INDEX(Input_ForRateCalc[],MATCH($C108&amp;" - "&amp;M$103,Input_ForRateCalc[[Cost item]:[Cost item]],0),MATCH(Calc_TUV_Net_1[[#This Row],[Decision ref]:[Decision ref]],Input_ForRateCalc[#Headers],0))*TUProp_Days_1,"-")</f>
        <v>0</v>
      </c>
      <c r="N108" s="60" cm="1">
        <f t="array" ref="N108">IFERROR(INDEX(Input_ForRateCalc[],MATCH($C108&amp;" - "&amp;N$103,Input_ForRateCalc[[Cost item]:[Cost item]],0),MATCH(Calc_TUV_Net_1[[#This Row],[Decision ref]:[Decision ref]],Input_ForRateCalc[#Headers],0))*TUProp_Days_1,"-")</f>
        <v>0</v>
      </c>
      <c r="O108" s="60" cm="1">
        <f t="array" ref="O108">IFERROR(INDEX(Input_ForRateCalc[],MATCH($C108&amp;" - "&amp;O$103,Input_ForRateCalc[[Cost item]:[Cost item]],0),MATCH(Calc_TUV_Net_1[[#This Row],[Decision ref]:[Decision ref]],Input_ForRateCalc[#Headers],0))*TUProp_Days_1,"-")</f>
        <v>0</v>
      </c>
    </row>
    <row r="109" spans="2:15" hidden="1" outlineLevel="1">
      <c r="C109" s="53" t="s">
        <v>191</v>
      </c>
      <c r="D109" s="75" t="str">
        <f t="shared" si="47"/>
        <v>VDO 2023-24 - Final</v>
      </c>
      <c r="E109" s="20" t="s">
        <v>190</v>
      </c>
      <c r="F109" s="75" t="str">
        <f>INDEX(Inputs!$C$10:$Y$10,1,MATCH($D109,Inputs!$C$8:$Y$8,0))</f>
        <v>F-NextVDO_Input</v>
      </c>
      <c r="G109" s="52"/>
      <c r="H109" s="20" t="s">
        <v>90</v>
      </c>
      <c r="I109" s="20" t="s">
        <v>64</v>
      </c>
      <c r="J109" s="53" t="s">
        <v>65</v>
      </c>
      <c r="K109" s="58">
        <f>IFERROR(SUM(K107:K108),"-")</f>
        <v>0</v>
      </c>
      <c r="L109" s="58">
        <f>IFERROR(SUM(L107:L108),"-")</f>
        <v>0</v>
      </c>
      <c r="M109" s="58">
        <f>IFERROR(SUM(M107:M108),"-")</f>
        <v>0</v>
      </c>
      <c r="N109" s="58">
        <f>IFERROR(SUM(N107:N108),"-")</f>
        <v>0</v>
      </c>
      <c r="O109" s="58">
        <f>IFERROR(SUM(O107:O108),"-")</f>
        <v>0</v>
      </c>
    </row>
    <row r="110" spans="2:15" hidden="1" outlineLevel="1">
      <c r="C110" s="53" t="s">
        <v>222</v>
      </c>
      <c r="D110" s="75" t="str">
        <f>INDEX(Input_DecisionActual[[Decision]:[Decision]],MATCH($D$5,Input_DecisionActual[[VDO period]:[VDO period]],0),1)</f>
        <v>VDO 2022-23 - Final</v>
      </c>
      <c r="E110" s="20" t="s">
        <v>192</v>
      </c>
      <c r="F110" s="75" t="str">
        <f>IF($D110="-","-",INDEX(Inputs!$C$10:$Y$10,1,MATCH($D110,Inputs!$C$8:$Y$8,0)))</f>
        <v>F-CurrentVDO_Input</v>
      </c>
      <c r="G110" s="52"/>
      <c r="H110" s="20" t="s">
        <v>90</v>
      </c>
      <c r="I110" s="20" t="s">
        <v>64</v>
      </c>
      <c r="J110" s="53" t="s">
        <v>65</v>
      </c>
      <c r="K110" s="60" cm="1">
        <f t="array" ref="K110">IFERROR(INDEX(Input_ForRateCalc[],MATCH($C110&amp;" - "&amp;K$103,Input_ForRateCalc[[Cost item]:[Cost item]],0),MATCH(Calc_TUV_Net_1[[#This Row],[Decision ref]:[Decision ref]],Input_ForRateCalc[#Headers],0)),"-")*TUProp_Days_1</f>
        <v>0</v>
      </c>
      <c r="L110" s="60" cm="1">
        <f t="array" ref="L110">IFERROR(INDEX(Input_ForRateCalc[],MATCH($C110&amp;" - "&amp;L$103,Input_ForRateCalc[[Cost item]:[Cost item]],0),MATCH(Calc_TUV_Net_1[[#This Row],[Decision ref]:[Decision ref]],Input_ForRateCalc[#Headers],0)),"-")*TUProp_Days_1</f>
        <v>0</v>
      </c>
      <c r="M110" s="60" cm="1">
        <f t="array" ref="M110">IFERROR(INDEX(Input_ForRateCalc[],MATCH($C110&amp;" - "&amp;M$103,Input_ForRateCalc[[Cost item]:[Cost item]],0),MATCH(Calc_TUV_Net_1[[#This Row],[Decision ref]:[Decision ref]],Input_ForRateCalc[#Headers],0)),"-")*TUProp_Days_1</f>
        <v>0</v>
      </c>
      <c r="N110" s="60" cm="1">
        <f t="array" ref="N110">IFERROR(INDEX(Input_ForRateCalc[],MATCH($C110&amp;" - "&amp;N$103,Input_ForRateCalc[[Cost item]:[Cost item]],0),MATCH(Calc_TUV_Net_1[[#This Row],[Decision ref]:[Decision ref]],Input_ForRateCalc[#Headers],0)),"-")*TUProp_Days_1</f>
        <v>0</v>
      </c>
      <c r="O110" s="60" cm="1">
        <f t="array" ref="O110">IFERROR(INDEX(Input_ForRateCalc[],MATCH($C110&amp;" - "&amp;O$103,Input_ForRateCalc[[Cost item]:[Cost item]],0),MATCH(Calc_TUV_Net_1[[#This Row],[Decision ref]:[Decision ref]],Input_ForRateCalc[#Headers],0)),"-")*TUProp_Days_1</f>
        <v>0</v>
      </c>
    </row>
    <row r="111" spans="2:15" hidden="1" outlineLevel="1">
      <c r="C111" s="53" t="s">
        <v>94</v>
      </c>
      <c r="D111" s="75" t="str">
        <f>INDEX(Input_DecisionActual[[Decision]:[Decision]],MATCH($D$5,Input_DecisionActual[[VDO period]:[VDO period]],0),1)</f>
        <v>VDO 2022-23 - Final</v>
      </c>
      <c r="E111" s="20" t="s">
        <v>192</v>
      </c>
      <c r="F111" s="75" t="str">
        <f>IF($D111="-","-",INDEX(Inputs!$C$10:$Y$10,1,MATCH($D111,Inputs!$C$8:$Y$8,0)))</f>
        <v>F-CurrentVDO_Input</v>
      </c>
      <c r="G111" s="52"/>
      <c r="H111" s="20" t="s">
        <v>90</v>
      </c>
      <c r="I111" s="20" t="s">
        <v>64</v>
      </c>
      <c r="J111" s="53" t="s">
        <v>65</v>
      </c>
      <c r="K111" s="60" cm="1">
        <f t="array" ref="K111">IFERROR(INDEX(Input_ForRateCalc[],MATCH($C111&amp;" - "&amp;K$103,Input_ForRateCalc[[Cost item]:[Cost item]],0),MATCH(Calc_TUV_Net_1[[#This Row],[Decision ref]:[Decision ref]],Input_ForRateCalc[#Headers],0)),"-")*TUProp_Days_1</f>
        <v>0</v>
      </c>
      <c r="L111" s="60" cm="1">
        <f t="array" ref="L111">IFERROR(INDEX(Input_ForRateCalc[],MATCH($C111&amp;" - "&amp;L$103,Input_ForRateCalc[[Cost item]:[Cost item]],0),MATCH(Calc_TUV_Net_1[[#This Row],[Decision ref]:[Decision ref]],Input_ForRateCalc[#Headers],0)),"-")*TUProp_Days_1</f>
        <v>0</v>
      </c>
      <c r="M111" s="60" cm="1">
        <f t="array" ref="M111">IFERROR(INDEX(Input_ForRateCalc[],MATCH($C111&amp;" - "&amp;M$103,Input_ForRateCalc[[Cost item]:[Cost item]],0),MATCH(Calc_TUV_Net_1[[#This Row],[Decision ref]:[Decision ref]],Input_ForRateCalc[#Headers],0)),"-")*TUProp_Days_1</f>
        <v>0</v>
      </c>
      <c r="N111" s="60" cm="1">
        <f t="array" ref="N111">IFERROR(INDEX(Input_ForRateCalc[],MATCH($C111&amp;" - "&amp;N$103,Input_ForRateCalc[[Cost item]:[Cost item]],0),MATCH(Calc_TUV_Net_1[[#This Row],[Decision ref]:[Decision ref]],Input_ForRateCalc[#Headers],0)),"-")*TUProp_Days_1</f>
        <v>0</v>
      </c>
      <c r="O111" s="60" cm="1">
        <f t="array" ref="O111">IFERROR(INDEX(Input_ForRateCalc[],MATCH($C111&amp;" - "&amp;O$103,Input_ForRateCalc[[Cost item]:[Cost item]],0),MATCH(Calc_TUV_Net_1[[#This Row],[Decision ref]:[Decision ref]],Input_ForRateCalc[#Headers],0)),"-")*TUProp_Days_1</f>
        <v>0</v>
      </c>
    </row>
    <row r="112" spans="2:15" hidden="1" outlineLevel="1">
      <c r="C112" s="53" t="s">
        <v>191</v>
      </c>
      <c r="D112" s="75" t="str">
        <f>INDEX(Input_DecisionActual[[Decision]:[Decision]],MATCH($D$5,Input_DecisionActual[[VDO period]:[VDO period]],0),1)</f>
        <v>VDO 2022-23 - Final</v>
      </c>
      <c r="E112" s="20" t="s">
        <v>192</v>
      </c>
      <c r="F112" s="75" t="str">
        <f>IF($D112="-","-",INDEX(Inputs!$C$10:$Y$10,1,MATCH($D112,Inputs!$C$8:$Y$8,0)))</f>
        <v>F-CurrentVDO_Input</v>
      </c>
      <c r="G112" s="52"/>
      <c r="H112" s="20" t="s">
        <v>90</v>
      </c>
      <c r="I112" s="20" t="s">
        <v>64</v>
      </c>
      <c r="J112" s="53" t="s">
        <v>65</v>
      </c>
      <c r="K112" s="59">
        <f>SUM(K110:K111)</f>
        <v>0</v>
      </c>
      <c r="L112" s="59">
        <f>SUM(L110:L111)</f>
        <v>0</v>
      </c>
      <c r="M112" s="59">
        <f>SUM(M110:M111)</f>
        <v>0</v>
      </c>
      <c r="N112" s="59">
        <f>SUM(N110:N111)</f>
        <v>0</v>
      </c>
      <c r="O112" s="59">
        <f>SUM(O110:O111)</f>
        <v>0</v>
      </c>
    </row>
    <row r="113" spans="3:15" hidden="1" outlineLevel="1">
      <c r="C113" s="53" t="s">
        <v>193</v>
      </c>
      <c r="D113" s="20"/>
      <c r="E113" s="20"/>
      <c r="F113" s="20"/>
      <c r="G113" s="20"/>
      <c r="H113" s="20" t="s">
        <v>90</v>
      </c>
      <c r="I113" s="20" t="s">
        <v>64</v>
      </c>
      <c r="J113" s="53" t="s">
        <v>65</v>
      </c>
      <c r="K113" s="59" t="str">
        <f>IF(K112=0,"-",K109-K112)</f>
        <v>-</v>
      </c>
      <c r="L113" s="59" t="str">
        <f t="shared" ref="L113:O113" si="48">IF(L112=0,"-",L109-L112)</f>
        <v>-</v>
      </c>
      <c r="M113" s="59" t="str">
        <f t="shared" si="48"/>
        <v>-</v>
      </c>
      <c r="N113" s="59" t="str">
        <f t="shared" si="48"/>
        <v>-</v>
      </c>
      <c r="O113" s="59" t="str">
        <f t="shared" si="48"/>
        <v>-</v>
      </c>
    </row>
    <row r="114" spans="3:15" hidden="1" outlineLevel="1">
      <c r="C114" s="53" t="s">
        <v>180</v>
      </c>
      <c r="D114" s="20"/>
      <c r="E114" s="20"/>
      <c r="F114" s="20"/>
      <c r="G114" s="20"/>
      <c r="H114" s="20" t="s">
        <v>90</v>
      </c>
      <c r="I114" s="20" t="s">
        <v>64</v>
      </c>
      <c r="J114" s="53" t="s">
        <v>65</v>
      </c>
      <c r="K114" s="60" t="str">
        <f>IFERROR(IF($D$11="Yes",K113*(1+WACC_adj_1),""),"-")</f>
        <v/>
      </c>
      <c r="L114" s="60" t="str">
        <f>IFERROR(IF($D$11="Yes",L113*(1+WACC_adj_1),""),"-")</f>
        <v/>
      </c>
      <c r="M114" s="60" t="str">
        <f>IFERROR(IF($D$11="Yes",M113*(1+WACC_adj_1),""),"-")</f>
        <v/>
      </c>
      <c r="N114" s="60" t="str">
        <f>IFERROR(IF($D$11="Yes",N113*(1+WACC_adj_1),""),"-")</f>
        <v/>
      </c>
      <c r="O114" s="60" t="str">
        <f>IFERROR(IF($D$11="Yes",O113*(1+WACC_adj_1),""),"-")</f>
        <v/>
      </c>
    </row>
    <row r="115" spans="3:15" hidden="1" outlineLevel="1">
      <c r="C115" s="53" t="s">
        <v>195</v>
      </c>
      <c r="D115" s="75" t="str">
        <f>INDEX(Input_DecisionActual[[Decision]:[Decision]],MATCH($D$5,Input_DecisionActual[[VDO period]:[VDO period]],0),1)</f>
        <v>VDO 2022-23 - Final</v>
      </c>
      <c r="E115" s="20" t="s">
        <v>192</v>
      </c>
      <c r="F115" s="75" t="str">
        <f>IF($D115="-","-",INDEX(Inputs!$C$10:$Y$10,1,MATCH($D115,Inputs!$C$8:$Y$8,0)))</f>
        <v>F-CurrentVDO_Input</v>
      </c>
      <c r="G115" s="20"/>
      <c r="H115" s="20" t="s">
        <v>90</v>
      </c>
      <c r="I115" s="20" t="s">
        <v>64</v>
      </c>
      <c r="J115" s="53" t="s">
        <v>65</v>
      </c>
      <c r="K115" s="60" cm="1">
        <f t="array" ref="K115">IFERROR(SUM(K113:K114)*(INDEX(Inputs!$H$11:$U$134,MATCH("Retail operating margin",Input_ForRateCalc[[Cost item]:[Cost item]],0),MATCH(Calc_TUV_Net_1[[#This Row],[Decision ref]:[Decision ref]],Inputs!$H$10:$U$10,0))),"-")</f>
        <v>0</v>
      </c>
      <c r="L115" s="60" cm="1">
        <f t="array" ref="L115">IFERROR(SUM(L113:L114)*(INDEX(Inputs!$H$11:$U$134,MATCH("Retail operating margin",Input_ForRateCalc[[Cost item]:[Cost item]],0),MATCH(Calc_TUV_Net_1[[#This Row],[Decision ref]:[Decision ref]],Inputs!$H$10:$U$10,0))),"-")</f>
        <v>0</v>
      </c>
      <c r="M115" s="60" cm="1">
        <f t="array" ref="M115">IFERROR(SUM(M113:M114)*(INDEX(Inputs!$H$11:$U$134,MATCH("Retail operating margin",Input_ForRateCalc[[Cost item]:[Cost item]],0),MATCH(Calc_TUV_Net_1[[#This Row],[Decision ref]:[Decision ref]],Inputs!$H$10:$U$10,0))),"-")</f>
        <v>0</v>
      </c>
      <c r="N115" s="60" cm="1">
        <f t="array" ref="N115">IFERROR(SUM(N113:N114)*(INDEX(Inputs!$H$11:$U$134,MATCH("Retail operating margin",Input_ForRateCalc[[Cost item]:[Cost item]],0),MATCH(Calc_TUV_Net_1[[#This Row],[Decision ref]:[Decision ref]],Inputs!$H$10:$U$10,0))),"-")</f>
        <v>0</v>
      </c>
      <c r="O115" s="60" cm="1">
        <f t="array" ref="O115">IFERROR(SUM(O113:O114)*(INDEX(Inputs!$H$11:$U$134,MATCH("Retail operating margin",Input_ForRateCalc[[Cost item]:[Cost item]],0),MATCH(Calc_TUV_Net_1[[#This Row],[Decision ref]:[Decision ref]],Inputs!$H$10:$U$10,0))),"-")</f>
        <v>0</v>
      </c>
    </row>
    <row r="116" spans="3:15" hidden="1" outlineLevel="1">
      <c r="C116" s="53" t="s">
        <v>196</v>
      </c>
      <c r="D116" s="20"/>
      <c r="E116" s="20"/>
      <c r="F116" s="20"/>
      <c r="G116" s="20"/>
      <c r="H116" s="20" t="s">
        <v>90</v>
      </c>
      <c r="I116" s="20" t="s">
        <v>64</v>
      </c>
      <c r="J116" s="53" t="s">
        <v>65</v>
      </c>
      <c r="K116" s="60" t="str">
        <f>IF(K112=0,"-",SUM(K113:K115)*GST)</f>
        <v>-</v>
      </c>
      <c r="L116" s="60" t="str">
        <f>IF(L112=0,"-",SUM(L113:L115)*GST)</f>
        <v>-</v>
      </c>
      <c r="M116" s="60" t="str">
        <f>IF(M112=0,"-",SUM(M113:M115)*GST)</f>
        <v>-</v>
      </c>
      <c r="N116" s="60" t="str">
        <f>IF(N112=0,"-",SUM(N113:N115)*GST)</f>
        <v>-</v>
      </c>
      <c r="O116" s="60" t="str">
        <f>IF(O112=0,"-",SUM(O113:O115)*GST)</f>
        <v>-</v>
      </c>
    </row>
    <row r="117" spans="3:15" hidden="1" outlineLevel="1">
      <c r="C117" s="20" t="s">
        <v>223</v>
      </c>
      <c r="D117" s="20"/>
      <c r="E117" s="20"/>
      <c r="F117" s="20"/>
      <c r="G117" s="20"/>
      <c r="H117" s="20" t="s">
        <v>90</v>
      </c>
      <c r="I117" s="20" t="s">
        <v>64</v>
      </c>
      <c r="J117" s="53" t="s">
        <v>65</v>
      </c>
      <c r="K117" s="60" t="str">
        <f>IF(K112=0,"-",SUM(K113:K116))</f>
        <v>-</v>
      </c>
      <c r="L117" s="60" t="str">
        <f>IF(L112=0,"-",SUM(L113:L116))</f>
        <v>-</v>
      </c>
      <c r="M117" s="60" t="str">
        <f>IF(M112=0,"-",SUM(M113:M116))</f>
        <v>-</v>
      </c>
      <c r="N117" s="60" t="str">
        <f>IF(N112=0,"-",SUM(N113:N116))</f>
        <v>-</v>
      </c>
      <c r="O117" s="60" t="str">
        <f>IF(O112=0,"-",SUM(O113:O116))</f>
        <v>-</v>
      </c>
    </row>
    <row r="118" spans="3:15" hidden="1" outlineLevel="1">
      <c r="C118" s="53"/>
      <c r="D118" s="20"/>
      <c r="E118" s="20"/>
      <c r="F118" s="20"/>
      <c r="H118" s="20"/>
      <c r="I118" s="20"/>
      <c r="J118" s="20"/>
      <c r="K118" s="105"/>
      <c r="L118" s="105"/>
      <c r="M118" s="105"/>
      <c r="N118" s="105"/>
      <c r="O118" s="105"/>
    </row>
    <row r="119" spans="3:15" hidden="1" outlineLevel="1">
      <c r="C119" s="51" t="s">
        <v>224</v>
      </c>
      <c r="D119" s="20"/>
      <c r="E119" s="20"/>
      <c r="F119" s="20"/>
      <c r="G119" s="62"/>
      <c r="H119" s="20"/>
      <c r="I119" s="20"/>
      <c r="J119" s="20"/>
      <c r="K119" s="106"/>
      <c r="L119" s="106"/>
      <c r="M119" s="106"/>
      <c r="N119" s="106"/>
      <c r="O119" s="106"/>
    </row>
    <row r="120" spans="3:15" hidden="1" outlineLevel="1">
      <c r="C120" s="53" t="s">
        <v>225</v>
      </c>
      <c r="D120" s="75" t="str">
        <f t="shared" ref="D120:D123" si="49">$D$5</f>
        <v>VDO 2023-24 - Final</v>
      </c>
      <c r="E120" s="20" t="s">
        <v>190</v>
      </c>
      <c r="F120" s="75" t="str">
        <f>INDEX(Inputs!$C$10:$Y$10,1,MATCH($D120,Inputs!$C$8:$Y$8,0))</f>
        <v>F-NextVDO_Input</v>
      </c>
      <c r="G120" s="20"/>
      <c r="H120" s="20" t="s">
        <v>103</v>
      </c>
      <c r="I120" s="20" t="s">
        <v>226</v>
      </c>
      <c r="J120" s="53" t="s">
        <v>65</v>
      </c>
      <c r="K120" s="60" cm="1">
        <f t="array" ref="K120">IFERROR(INDEX(Input_ForRateCalc[],MATCH($C120&amp;" - "&amp;K$103,Input_ForRateCalc[[Cost item]:[Cost item]],0),MATCH(Calc_TUV_Net_1[[#This Row],[Decision ref]:[Decision ref]],Input_ForRateCalc[#Headers],0)),"-")</f>
        <v>13.09807741874299</v>
      </c>
      <c r="L120" s="60" t="str" cm="1">
        <f t="array" ref="L120">IFERROR(INDEX(Input_ForRateCalc[],MATCH($C120&amp;" - "&amp;L$103,Input_ForRateCalc[[Cost item]:[Cost item]],0),MATCH(Calc_TUV_Net_1[[#This Row],[Decision ref]:[Decision ref]],Input_ForRateCalc[#Headers],0)),"-")</f>
        <v>-</v>
      </c>
      <c r="M120" s="60" t="str" cm="1">
        <f t="array" ref="M120">IFERROR(INDEX(Input_ForRateCalc[],MATCH($C120&amp;" - "&amp;M$103,Input_ForRateCalc[[Cost item]:[Cost item]],0),MATCH(Calc_TUV_Net_1[[#This Row],[Decision ref]:[Decision ref]],Input_ForRateCalc[#Headers],0)),"-")</f>
        <v>-</v>
      </c>
      <c r="N120" s="60" t="str" cm="1">
        <f t="array" ref="N120">IFERROR(INDEX(Input_ForRateCalc[],MATCH($C120&amp;" - "&amp;N$103,Input_ForRateCalc[[Cost item]:[Cost item]],0),MATCH(Calc_TUV_Net_1[[#This Row],[Decision ref]:[Decision ref]],Input_ForRateCalc[#Headers],0)),"-")</f>
        <v>-</v>
      </c>
      <c r="O120" s="60" t="str" cm="1">
        <f t="array" ref="O120">IFERROR(INDEX(Input_ForRateCalc[],MATCH($C120&amp;" - "&amp;O$103,Input_ForRateCalc[[Cost item]:[Cost item]],0),MATCH(Calc_TUV_Net_1[[#This Row],[Decision ref]:[Decision ref]],Input_ForRateCalc[#Headers],0)),"-")</f>
        <v>-</v>
      </c>
    </row>
    <row r="121" spans="3:15" hidden="1" outlineLevel="1">
      <c r="C121" s="53" t="s">
        <v>227</v>
      </c>
      <c r="D121" s="75" t="str">
        <f t="shared" si="49"/>
        <v>VDO 2023-24 - Final</v>
      </c>
      <c r="E121" s="20" t="s">
        <v>190</v>
      </c>
      <c r="F121" s="75" t="str">
        <f>INDEX(Inputs!$C$10:$Y$10,1,MATCH($D121,Inputs!$C$8:$Y$8,0))</f>
        <v>F-NextVDO_Input</v>
      </c>
      <c r="G121" s="62"/>
      <c r="H121" s="20" t="s">
        <v>103</v>
      </c>
      <c r="I121" s="20" t="s">
        <v>226</v>
      </c>
      <c r="J121" s="53" t="s">
        <v>65</v>
      </c>
      <c r="K121" s="60" cm="1">
        <f t="array" ref="K121">IFERROR(INDEX(Input_ForRateCalc[],MATCH($C121&amp;" - "&amp;K$103,Input_ForRateCalc[[Cost item]:[Cost item]],0),MATCH(Calc_TUV_Net_1[[#This Row],[Decision ref]:[Decision ref]],Input_ForRateCalc[#Headers],0)),"-")</f>
        <v>13.989069468735993</v>
      </c>
      <c r="L121" s="60" t="str" cm="1">
        <f t="array" ref="L121">IFERROR(INDEX(Input_ForRateCalc[],MATCH($C121&amp;" - "&amp;L$103,Input_ForRateCalc[[Cost item]:[Cost item]],0),MATCH(Calc_TUV_Net_1[[#This Row],[Decision ref]:[Decision ref]],Input_ForRateCalc[#Headers],0)),"-")</f>
        <v>-</v>
      </c>
      <c r="M121" s="60" t="str" cm="1">
        <f t="array" ref="M121">IFERROR(INDEX(Input_ForRateCalc[],MATCH($C121&amp;" - "&amp;M$103,Input_ForRateCalc[[Cost item]:[Cost item]],0),MATCH(Calc_TUV_Net_1[[#This Row],[Decision ref]:[Decision ref]],Input_ForRateCalc[#Headers],0)),"-")</f>
        <v>-</v>
      </c>
      <c r="N121" s="60" t="str" cm="1">
        <f t="array" ref="N121">IFERROR(INDEX(Input_ForRateCalc[],MATCH($C121&amp;" - "&amp;N$103,Input_ForRateCalc[[Cost item]:[Cost item]],0),MATCH(Calc_TUV_Net_1[[#This Row],[Decision ref]:[Decision ref]],Input_ForRateCalc[#Headers],0)),"-")</f>
        <v>-</v>
      </c>
      <c r="O121" s="60" t="str" cm="1">
        <f t="array" ref="O121">IFERROR(INDEX(Input_ForRateCalc[],MATCH($C121&amp;" - "&amp;O$103,Input_ForRateCalc[[Cost item]:[Cost item]],0),MATCH(Calc_TUV_Net_1[[#This Row],[Decision ref]:[Decision ref]],Input_ForRateCalc[#Headers],0)),"-")</f>
        <v>-</v>
      </c>
    </row>
    <row r="122" spans="3:15" hidden="1" outlineLevel="1">
      <c r="C122" s="53" t="s">
        <v>228</v>
      </c>
      <c r="D122" s="75" t="str">
        <f t="shared" si="49"/>
        <v>VDO 2023-24 - Final</v>
      </c>
      <c r="E122" s="20" t="s">
        <v>190</v>
      </c>
      <c r="F122" s="75" t="str">
        <f>INDEX(Inputs!$C$10:$Y$10,1,MATCH($D122,Inputs!$C$8:$Y$8,0))</f>
        <v>F-NextVDO_Input</v>
      </c>
      <c r="G122" s="52"/>
      <c r="H122" s="20" t="s">
        <v>103</v>
      </c>
      <c r="I122" s="20" t="s">
        <v>226</v>
      </c>
      <c r="J122" s="53" t="s">
        <v>65</v>
      </c>
      <c r="K122" s="60" t="str" cm="1">
        <f t="array" ref="K122">IFERROR(INDEX(Input_ForRateCalc[],MATCH($C122&amp;" - "&amp;K$103,Input_ForRateCalc[[Cost item]:[Cost item]],0),MATCH(Calc_TUV_Net_1[[#This Row],[Decision ref]:[Decision ref]],Input_ForRateCalc[#Headers],0)),"-")</f>
        <v>-</v>
      </c>
      <c r="L122" s="60" cm="1">
        <f t="array" ref="L122">IFERROR(INDEX(Input_ForRateCalc[],MATCH($C122&amp;" - "&amp;L$103,Input_ForRateCalc[[Cost item]:[Cost item]],0),MATCH(Calc_TUV_Net_1[[#This Row],[Decision ref]:[Decision ref]],Input_ForRateCalc[#Headers],0)),"-")</f>
        <v>7.37</v>
      </c>
      <c r="M122" s="60" cm="1">
        <f t="array" ref="M122">IFERROR(INDEX(Input_ForRateCalc[],MATCH($C122&amp;" - "&amp;M$103,Input_ForRateCalc[[Cost item]:[Cost item]],0),MATCH(Calc_TUV_Net_1[[#This Row],[Decision ref]:[Decision ref]],Input_ForRateCalc[#Headers],0)),"-")</f>
        <v>8.9770000000000003</v>
      </c>
      <c r="N122" s="60" cm="1">
        <f t="array" ref="N122">IFERROR(INDEX(Input_ForRateCalc[],MATCH($C122&amp;" - "&amp;N$103,Input_ForRateCalc[[Cost item]:[Cost item]],0),MATCH(Calc_TUV_Net_1[[#This Row],[Decision ref]:[Decision ref]],Input_ForRateCalc[#Headers],0)),"-")</f>
        <v>8.77</v>
      </c>
      <c r="O122" s="60" cm="1">
        <f t="array" ref="O122">IFERROR(INDEX(Input_ForRateCalc[],MATCH($C122&amp;" - "&amp;O$103,Input_ForRateCalc[[Cost item]:[Cost item]],0),MATCH(Calc_TUV_Net_1[[#This Row],[Decision ref]:[Decision ref]],Input_ForRateCalc[#Headers],0)),"-")</f>
        <v>8.5400000000000009</v>
      </c>
    </row>
    <row r="123" spans="3:15" hidden="1" outlineLevel="1">
      <c r="C123" s="53" t="s">
        <v>191</v>
      </c>
      <c r="D123" s="75" t="str">
        <f t="shared" si="49"/>
        <v>VDO 2023-24 - Final</v>
      </c>
      <c r="E123" s="20" t="s">
        <v>190</v>
      </c>
      <c r="F123" s="75" t="str">
        <f>INDEX(Inputs!$C$10:$Y$10,1,MATCH($D123,Inputs!$C$8:$Y$8,0))</f>
        <v>F-NextVDO_Input</v>
      </c>
      <c r="G123" s="52"/>
      <c r="H123" s="20" t="s">
        <v>103</v>
      </c>
      <c r="I123" s="20" t="s">
        <v>64</v>
      </c>
      <c r="J123" s="53" t="s">
        <v>65</v>
      </c>
      <c r="K123" s="61">
        <f>SUM(
IFERROR(K120/100*SUMIFS(INDEX(TUNet_Usage_PerRate_1[],0,MATCH(K$103,TUNet_Usage_PerRate_1[#Headers],0)),TUNet_Usage_PerRate_1[Customer type],Calc_TUV_Net_1[[#This Row],[Customer type]],TUNet_Usage_PerRate_1[Description],"Usage per customer - Block 1"),0),
IFERROR(K121/100*SUMIFS(INDEX(TUNet_Usage_PerRate_1[],0,MATCH(K$103,TUNet_Usage_PerRate_1[#Headers],0)),TUNet_Usage_PerRate_1[Customer type],Calc_TUV_Net_1[[#This Row],[Customer type]],TUNet_Usage_PerRate_1[Description],"Usage per customer - Balance"),0),
IFERROR(K122/100*SUMIFS(INDEX(TUNet_Usage_PerRate_1[],0,MATCH(K$103,TUNet_Usage_PerRate_1[#Headers],0)),TUNet_Usage_PerRate_1[Customer type],Calc_TUV_Net_1[[#This Row],[Customer type]],TUNet_Usage_PerRate_1[Description],"Usage per customer - Single rate"),0))</f>
        <v>0</v>
      </c>
      <c r="L123" s="61">
        <f>SUM(
IFERROR(L120/100*SUMIFS(INDEX(TUNet_Usage_PerRate_1[],0,MATCH(L$103,TUNet_Usage_PerRate_1[#Headers],0)),TUNet_Usage_PerRate_1[Customer type],Calc_TUV_Net_1[[#This Row],[Customer type]],TUNet_Usage_PerRate_1[Description],"Usage per customer - Block 1"),0),
IFERROR(L121/100*SUMIFS(INDEX(TUNet_Usage_PerRate_1[],0,MATCH(L$103,TUNet_Usage_PerRate_1[#Headers],0)),TUNet_Usage_PerRate_1[Customer type],Calc_TUV_Net_1[[#This Row],[Customer type]],TUNet_Usage_PerRate_1[Description],"Usage per customer - Balance"),0),
IFERROR(L122/100*SUMIFS(INDEX(TUNet_Usage_PerRate_1[],0,MATCH(L$103,TUNet_Usage_PerRate_1[#Headers],0)),TUNet_Usage_PerRate_1[Customer type],Calc_TUV_Net_1[[#This Row],[Customer type]],TUNet_Usage_PerRate_1[Description],"Usage per customer - Single rate"),0))</f>
        <v>0</v>
      </c>
      <c r="M123" s="61">
        <f>SUM(
IFERROR(M120/100*SUMIFS(INDEX(TUNet_Usage_PerRate_1[],0,MATCH(M$103,TUNet_Usage_PerRate_1[#Headers],0)),TUNet_Usage_PerRate_1[Customer type],Calc_TUV_Net_1[[#This Row],[Customer type]],TUNet_Usage_PerRate_1[Description],"Usage per customer - Block 1"),0),
IFERROR(M121/100*SUMIFS(INDEX(TUNet_Usage_PerRate_1[],0,MATCH(M$103,TUNet_Usage_PerRate_1[#Headers],0)),TUNet_Usage_PerRate_1[Customer type],Calc_TUV_Net_1[[#This Row],[Customer type]],TUNet_Usage_PerRate_1[Description],"Usage per customer - Balance"),0),
IFERROR(M122/100*SUMIFS(INDEX(TUNet_Usage_PerRate_1[],0,MATCH(M$103,TUNet_Usage_PerRate_1[#Headers],0)),TUNet_Usage_PerRate_1[Customer type],Calc_TUV_Net_1[[#This Row],[Customer type]],TUNet_Usage_PerRate_1[Description],"Usage per customer - Single rate"),0))</f>
        <v>0</v>
      </c>
      <c r="N123" s="61">
        <f>SUM(
IFERROR(N120/100*SUMIFS(INDEX(TUNet_Usage_PerRate_1[],0,MATCH(N$103,TUNet_Usage_PerRate_1[#Headers],0)),TUNet_Usage_PerRate_1[Customer type],Calc_TUV_Net_1[[#This Row],[Customer type]],TUNet_Usage_PerRate_1[Description],"Usage per customer - Block 1"),0),
IFERROR(N121/100*SUMIFS(INDEX(TUNet_Usage_PerRate_1[],0,MATCH(N$103,TUNet_Usage_PerRate_1[#Headers],0)),TUNet_Usage_PerRate_1[Customer type],Calc_TUV_Net_1[[#This Row],[Customer type]],TUNet_Usage_PerRate_1[Description],"Usage per customer - Balance"),0),
IFERROR(N122/100*SUMIFS(INDEX(TUNet_Usage_PerRate_1[],0,MATCH(N$103,TUNet_Usage_PerRate_1[#Headers],0)),TUNet_Usage_PerRate_1[Customer type],Calc_TUV_Net_1[[#This Row],[Customer type]],TUNet_Usage_PerRate_1[Description],"Usage per customer - Single rate"),0))</f>
        <v>0</v>
      </c>
      <c r="O123" s="61">
        <f>SUM(
IFERROR(O120/100*SUMIFS(INDEX(TUNet_Usage_PerRate_1[],0,MATCH(O$103,TUNet_Usage_PerRate_1[#Headers],0)),TUNet_Usage_PerRate_1[Customer type],Calc_TUV_Net_1[[#This Row],[Customer type]],TUNet_Usage_PerRate_1[Description],"Usage per customer - Block 1"),0),
IFERROR(O121/100*SUMIFS(INDEX(TUNet_Usage_PerRate_1[],0,MATCH(O$103,TUNet_Usage_PerRate_1[#Headers],0)),TUNet_Usage_PerRate_1[Customer type],Calc_TUV_Net_1[[#This Row],[Customer type]],TUNet_Usage_PerRate_1[Description],"Usage per customer - Balance"),0),
IFERROR(O122/100*SUMIFS(INDEX(TUNet_Usage_PerRate_1[],0,MATCH(O$103,TUNet_Usage_PerRate_1[#Headers],0)),TUNet_Usage_PerRate_1[Customer type],Calc_TUV_Net_1[[#This Row],[Customer type]],TUNet_Usage_PerRate_1[Description],"Usage per customer - Single rate"),0))</f>
        <v>0</v>
      </c>
    </row>
    <row r="124" spans="3:15" hidden="1" outlineLevel="1">
      <c r="C124" s="53" t="s">
        <v>225</v>
      </c>
      <c r="D124" s="75" t="str">
        <f>INDEX(Input_DecisionActual[[Decision]:[Decision]],MATCH($D$5,Input_DecisionActual[[VDO period]:[VDO period]],0),1)</f>
        <v>VDO 2022-23 - Final</v>
      </c>
      <c r="E124" s="20" t="s">
        <v>192</v>
      </c>
      <c r="F124" s="75" t="str">
        <f>IF($D124="-","-",INDEX(Inputs!$C$10:$Y$10,1,MATCH($D124,Inputs!$C$8:$Y$8,0)))</f>
        <v>F-CurrentVDO_Input</v>
      </c>
      <c r="G124" s="52"/>
      <c r="H124" s="20" t="s">
        <v>103</v>
      </c>
      <c r="I124" s="20" t="s">
        <v>226</v>
      </c>
      <c r="J124" s="53" t="s">
        <v>65</v>
      </c>
      <c r="K124" s="60" cm="1">
        <f t="array" ref="K124">IFERROR(INDEX(Input_ForRateCalc[],MATCH($C124&amp;" - "&amp;K$103,Input_ForRateCalc[[Cost item]:[Cost item]],0),MATCH(Calc_TUV_Net_1[[#This Row],[Decision ref]:[Decision ref]],Input_ForRateCalc[#Headers],0)),"-")</f>
        <v>12.7212</v>
      </c>
      <c r="L124" s="60" t="str" cm="1">
        <f t="array" ref="L124">IFERROR(INDEX(Input_ForRateCalc[],MATCH($C124&amp;" - "&amp;L$103,Input_ForRateCalc[[Cost item]:[Cost item]],0),MATCH(Calc_TUV_Net_1[[#This Row],[Decision ref]:[Decision ref]],Input_ForRateCalc[#Headers],0)),"-")</f>
        <v>-</v>
      </c>
      <c r="M124" s="60" t="str" cm="1">
        <f t="array" ref="M124">IFERROR(INDEX(Input_ForRateCalc[],MATCH($C124&amp;" - "&amp;M$103,Input_ForRateCalc[[Cost item]:[Cost item]],0),MATCH(Calc_TUV_Net_1[[#This Row],[Decision ref]:[Decision ref]],Input_ForRateCalc[#Headers],0)),"-")</f>
        <v>-</v>
      </c>
      <c r="N124" s="60" t="str" cm="1">
        <f t="array" ref="N124">IFERROR(INDEX(Input_ForRateCalc[],MATCH($C124&amp;" - "&amp;N$103,Input_ForRateCalc[[Cost item]:[Cost item]],0),MATCH(Calc_TUV_Net_1[[#This Row],[Decision ref]:[Decision ref]],Input_ForRateCalc[#Headers],0)),"-")</f>
        <v>-</v>
      </c>
      <c r="O124" s="60" t="str" cm="1">
        <f t="array" ref="O124">IFERROR(INDEX(Input_ForRateCalc[],MATCH($C124&amp;" - "&amp;O$103,Input_ForRateCalc[[Cost item]:[Cost item]],0),MATCH(Calc_TUV_Net_1[[#This Row],[Decision ref]:[Decision ref]],Input_ForRateCalc[#Headers],0)),"-")</f>
        <v>-</v>
      </c>
    </row>
    <row r="125" spans="3:15" hidden="1" outlineLevel="1">
      <c r="C125" s="53" t="s">
        <v>227</v>
      </c>
      <c r="D125" s="75" t="str">
        <f>INDEX(Input_DecisionActual[[Decision]:[Decision]],MATCH($D$5,Input_DecisionActual[[VDO period]:[VDO period]],0),1)</f>
        <v>VDO 2022-23 - Final</v>
      </c>
      <c r="E125" s="20" t="s">
        <v>192</v>
      </c>
      <c r="F125" s="75" t="str">
        <f>IF($D125="-","-",INDEX(Inputs!$C$10:$Y$10,1,MATCH($D125,Inputs!$C$8:$Y$8,0)))</f>
        <v>F-CurrentVDO_Input</v>
      </c>
      <c r="G125" s="52"/>
      <c r="H125" s="20" t="s">
        <v>103</v>
      </c>
      <c r="I125" s="20" t="s">
        <v>226</v>
      </c>
      <c r="J125" s="53" t="s">
        <v>65</v>
      </c>
      <c r="K125" s="60" cm="1">
        <f t="array" ref="K125">IFERROR(INDEX(Input_ForRateCalc[],MATCH($C125&amp;" - "&amp;K$103,Input_ForRateCalc[[Cost item]:[Cost item]],0),MATCH(Calc_TUV_Net_1[[#This Row],[Decision ref]:[Decision ref]],Input_ForRateCalc[#Headers],0)),"-")</f>
        <v>14.2392</v>
      </c>
      <c r="L125" s="60" t="str" cm="1">
        <f t="array" ref="L125">IFERROR(INDEX(Input_ForRateCalc[],MATCH($C125&amp;" - "&amp;L$103,Input_ForRateCalc[[Cost item]:[Cost item]],0),MATCH(Calc_TUV_Net_1[[#This Row],[Decision ref]:[Decision ref]],Input_ForRateCalc[#Headers],0)),"-")</f>
        <v>-</v>
      </c>
      <c r="M125" s="60" t="str" cm="1">
        <f t="array" ref="M125">IFERROR(INDEX(Input_ForRateCalc[],MATCH($C125&amp;" - "&amp;M$103,Input_ForRateCalc[[Cost item]:[Cost item]],0),MATCH(Calc_TUV_Net_1[[#This Row],[Decision ref]:[Decision ref]],Input_ForRateCalc[#Headers],0)),"-")</f>
        <v>-</v>
      </c>
      <c r="N125" s="60" t="str" cm="1">
        <f t="array" ref="N125">IFERROR(INDEX(Input_ForRateCalc[],MATCH($C125&amp;" - "&amp;N$103,Input_ForRateCalc[[Cost item]:[Cost item]],0),MATCH(Calc_TUV_Net_1[[#This Row],[Decision ref]:[Decision ref]],Input_ForRateCalc[#Headers],0)),"-")</f>
        <v>-</v>
      </c>
      <c r="O125" s="60" t="str" cm="1">
        <f t="array" ref="O125">IFERROR(INDEX(Input_ForRateCalc[],MATCH($C125&amp;" - "&amp;O$103,Input_ForRateCalc[[Cost item]:[Cost item]],0),MATCH(Calc_TUV_Net_1[[#This Row],[Decision ref]:[Decision ref]],Input_ForRateCalc[#Headers],0)),"-")</f>
        <v>-</v>
      </c>
    </row>
    <row r="126" spans="3:15" hidden="1" outlineLevel="1">
      <c r="C126" s="53" t="s">
        <v>228</v>
      </c>
      <c r="D126" s="75" t="str">
        <f>INDEX(Input_DecisionActual[[Decision]:[Decision]],MATCH($D$5,Input_DecisionActual[[VDO period]:[VDO period]],0),1)</f>
        <v>VDO 2022-23 - Final</v>
      </c>
      <c r="E126" s="20" t="s">
        <v>192</v>
      </c>
      <c r="F126" s="75" t="str">
        <f>IF($D126="-","-",INDEX(Inputs!$C$10:$Y$10,1,MATCH($D126,Inputs!$C$8:$Y$8,0)))</f>
        <v>F-CurrentVDO_Input</v>
      </c>
      <c r="G126" s="52"/>
      <c r="H126" s="20" t="s">
        <v>103</v>
      </c>
      <c r="I126" s="20" t="s">
        <v>226</v>
      </c>
      <c r="J126" s="53" t="s">
        <v>65</v>
      </c>
      <c r="K126" s="60" t="str" cm="1">
        <f t="array" ref="K126">IFERROR(INDEX(Input_ForRateCalc[],MATCH($C126&amp;" - "&amp;K$103,Input_ForRateCalc[[Cost item]:[Cost item]],0),MATCH(Calc_TUV_Net_1[[#This Row],[Decision ref]:[Decision ref]],Input_ForRateCalc[#Headers],0)),"-")</f>
        <v>-</v>
      </c>
      <c r="L126" s="60" cm="1">
        <f t="array" ref="L126">IFERROR(INDEX(Input_ForRateCalc[],MATCH($C126&amp;" - "&amp;L$103,Input_ForRateCalc[[Cost item]:[Cost item]],0),MATCH(Calc_TUV_Net_1[[#This Row],[Decision ref]:[Decision ref]],Input_ForRateCalc[#Headers],0)),"-")</f>
        <v>7.4</v>
      </c>
      <c r="M126" s="60" cm="1">
        <f t="array" ref="M126">IFERROR(INDEX(Input_ForRateCalc[],MATCH($C126&amp;" - "&amp;M$103,Input_ForRateCalc[[Cost item]:[Cost item]],0),MATCH(Calc_TUV_Net_1[[#This Row],[Decision ref]:[Decision ref]],Input_ForRateCalc[#Headers],0)),"-")</f>
        <v>8.2509999999999994</v>
      </c>
      <c r="N126" s="60" cm="1">
        <f t="array" ref="N126">IFERROR(INDEX(Input_ForRateCalc[],MATCH($C126&amp;" - "&amp;N$103,Input_ForRateCalc[[Cost item]:[Cost item]],0),MATCH(Calc_TUV_Net_1[[#This Row],[Decision ref]:[Decision ref]],Input_ForRateCalc[#Headers],0)),"-")</f>
        <v>8.15</v>
      </c>
      <c r="O126" s="60" cm="1">
        <f t="array" ref="O126">IFERROR(INDEX(Input_ForRateCalc[],MATCH($C126&amp;" - "&amp;O$103,Input_ForRateCalc[[Cost item]:[Cost item]],0),MATCH(Calc_TUV_Net_1[[#This Row],[Decision ref]:[Decision ref]],Input_ForRateCalc[#Headers],0)),"-")</f>
        <v>8.3000000000000007</v>
      </c>
    </row>
    <row r="127" spans="3:15" hidden="1" outlineLevel="1">
      <c r="C127" s="53" t="s">
        <v>191</v>
      </c>
      <c r="D127" s="75" t="str">
        <f>INDEX(Input_DecisionActual[[Decision]:[Decision]],MATCH($D$5,Input_DecisionActual[[VDO period]:[VDO period]],0),1)</f>
        <v>VDO 2022-23 - Final</v>
      </c>
      <c r="E127" s="20" t="s">
        <v>192</v>
      </c>
      <c r="F127" s="75" t="str">
        <f>IF($D127="-","-",INDEX(Inputs!$C$10:$Y$10,1,MATCH($D127,Inputs!$C$8:$Y$8,0)))</f>
        <v>F-CurrentVDO_Input</v>
      </c>
      <c r="G127" s="52"/>
      <c r="H127" s="20" t="s">
        <v>103</v>
      </c>
      <c r="I127" s="20" t="s">
        <v>64</v>
      </c>
      <c r="J127" s="53" t="s">
        <v>65</v>
      </c>
      <c r="K127" s="61">
        <f>SUM(
IFERROR(K124/100*SUMIFS(INDEX(TUNet_Usage_PerRate_1[],0,MATCH(K$103,TUNet_Usage_PerRate_1[#Headers],0)),TUNet_Usage_PerRate_1[Customer type],Calc_TUV_Net_1[[#This Row],[Customer type]],TUNet_Usage_PerRate_1[Description],"Usage per customer - Block 1"),0),
IFERROR(K125/100*SUMIFS(INDEX(TUNet_Usage_PerRate_1[],0,MATCH(K$103,TUNet_Usage_PerRate_1[#Headers],0)),TUNet_Usage_PerRate_1[Customer type],Calc_TUV_Net_1[[#This Row],[Customer type]],TUNet_Usage_PerRate_1[Description],"Usage per customer - Balance"),0),
IFERROR(K126/100*SUMIFS(INDEX(TUNet_Usage_PerRate_1[],0,MATCH(K$103,TUNet_Usage_PerRate_1[#Headers],0)),TUNet_Usage_PerRate_1[Customer type],Calc_TUV_Net_1[[#This Row],[Customer type]],TUNet_Usage_PerRate_1[Description],"Usage per customer - Single rate"),0))</f>
        <v>0</v>
      </c>
      <c r="L127" s="61">
        <f>SUM(
IFERROR(L124/100*SUMIFS(INDEX(TUNet_Usage_PerRate_1[],0,MATCH(L$103,TUNet_Usage_PerRate_1[#Headers],0)),TUNet_Usage_PerRate_1[Customer type],Calc_TUV_Net_1[[#This Row],[Customer type]],TUNet_Usage_PerRate_1[Description],"Usage per customer - Block 1"),0),
IFERROR(L125/100*SUMIFS(INDEX(TUNet_Usage_PerRate_1[],0,MATCH(L$103,TUNet_Usage_PerRate_1[#Headers],0)),TUNet_Usage_PerRate_1[Customer type],Calc_TUV_Net_1[[#This Row],[Customer type]],TUNet_Usage_PerRate_1[Description],"Usage per customer - Balance"),0),
IFERROR(L126/100*SUMIFS(INDEX(TUNet_Usage_PerRate_1[],0,MATCH(L$103,TUNet_Usage_PerRate_1[#Headers],0)),TUNet_Usage_PerRate_1[Customer type],Calc_TUV_Net_1[[#This Row],[Customer type]],TUNet_Usage_PerRate_1[Description],"Usage per customer - Single rate"),0))</f>
        <v>0</v>
      </c>
      <c r="M127" s="61">
        <f>SUM(
IFERROR(M124/100*SUMIFS(INDEX(TUNet_Usage_PerRate_1[],0,MATCH(M$103,TUNet_Usage_PerRate_1[#Headers],0)),TUNet_Usage_PerRate_1[Customer type],Calc_TUV_Net_1[[#This Row],[Customer type]],TUNet_Usage_PerRate_1[Description],"Usage per customer - Block 1"),0),
IFERROR(M125/100*SUMIFS(INDEX(TUNet_Usage_PerRate_1[],0,MATCH(M$103,TUNet_Usage_PerRate_1[#Headers],0)),TUNet_Usage_PerRate_1[Customer type],Calc_TUV_Net_1[[#This Row],[Customer type]],TUNet_Usage_PerRate_1[Description],"Usage per customer - Balance"),0),
IFERROR(M126/100*SUMIFS(INDEX(TUNet_Usage_PerRate_1[],0,MATCH(M$103,TUNet_Usage_PerRate_1[#Headers],0)),TUNet_Usage_PerRate_1[Customer type],Calc_TUV_Net_1[[#This Row],[Customer type]],TUNet_Usage_PerRate_1[Description],"Usage per customer - Single rate"),0))</f>
        <v>0</v>
      </c>
      <c r="N127" s="61">
        <f>SUM(
IFERROR(N124/100*SUMIFS(INDEX(TUNet_Usage_PerRate_1[],0,MATCH(N$103,TUNet_Usage_PerRate_1[#Headers],0)),TUNet_Usage_PerRate_1[Customer type],Calc_TUV_Net_1[[#This Row],[Customer type]],TUNet_Usage_PerRate_1[Description],"Usage per customer - Block 1"),0),
IFERROR(N125/100*SUMIFS(INDEX(TUNet_Usage_PerRate_1[],0,MATCH(N$103,TUNet_Usage_PerRate_1[#Headers],0)),TUNet_Usage_PerRate_1[Customer type],Calc_TUV_Net_1[[#This Row],[Customer type]],TUNet_Usage_PerRate_1[Description],"Usage per customer - Balance"),0),
IFERROR(N126/100*SUMIFS(INDEX(TUNet_Usage_PerRate_1[],0,MATCH(N$103,TUNet_Usage_PerRate_1[#Headers],0)),TUNet_Usage_PerRate_1[Customer type],Calc_TUV_Net_1[[#This Row],[Customer type]],TUNet_Usage_PerRate_1[Description],"Usage per customer - Single rate"),0))</f>
        <v>0</v>
      </c>
      <c r="O127" s="61">
        <f>SUM(
IFERROR(O124/100*SUMIFS(INDEX(TUNet_Usage_PerRate_1[],0,MATCH(O$103,TUNet_Usage_PerRate_1[#Headers],0)),TUNet_Usage_PerRate_1[Customer type],Calc_TUV_Net_1[[#This Row],[Customer type]],TUNet_Usage_PerRate_1[Description],"Usage per customer - Block 1"),0),
IFERROR(O125/100*SUMIFS(INDEX(TUNet_Usage_PerRate_1[],0,MATCH(O$103,TUNet_Usage_PerRate_1[#Headers],0)),TUNet_Usage_PerRate_1[Customer type],Calc_TUV_Net_1[[#This Row],[Customer type]],TUNet_Usage_PerRate_1[Description],"Usage per customer - Balance"),0),
IFERROR(O126/100*SUMIFS(INDEX(TUNet_Usage_PerRate_1[],0,MATCH(O$103,TUNet_Usage_PerRate_1[#Headers],0)),TUNet_Usage_PerRate_1[Customer type],Calc_TUV_Net_1[[#This Row],[Customer type]],TUNet_Usage_PerRate_1[Description],"Usage per customer - Single rate"),0))</f>
        <v>0</v>
      </c>
    </row>
    <row r="128" spans="3:15" hidden="1" outlineLevel="1">
      <c r="C128" s="53" t="s">
        <v>193</v>
      </c>
      <c r="D128" s="20"/>
      <c r="E128" s="20"/>
      <c r="F128" s="20"/>
      <c r="G128" s="20"/>
      <c r="H128" s="20" t="s">
        <v>103</v>
      </c>
      <c r="I128" s="20" t="s">
        <v>64</v>
      </c>
      <c r="J128" s="53" t="s">
        <v>65</v>
      </c>
      <c r="K128" s="59" t="str">
        <f>IF(K127=0,"-",K123-K127)</f>
        <v>-</v>
      </c>
      <c r="L128" s="59" t="str">
        <f t="shared" ref="L128:O128" si="50">IF(L127=0,"-",L123-L127)</f>
        <v>-</v>
      </c>
      <c r="M128" s="59" t="str">
        <f t="shared" si="50"/>
        <v>-</v>
      </c>
      <c r="N128" s="59" t="str">
        <f t="shared" si="50"/>
        <v>-</v>
      </c>
      <c r="O128" s="59" t="str">
        <f t="shared" si="50"/>
        <v>-</v>
      </c>
    </row>
    <row r="129" spans="3:15" hidden="1" outlineLevel="1">
      <c r="C129" s="53" t="s">
        <v>180</v>
      </c>
      <c r="D129" s="20"/>
      <c r="E129" s="20"/>
      <c r="F129" s="20"/>
      <c r="G129" s="20"/>
      <c r="H129" s="20" t="s">
        <v>103</v>
      </c>
      <c r="I129" s="20" t="s">
        <v>64</v>
      </c>
      <c r="J129" s="53" t="s">
        <v>65</v>
      </c>
      <c r="K129" s="60" t="str">
        <f>IFERROR(IF($D$11="Yes",K128*(1+WACC_adj_1),""),"-")</f>
        <v/>
      </c>
      <c r="L129" s="60" t="str">
        <f>IFERROR(IF($D$11="Yes",L128*(1+WACC_adj_1),""),"-")</f>
        <v/>
      </c>
      <c r="M129" s="60" t="str">
        <f>IFERROR(IF($D$11="Yes",M128*(1+WACC_adj_1),""),"-")</f>
        <v/>
      </c>
      <c r="N129" s="60" t="str">
        <f>IFERROR(IF($D$11="Yes",N128*(1+WACC_adj_1),""),"-")</f>
        <v/>
      </c>
      <c r="O129" s="60" t="str">
        <f>IFERROR(IF($D$11="Yes",O128*(1+WACC_adj_1),""),"-")</f>
        <v/>
      </c>
    </row>
    <row r="130" spans="3:15" hidden="1" outlineLevel="1">
      <c r="C130" s="53" t="s">
        <v>195</v>
      </c>
      <c r="D130" s="75" t="str">
        <f>INDEX(Input_DecisionActual[[Decision]:[Decision]],MATCH($D$5,Input_DecisionActual[[VDO period]:[VDO period]],0),1)</f>
        <v>VDO 2022-23 - Final</v>
      </c>
      <c r="E130" s="20" t="s">
        <v>192</v>
      </c>
      <c r="F130" s="75" t="str">
        <f>IF($D130="-","-",INDEX(Inputs!$C$10:$Y$10,1,MATCH($D130,Inputs!$C$8:$Y$8,0)))</f>
        <v>F-CurrentVDO_Input</v>
      </c>
      <c r="G130" s="20"/>
      <c r="H130" s="20" t="s">
        <v>103</v>
      </c>
      <c r="I130" s="20" t="s">
        <v>64</v>
      </c>
      <c r="J130" s="53" t="s">
        <v>65</v>
      </c>
      <c r="K130" s="60" cm="1">
        <f t="array" ref="K130">IFERROR(SUM(K128:K129)*(INDEX(Inputs!$H$11:$U$134,MATCH("Retail operating margin",Input_ForRateCalc[[Cost item]:[Cost item]],0),MATCH(Calc_TUV_Net_1[[#This Row],[Decision ref]:[Decision ref]],Inputs!$H$10:$U$10,0))),"-")</f>
        <v>0</v>
      </c>
      <c r="L130" s="60" cm="1">
        <f t="array" ref="L130">IFERROR(SUM(L128:L129)*(INDEX(Inputs!$H$11:$U$134,MATCH("Retail operating margin",Input_ForRateCalc[[Cost item]:[Cost item]],0),MATCH(Calc_TUV_Net_1[[#This Row],[Decision ref]:[Decision ref]],Inputs!$H$10:$U$10,0))),"-")</f>
        <v>0</v>
      </c>
      <c r="M130" s="60" cm="1">
        <f t="array" ref="M130">IFERROR(SUM(M128:M129)*(INDEX(Inputs!$H$11:$U$134,MATCH("Retail operating margin",Input_ForRateCalc[[Cost item]:[Cost item]],0),MATCH(Calc_TUV_Net_1[[#This Row],[Decision ref]:[Decision ref]],Inputs!$H$10:$U$10,0))),"-")</f>
        <v>0</v>
      </c>
      <c r="N130" s="60" cm="1">
        <f t="array" ref="N130">IFERROR(SUM(N128:N129)*(INDEX(Inputs!$H$11:$U$134,MATCH("Retail operating margin",Input_ForRateCalc[[Cost item]:[Cost item]],0),MATCH(Calc_TUV_Net_1[[#This Row],[Decision ref]:[Decision ref]],Inputs!$H$10:$U$10,0))),"-")</f>
        <v>0</v>
      </c>
      <c r="O130" s="60" cm="1">
        <f t="array" ref="O130">IFERROR(SUM(O128:O129)*(INDEX(Inputs!$H$11:$U$134,MATCH("Retail operating margin",Input_ForRateCalc[[Cost item]:[Cost item]],0),MATCH(Calc_TUV_Net_1[[#This Row],[Decision ref]:[Decision ref]],Inputs!$H$10:$U$10,0))),"-")</f>
        <v>0</v>
      </c>
    </row>
    <row r="131" spans="3:15" hidden="1" outlineLevel="1">
      <c r="C131" s="53" t="s">
        <v>196</v>
      </c>
      <c r="D131" s="20"/>
      <c r="E131" s="20"/>
      <c r="F131" s="20"/>
      <c r="G131" s="20"/>
      <c r="H131" s="20" t="s">
        <v>103</v>
      </c>
      <c r="I131" s="20" t="s">
        <v>64</v>
      </c>
      <c r="J131" s="53" t="s">
        <v>65</v>
      </c>
      <c r="K131" s="60" t="str">
        <f>IF(K127=0,"-",SUM(K128:K130)*GST)</f>
        <v>-</v>
      </c>
      <c r="L131" s="60" t="str">
        <f>IF(L127=0,"-",SUM(L128:L130)*GST)</f>
        <v>-</v>
      </c>
      <c r="M131" s="60" t="str">
        <f>IF(M127=0,"-",SUM(M128:M130)*GST)</f>
        <v>-</v>
      </c>
      <c r="N131" s="60" t="str">
        <f>IF(N127=0,"-",SUM(N128:N130)*GST)</f>
        <v>-</v>
      </c>
      <c r="O131" s="60" t="str">
        <f>IF(O127=0,"-",SUM(O128:O130)*GST)</f>
        <v>-</v>
      </c>
    </row>
    <row r="132" spans="3:15" hidden="1" outlineLevel="1">
      <c r="C132" s="53" t="s">
        <v>229</v>
      </c>
      <c r="D132" s="20"/>
      <c r="E132" s="20"/>
      <c r="F132" s="20"/>
      <c r="H132" s="20" t="s">
        <v>103</v>
      </c>
      <c r="I132" s="20" t="s">
        <v>64</v>
      </c>
      <c r="J132" s="53" t="s">
        <v>65</v>
      </c>
      <c r="K132" s="60" t="str">
        <f>IF(K127=0,"-",SUM(K128:K131))</f>
        <v>-</v>
      </c>
      <c r="L132" s="60" t="str">
        <f t="shared" ref="L132:O132" si="51">IF(L127=0,"-",SUM(L128:L131))</f>
        <v>-</v>
      </c>
      <c r="M132" s="60" t="str">
        <f t="shared" si="51"/>
        <v>-</v>
      </c>
      <c r="N132" s="60" t="str">
        <f t="shared" si="51"/>
        <v>-</v>
      </c>
      <c r="O132" s="60" t="str">
        <f t="shared" si="51"/>
        <v>-</v>
      </c>
    </row>
    <row r="133" spans="3:15" hidden="1" outlineLevel="1">
      <c r="C133" s="53"/>
      <c r="D133" s="20"/>
      <c r="E133" s="20"/>
      <c r="F133" s="20"/>
      <c r="G133" s="20"/>
      <c r="H133" s="20"/>
      <c r="I133" s="20"/>
      <c r="J133" s="20"/>
      <c r="K133" s="59"/>
      <c r="L133" s="59"/>
      <c r="M133" s="59"/>
      <c r="N133" s="59"/>
      <c r="O133" s="59"/>
    </row>
    <row r="134" spans="3:15" hidden="1" outlineLevel="1">
      <c r="C134" s="51" t="s">
        <v>230</v>
      </c>
      <c r="D134" s="20"/>
      <c r="E134" s="20"/>
      <c r="F134" s="20"/>
      <c r="G134" s="62" t="s">
        <v>181</v>
      </c>
      <c r="H134" s="20"/>
      <c r="I134" s="20"/>
      <c r="J134" s="20"/>
      <c r="K134" s="59"/>
      <c r="L134" s="59"/>
      <c r="M134" s="59"/>
      <c r="N134" s="59"/>
      <c r="O134" s="59"/>
    </row>
    <row r="135" spans="3:15" hidden="1" outlineLevel="1">
      <c r="C135" s="53" t="s">
        <v>231</v>
      </c>
      <c r="D135" s="75" t="str">
        <f t="shared" ref="D135:D136" si="52">$D$5</f>
        <v>VDO 2023-24 - Final</v>
      </c>
      <c r="E135" s="20" t="s">
        <v>190</v>
      </c>
      <c r="F135" s="75" t="str">
        <f>INDEX(Inputs!$C$10:$Y$10,1,MATCH($D135,Inputs!$C$8:$Y$8,0))</f>
        <v>F-NextVDO_Input</v>
      </c>
      <c r="G135" s="20"/>
      <c r="H135" s="20" t="s">
        <v>103</v>
      </c>
      <c r="I135" s="20" t="s">
        <v>226</v>
      </c>
      <c r="J135" s="53" t="s">
        <v>65</v>
      </c>
      <c r="K135" s="60" cm="1">
        <f t="array" ref="K135">IFERROR(INDEX(Input_ForRateCalc[],MATCH($C135&amp;" - "&amp;K$103,Input_ForRateCalc[[Cost item]:[Cost item]],0),MATCH(Calc_TUV_Net_1[[#This Row],[Decision ref]:[Decision ref]],Input_ForRateCalc[#Headers],0)),"-")</f>
        <v>4.6393863430805986</v>
      </c>
      <c r="L135" s="60" cm="1">
        <f t="array" ref="L135">IFERROR(INDEX(Input_ForRateCalc[],MATCH($C135&amp;" - "&amp;L$103,Input_ForRateCalc[[Cost item]:[Cost item]],0),MATCH(Calc_TUV_Net_1[[#This Row],[Decision ref]:[Decision ref]],Input_ForRateCalc[#Headers],0)),"-")</f>
        <v>2.21</v>
      </c>
      <c r="M135" s="60" cm="1">
        <f t="array" ref="M135">IFERROR(INDEX(Input_ForRateCalc[],MATCH($C135&amp;" - "&amp;M$103,Input_ForRateCalc[[Cost item]:[Cost item]],0),MATCH(Calc_TUV_Net_1[[#This Row],[Decision ref]:[Decision ref]],Input_ForRateCalc[#Headers],0)),"-")</f>
        <v>3.6950000000000003</v>
      </c>
      <c r="N135" s="60" cm="1">
        <f t="array" ref="N135">IFERROR(INDEX(Input_ForRateCalc[],MATCH($C135&amp;" - "&amp;N$103,Input_ForRateCalc[[Cost item]:[Cost item]],0),MATCH(Calc_TUV_Net_1[[#This Row],[Decision ref]:[Decision ref]],Input_ForRateCalc[#Headers],0)),"-")</f>
        <v>2.46</v>
      </c>
      <c r="O135" s="60" cm="1">
        <f t="array" ref="O135">IFERROR(INDEX(Input_ForRateCalc[],MATCH($C135&amp;" - "&amp;O$103,Input_ForRateCalc[[Cost item]:[Cost item]],0),MATCH(Calc_TUV_Net_1[[#This Row],[Decision ref]:[Decision ref]],Input_ForRateCalc[#Headers],0)),"-")</f>
        <v>2.44</v>
      </c>
    </row>
    <row r="136" spans="3:15" hidden="1" outlineLevel="1">
      <c r="C136" s="53" t="s">
        <v>191</v>
      </c>
      <c r="D136" s="75" t="str">
        <f t="shared" si="52"/>
        <v>VDO 2023-24 - Final</v>
      </c>
      <c r="E136" s="20" t="s">
        <v>190</v>
      </c>
      <c r="F136" s="75" t="str">
        <f>INDEX(Inputs!$C$10:$Y$10,1,MATCH($D136,Inputs!$C$8:$Y$8,0))</f>
        <v>F-NextVDO_Input</v>
      </c>
      <c r="G136" s="20"/>
      <c r="H136" s="20" t="s">
        <v>103</v>
      </c>
      <c r="I136" s="20" t="s">
        <v>64</v>
      </c>
      <c r="J136" s="53" t="s">
        <v>65</v>
      </c>
      <c r="K136" s="61" cm="1">
        <f t="array" ref="K136">TUProp_Days_1*SUM(
IFERROR(K135/100*INDEX(Input_Usage[#All],MATCH(Calc_TUV_Net_1[[#This Row],[Customer type]:[Customer type]]&amp;" - medium - controlled load",Input_Usage[[#All],[Ref]],0),MATCH($F136,Input_Usage[#Headers],0)),0))</f>
        <v>0</v>
      </c>
      <c r="L136" s="61" cm="1">
        <f t="array" ref="L136">TUProp_Days_1*SUM(
IFERROR(L135/100*INDEX(Input_Usage[#All],MATCH(Calc_TUV_Net_1[[#This Row],[Customer type]:[Customer type]]&amp;" - medium - controlled load",Input_Usage[[#All],[Ref]],0),MATCH($F136,Input_Usage[#Headers],0)),0))</f>
        <v>0</v>
      </c>
      <c r="M136" s="61" cm="1">
        <f t="array" ref="M136">TUProp_Days_1*SUM(
IFERROR(M135/100*INDEX(Input_Usage[#All],MATCH(Calc_TUV_Net_1[[#This Row],[Customer type]:[Customer type]]&amp;" - medium - controlled load",Input_Usage[[#All],[Ref]],0),MATCH($F136,Input_Usage[#Headers],0)),0))</f>
        <v>0</v>
      </c>
      <c r="N136" s="61" cm="1">
        <f t="array" ref="N136">TUProp_Days_1*SUM(
IFERROR(N135/100*INDEX(Input_Usage[#All],MATCH(Calc_TUV_Net_1[[#This Row],[Customer type]:[Customer type]]&amp;" - medium - controlled load",Input_Usage[[#All],[Ref]],0),MATCH($F136,Input_Usage[#Headers],0)),0))</f>
        <v>0</v>
      </c>
      <c r="O136" s="61" cm="1">
        <f t="array" ref="O136">TUProp_Days_1*SUM(
IFERROR(O135/100*INDEX(Input_Usage[#All],MATCH(Calc_TUV_Net_1[[#This Row],[Customer type]:[Customer type]]&amp;" - medium - controlled load",Input_Usage[[#All],[Ref]],0),MATCH($F136,Input_Usage[#Headers],0)),0))</f>
        <v>0</v>
      </c>
    </row>
    <row r="137" spans="3:15" hidden="1" outlineLevel="1">
      <c r="C137" s="53" t="s">
        <v>231</v>
      </c>
      <c r="D137" s="75" t="str">
        <f>INDEX(Input_DecisionActual[[Decision]:[Decision]],MATCH($D$5,Input_DecisionActual[[VDO period]:[VDO period]],0),1)</f>
        <v>VDO 2022-23 - Final</v>
      </c>
      <c r="E137" s="20" t="s">
        <v>192</v>
      </c>
      <c r="F137" s="75" t="str">
        <f>IF($D137="-","-",INDEX(Inputs!$C$10:$Y$10,1,MATCH($D137,Inputs!$C$8:$Y$8,0)))</f>
        <v>F-CurrentVDO_Input</v>
      </c>
      <c r="G137" s="20"/>
      <c r="H137" s="20" t="s">
        <v>103</v>
      </c>
      <c r="I137" s="20" t="s">
        <v>226</v>
      </c>
      <c r="J137" s="53" t="s">
        <v>65</v>
      </c>
      <c r="K137" s="60">
        <f>IFERROR(INDEX(Input_ForRateCalc[],MATCH($C137&amp;" - "&amp;K$103,Input_ForRateCalc[[Cost item]:[Cost item]],0),MATCH($F137,Input_ForRateCalc[#Headers],0)),"-")</f>
        <v>4.7466999999999997</v>
      </c>
      <c r="L137" s="60">
        <f>IFERROR(INDEX(Input_ForRateCalc[],MATCH($C137&amp;" - "&amp;L$103,Input_ForRateCalc[[Cost item]:[Cost item]],0),MATCH($F137,Input_ForRateCalc[#Headers],0)),"-")</f>
        <v>2.2200000000000002</v>
      </c>
      <c r="M137" s="60">
        <f>IFERROR(INDEX(Input_ForRateCalc[],MATCH($C137&amp;" - "&amp;M$103,Input_ForRateCalc[[Cost item]:[Cost item]],0),MATCH($F137,Input_ForRateCalc[#Headers],0)),"-")</f>
        <v>3.448</v>
      </c>
      <c r="N137" s="60">
        <f>IFERROR(INDEX(Input_ForRateCalc[],MATCH($C137&amp;" - "&amp;N$103,Input_ForRateCalc[[Cost item]:[Cost item]],0),MATCH($F137,Input_ForRateCalc[#Headers],0)),"-")</f>
        <v>2.35</v>
      </c>
      <c r="O137" s="60">
        <f>IFERROR(INDEX(Input_ForRateCalc[],MATCH($C137&amp;" - "&amp;O$103,Input_ForRateCalc[[Cost item]:[Cost item]],0),MATCH($F137,Input_ForRateCalc[#Headers],0)),"-")</f>
        <v>2.34</v>
      </c>
    </row>
    <row r="138" spans="3:15" hidden="1" outlineLevel="1">
      <c r="C138" s="53" t="s">
        <v>191</v>
      </c>
      <c r="D138" s="75" t="str">
        <f>INDEX(Input_DecisionActual[[Decision]:[Decision]],MATCH($D$5,Input_DecisionActual[[VDO period]:[VDO period]],0),1)</f>
        <v>VDO 2022-23 - Final</v>
      </c>
      <c r="E138" s="20" t="s">
        <v>192</v>
      </c>
      <c r="F138" s="75" t="str">
        <f>IF($D138="-","-",INDEX(Inputs!$C$10:$Y$10,1,MATCH($D138,Inputs!$C$8:$Y$8,0)))</f>
        <v>F-CurrentVDO_Input</v>
      </c>
      <c r="G138" s="20"/>
      <c r="H138" s="20" t="s">
        <v>103</v>
      </c>
      <c r="I138" s="20" t="s">
        <v>64</v>
      </c>
      <c r="J138" s="53" t="s">
        <v>65</v>
      </c>
      <c r="K138" s="61" cm="1">
        <f t="array" ref="K138">TUProp_Days_1*SUM(
IFERROR(K137/100*INDEX(Input_Usage[#All],MATCH(Calc_TUV_Net_1[[#This Row],[Customer type]:[Customer type]]&amp;" - medium - controlled load",Input_Usage[[#All],[Ref]],0),MATCH($F138,Input_Usage[#Headers],0)),0))</f>
        <v>0</v>
      </c>
      <c r="L138" s="61" cm="1">
        <f t="array" ref="L138">TUProp_Days_1*SUM(
IFERROR(L137/100*INDEX(Input_Usage[#All],MATCH(Calc_TUV_Net_1[[#This Row],[Customer type]:[Customer type]]&amp;" - medium - controlled load",Input_Usage[[#All],[Ref]],0),MATCH($F138,Input_Usage[#Headers],0)),0))</f>
        <v>0</v>
      </c>
      <c r="M138" s="61" cm="1">
        <f t="array" ref="M138">TUProp_Days_1*SUM(
IFERROR(M137/100*INDEX(Input_Usage[#All],MATCH(Calc_TUV_Net_1[[#This Row],[Customer type]:[Customer type]]&amp;" - medium - controlled load",Input_Usage[[#All],[Ref]],0),MATCH($F138,Input_Usage[#Headers],0)),0))</f>
        <v>0</v>
      </c>
      <c r="N138" s="61" cm="1">
        <f t="array" ref="N138">TUProp_Days_1*SUM(
IFERROR(N137/100*INDEX(Input_Usage[#All],MATCH(Calc_TUV_Net_1[[#This Row],[Customer type]:[Customer type]]&amp;" - medium - controlled load",Input_Usage[[#All],[Ref]],0),MATCH($F138,Input_Usage[#Headers],0)),0))</f>
        <v>0</v>
      </c>
      <c r="O138" s="61" cm="1">
        <f t="array" ref="O138">TUProp_Days_1*SUM(
IFERROR(O137/100*INDEX(Input_Usage[#All],MATCH(Calc_TUV_Net_1[[#This Row],[Customer type]:[Customer type]]&amp;" - medium - controlled load",Input_Usage[[#All],[Ref]],0),MATCH($F138,Input_Usage[#Headers],0)),0))</f>
        <v>0</v>
      </c>
    </row>
    <row r="139" spans="3:15" hidden="1" outlineLevel="1">
      <c r="C139" s="53" t="s">
        <v>193</v>
      </c>
      <c r="D139" s="20"/>
      <c r="E139" s="20"/>
      <c r="F139" s="20"/>
      <c r="G139" s="20"/>
      <c r="H139" s="20" t="s">
        <v>103</v>
      </c>
      <c r="I139" s="20" t="s">
        <v>64</v>
      </c>
      <c r="J139" s="53" t="s">
        <v>65</v>
      </c>
      <c r="K139" s="59" t="str">
        <f>IF(K138=0,"-",K136-K138)</f>
        <v>-</v>
      </c>
      <c r="L139" s="59" t="str">
        <f t="shared" ref="L139:O139" si="53">IF(L138=0,"-",L136-L138)</f>
        <v>-</v>
      </c>
      <c r="M139" s="59" t="str">
        <f t="shared" si="53"/>
        <v>-</v>
      </c>
      <c r="N139" s="59" t="str">
        <f t="shared" si="53"/>
        <v>-</v>
      </c>
      <c r="O139" s="59" t="str">
        <f t="shared" si="53"/>
        <v>-</v>
      </c>
    </row>
    <row r="140" spans="3:15" hidden="1" outlineLevel="1">
      <c r="C140" s="53" t="s">
        <v>180</v>
      </c>
      <c r="D140" s="20"/>
      <c r="E140" s="20"/>
      <c r="F140" s="20"/>
      <c r="G140" s="20"/>
      <c r="H140" s="20" t="s">
        <v>103</v>
      </c>
      <c r="I140" s="20" t="s">
        <v>64</v>
      </c>
      <c r="J140" s="53" t="s">
        <v>65</v>
      </c>
      <c r="K140" s="60" t="str">
        <f>IFERROR(IF($D$11="Yes",K139*(1+WACC_adj_1),""),"-")</f>
        <v/>
      </c>
      <c r="L140" s="60" t="str">
        <f>IFERROR(IF($D$11="Yes",L139*(1+WACC_adj_1),""),"-")</f>
        <v/>
      </c>
      <c r="M140" s="60" t="str">
        <f>IFERROR(IF($D$11="Yes",M139*(1+WACC_adj_1),""),"-")</f>
        <v/>
      </c>
      <c r="N140" s="60" t="str">
        <f>IFERROR(IF($D$11="Yes",N139*(1+WACC_adj_1),""),"-")</f>
        <v/>
      </c>
      <c r="O140" s="60" t="str">
        <f>IFERROR(IF($D$11="Yes",O139*(1+WACC_adj_1),""),"-")</f>
        <v/>
      </c>
    </row>
    <row r="141" spans="3:15" hidden="1" outlineLevel="1">
      <c r="C141" s="53" t="s">
        <v>195</v>
      </c>
      <c r="D141" s="75" t="str">
        <f>INDEX(Input_DecisionActual[[Decision]:[Decision]],MATCH($D$5,Input_DecisionActual[[VDO period]:[VDO period]],0),1)</f>
        <v>VDO 2022-23 - Final</v>
      </c>
      <c r="E141" s="20" t="s">
        <v>192</v>
      </c>
      <c r="F141" s="75" t="str">
        <f>IF($D141="-","-",INDEX(Inputs!$C$10:$Y$10,1,MATCH($D141,Inputs!$C$8:$Y$8,0)))</f>
        <v>F-CurrentVDO_Input</v>
      </c>
      <c r="G141" s="20"/>
      <c r="H141" s="20" t="s">
        <v>103</v>
      </c>
      <c r="I141" s="20" t="s">
        <v>64</v>
      </c>
      <c r="J141" s="53" t="s">
        <v>65</v>
      </c>
      <c r="K141" s="60" cm="1">
        <f t="array" ref="K141">IFERROR(SUM(K139:K140)*(INDEX(Inputs!$H$11:$U$134,MATCH("Retail operating margin",Input_ForRateCalc[[Cost item]:[Cost item]],0),MATCH(Calc_TUV_Net_1[[#This Row],[Decision ref]:[Decision ref]],Inputs!$H$10:$U$10,0))),"-")</f>
        <v>0</v>
      </c>
      <c r="L141" s="60" cm="1">
        <f t="array" ref="L141">IFERROR(SUM(L139:L140)*(INDEX(Inputs!$H$11:$U$134,MATCH("Retail operating margin",Input_ForRateCalc[[Cost item]:[Cost item]],0),MATCH(Calc_TUV_Net_1[[#This Row],[Decision ref]:[Decision ref]],Inputs!$H$10:$U$10,0))),"-")</f>
        <v>0</v>
      </c>
      <c r="M141" s="60" cm="1">
        <f t="array" ref="M141">IFERROR(SUM(M139:M140)*(INDEX(Inputs!$H$11:$U$134,MATCH("Retail operating margin",Input_ForRateCalc[[Cost item]:[Cost item]],0),MATCH(Calc_TUV_Net_1[[#This Row],[Decision ref]:[Decision ref]],Inputs!$H$10:$U$10,0))),"-")</f>
        <v>0</v>
      </c>
      <c r="N141" s="60" cm="1">
        <f t="array" ref="N141">IFERROR(SUM(N139:N140)*(INDEX(Inputs!$H$11:$U$134,MATCH("Retail operating margin",Input_ForRateCalc[[Cost item]:[Cost item]],0),MATCH(Calc_TUV_Net_1[[#This Row],[Decision ref]:[Decision ref]],Inputs!$H$10:$U$10,0))),"-")</f>
        <v>0</v>
      </c>
      <c r="O141" s="60" cm="1">
        <f t="array" ref="O141">IFERROR(SUM(O139:O140)*(INDEX(Inputs!$H$11:$U$134,MATCH("Retail operating margin",Input_ForRateCalc[[Cost item]:[Cost item]],0),MATCH(Calc_TUV_Net_1[[#This Row],[Decision ref]:[Decision ref]],Inputs!$H$10:$U$10,0))),"-")</f>
        <v>0</v>
      </c>
    </row>
    <row r="142" spans="3:15" hidden="1" outlineLevel="1">
      <c r="C142" s="53" t="s">
        <v>196</v>
      </c>
      <c r="D142" s="20"/>
      <c r="E142" s="20"/>
      <c r="F142" s="20"/>
      <c r="G142" s="20"/>
      <c r="H142" s="20" t="s">
        <v>103</v>
      </c>
      <c r="I142" s="20" t="s">
        <v>64</v>
      </c>
      <c r="J142" s="53" t="s">
        <v>65</v>
      </c>
      <c r="K142" s="60" t="str">
        <f>IF(K138=0,"-",SUM(K139:K141)*GST)</f>
        <v>-</v>
      </c>
      <c r="L142" s="60" t="str">
        <f>IF(L138=0,"-",SUM(L139:L141)*GST)</f>
        <v>-</v>
      </c>
      <c r="M142" s="60" t="str">
        <f>IF(M138=0,"-",SUM(M139:M141)*GST)</f>
        <v>-</v>
      </c>
      <c r="N142" s="60" t="str">
        <f>IF(N138=0,"-",SUM(N139:N141)*GST)</f>
        <v>-</v>
      </c>
      <c r="O142" s="60" t="str">
        <f>IF(O138=0,"-",SUM(O139:O141)*GST)</f>
        <v>-</v>
      </c>
    </row>
    <row r="143" spans="3:15" hidden="1" outlineLevel="1">
      <c r="C143" s="53" t="s">
        <v>232</v>
      </c>
      <c r="D143" s="20"/>
      <c r="E143" s="20"/>
      <c r="F143" s="20"/>
      <c r="H143" s="20" t="s">
        <v>103</v>
      </c>
      <c r="I143" s="20" t="s">
        <v>64</v>
      </c>
      <c r="J143" s="53" t="s">
        <v>65</v>
      </c>
      <c r="K143" s="60" t="str">
        <f>IF(K138=0,"-",SUM(K139:K142))</f>
        <v>-</v>
      </c>
      <c r="L143" s="60" t="str">
        <f>IF(L138=0,"-",SUM(L139:L142))</f>
        <v>-</v>
      </c>
      <c r="M143" s="60" t="str">
        <f>IF(M138=0,"-",SUM(M139:M142))</f>
        <v>-</v>
      </c>
      <c r="N143" s="60" t="str">
        <f>IF(N138=0,"-",SUM(N139:N142))</f>
        <v>-</v>
      </c>
      <c r="O143" s="60" t="str">
        <f>IF(O138=0,"-",SUM(O139:O142))</f>
        <v>-</v>
      </c>
    </row>
    <row r="144" spans="3:15" hidden="1" outlineLevel="1">
      <c r="C144" s="53"/>
      <c r="D144" s="20"/>
      <c r="E144" s="20"/>
      <c r="F144" s="20"/>
      <c r="G144" s="20"/>
      <c r="H144" s="20"/>
      <c r="I144" s="20"/>
      <c r="J144" s="20"/>
      <c r="K144" s="59"/>
      <c r="L144" s="59"/>
      <c r="M144" s="59"/>
      <c r="N144" s="59"/>
      <c r="O144" s="59"/>
    </row>
    <row r="145" spans="3:15" ht="15.5" hidden="1" outlineLevel="1">
      <c r="C145" s="120" t="s">
        <v>203</v>
      </c>
      <c r="D145" s="20"/>
      <c r="E145" s="20"/>
      <c r="F145" s="20"/>
      <c r="G145" s="62" t="s">
        <v>181</v>
      </c>
      <c r="H145" s="20"/>
      <c r="I145" s="20"/>
      <c r="J145" s="20"/>
      <c r="K145" s="59"/>
      <c r="L145" s="20"/>
      <c r="M145" s="20"/>
      <c r="N145" s="20"/>
      <c r="O145" s="20"/>
    </row>
    <row r="146" spans="3:15" hidden="1" outlineLevel="1">
      <c r="C146" s="51" t="s">
        <v>233</v>
      </c>
      <c r="D146" s="51"/>
      <c r="E146" s="51"/>
      <c r="F146" s="51"/>
      <c r="G146" s="62"/>
      <c r="H146" s="62"/>
      <c r="I146" s="20"/>
      <c r="J146" s="20"/>
      <c r="K146" s="59"/>
      <c r="L146" s="20"/>
      <c r="M146" s="20"/>
      <c r="N146" s="20"/>
      <c r="O146" s="20"/>
    </row>
    <row r="147" spans="3:15" hidden="1" outlineLevel="1">
      <c r="C147" s="53" t="s">
        <v>234</v>
      </c>
      <c r="D147" s="75" t="str">
        <f>$D$5</f>
        <v>VDO 2023-24 - Final</v>
      </c>
      <c r="E147" s="20" t="s">
        <v>190</v>
      </c>
      <c r="F147" s="75" t="str">
        <f>INDEX(Inputs!$C$10:$Y$10,1,MATCH($D147,Inputs!$C$8:$Y$8,0))</f>
        <v>F-NextVDO_Input</v>
      </c>
      <c r="G147" s="52"/>
      <c r="H147" s="20" t="s">
        <v>90</v>
      </c>
      <c r="I147" s="20" t="s">
        <v>64</v>
      </c>
      <c r="J147" s="53" t="s">
        <v>66</v>
      </c>
      <c r="K147" s="60" cm="1">
        <f t="array" ref="K147">IFERROR(INDEX(Input_ForRateCalc[],MATCH($C147&amp;" - "&amp;K$103,Input_ForRateCalc[[Cost item]:[Cost item]],0),MATCH(Calc_TUV_Net_1[[#This Row],[Decision ref]:[Decision ref]],Input_ForRateCalc[#Headers],0))*TUProp_Days_1,"-")</f>
        <v>0</v>
      </c>
      <c r="L147" s="60" cm="1">
        <f t="array" ref="L147">IFERROR(INDEX(Input_ForRateCalc[],MATCH($C147&amp;" - "&amp;L$103,Input_ForRateCalc[[Cost item]:[Cost item]],0),MATCH(Calc_TUV_Net_1[[#This Row],[Decision ref]:[Decision ref]],Input_ForRateCalc[#Headers],0))*TUProp_Days_1,"-")</f>
        <v>0</v>
      </c>
      <c r="M147" s="60" cm="1">
        <f t="array" ref="M147">IFERROR(INDEX(Input_ForRateCalc[],MATCH($C147&amp;" - "&amp;M$103,Input_ForRateCalc[[Cost item]:[Cost item]],0),MATCH(Calc_TUV_Net_1[[#This Row],[Decision ref]:[Decision ref]],Input_ForRateCalc[#Headers],0))*TUProp_Days_1,"-")</f>
        <v>0</v>
      </c>
      <c r="N147" s="60" cm="1">
        <f t="array" ref="N147">IFERROR(INDEX(Input_ForRateCalc[],MATCH($C147&amp;" - "&amp;N$103,Input_ForRateCalc[[Cost item]:[Cost item]],0),MATCH(Calc_TUV_Net_1[[#This Row],[Decision ref]:[Decision ref]],Input_ForRateCalc[#Headers],0))*TUProp_Days_1,"-")</f>
        <v>0</v>
      </c>
      <c r="O147" s="60" cm="1">
        <f t="array" ref="O147">IFERROR(INDEX(Input_ForRateCalc[],MATCH($C147&amp;" - "&amp;O$103,Input_ForRateCalc[[Cost item]:[Cost item]],0),MATCH(Calc_TUV_Net_1[[#This Row],[Decision ref]:[Decision ref]],Input_ForRateCalc[#Headers],0))*TUProp_Days_1,"-")</f>
        <v>0</v>
      </c>
    </row>
    <row r="148" spans="3:15" hidden="1" outlineLevel="1">
      <c r="C148" s="53" t="s">
        <v>94</v>
      </c>
      <c r="D148" s="75" t="str">
        <f t="shared" ref="D148:D149" si="54">$D$5</f>
        <v>VDO 2023-24 - Final</v>
      </c>
      <c r="E148" s="20" t="s">
        <v>190</v>
      </c>
      <c r="F148" s="75" t="str">
        <f>INDEX(Inputs!$C$10:$Y$10,1,MATCH($D148,Inputs!$C$8:$Y$8,0))</f>
        <v>F-NextVDO_Input</v>
      </c>
      <c r="G148" s="52"/>
      <c r="H148" s="20" t="s">
        <v>90</v>
      </c>
      <c r="I148" s="20" t="s">
        <v>64</v>
      </c>
      <c r="J148" s="53" t="s">
        <v>66</v>
      </c>
      <c r="K148" s="60" cm="1">
        <f t="array" ref="K148">IFERROR(INDEX(Input_ForRateCalc[],MATCH($C148&amp;" - "&amp;K$103,Input_ForRateCalc[[Cost item]:[Cost item]],0),MATCH(Calc_TUV_Net_1[[#This Row],[Decision ref]:[Decision ref]],Input_ForRateCalc[#Headers],0))*TUProp_Days_1,"-")</f>
        <v>0</v>
      </c>
      <c r="L148" s="60" cm="1">
        <f t="array" ref="L148">IFERROR(INDEX(Input_ForRateCalc[],MATCH($C148&amp;" - "&amp;L$103,Input_ForRateCalc[[Cost item]:[Cost item]],0),MATCH(Calc_TUV_Net_1[[#This Row],[Decision ref]:[Decision ref]],Input_ForRateCalc[#Headers],0))*TUProp_Days_1,"-")</f>
        <v>0</v>
      </c>
      <c r="M148" s="60" cm="1">
        <f t="array" ref="M148">IFERROR(INDEX(Input_ForRateCalc[],MATCH($C148&amp;" - "&amp;M$103,Input_ForRateCalc[[Cost item]:[Cost item]],0),MATCH(Calc_TUV_Net_1[[#This Row],[Decision ref]:[Decision ref]],Input_ForRateCalc[#Headers],0))*TUProp_Days_1,"-")</f>
        <v>0</v>
      </c>
      <c r="N148" s="60" cm="1">
        <f t="array" ref="N148">IFERROR(INDEX(Input_ForRateCalc[],MATCH($C148&amp;" - "&amp;N$103,Input_ForRateCalc[[Cost item]:[Cost item]],0),MATCH(Calc_TUV_Net_1[[#This Row],[Decision ref]:[Decision ref]],Input_ForRateCalc[#Headers],0))*TUProp_Days_1,"-")</f>
        <v>0</v>
      </c>
      <c r="O148" s="60" cm="1">
        <f t="array" ref="O148">IFERROR(INDEX(Input_ForRateCalc[],MATCH($C148&amp;" - "&amp;O$103,Input_ForRateCalc[[Cost item]:[Cost item]],0),MATCH(Calc_TUV_Net_1[[#This Row],[Decision ref]:[Decision ref]],Input_ForRateCalc[#Headers],0))*TUProp_Days_1,"-")</f>
        <v>0</v>
      </c>
    </row>
    <row r="149" spans="3:15" hidden="1" outlineLevel="1">
      <c r="C149" s="53" t="s">
        <v>191</v>
      </c>
      <c r="D149" s="75" t="str">
        <f t="shared" si="54"/>
        <v>VDO 2023-24 - Final</v>
      </c>
      <c r="E149" s="20" t="s">
        <v>190</v>
      </c>
      <c r="F149" s="75" t="str">
        <f>INDEX(Inputs!$C$10:$Y$10,1,MATCH($D149,Inputs!$C$8:$Y$8,0))</f>
        <v>F-NextVDO_Input</v>
      </c>
      <c r="G149" s="52"/>
      <c r="H149" s="20" t="s">
        <v>90</v>
      </c>
      <c r="I149" s="20" t="s">
        <v>64</v>
      </c>
      <c r="J149" s="53" t="s">
        <v>66</v>
      </c>
      <c r="K149" s="58">
        <f>IFERROR(SUM(K147:K148),"-")</f>
        <v>0</v>
      </c>
      <c r="L149" s="58">
        <f>IFERROR(SUM(L147:L148),"-")</f>
        <v>0</v>
      </c>
      <c r="M149" s="58">
        <f>IFERROR(SUM(M147:M148),"-")</f>
        <v>0</v>
      </c>
      <c r="N149" s="58">
        <f>IFERROR(SUM(N147:N148),"-")</f>
        <v>0</v>
      </c>
      <c r="O149" s="58">
        <f>IFERROR(SUM(O147:O148),"-")</f>
        <v>0</v>
      </c>
    </row>
    <row r="150" spans="3:15" hidden="1" outlineLevel="1">
      <c r="C150" s="53" t="s">
        <v>234</v>
      </c>
      <c r="D150" s="75" t="str">
        <f>INDEX(Input_DecisionActual[[Decision]:[Decision]],MATCH($D$5,Input_DecisionActual[[VDO period]:[VDO period]],0),1)</f>
        <v>VDO 2022-23 - Final</v>
      </c>
      <c r="E150" s="20" t="s">
        <v>192</v>
      </c>
      <c r="F150" s="75" t="str">
        <f>IF($D150="-","-",INDEX(Inputs!$C$10:$Y$10,1,MATCH($D150,Inputs!$C$8:$Y$8,0)))</f>
        <v>F-CurrentVDO_Input</v>
      </c>
      <c r="G150" s="52"/>
      <c r="H150" s="20" t="s">
        <v>90</v>
      </c>
      <c r="I150" s="20" t="s">
        <v>64</v>
      </c>
      <c r="J150" s="53" t="s">
        <v>66</v>
      </c>
      <c r="K150" s="60" cm="1">
        <f t="array" ref="K150">IFERROR(INDEX(Input_ForRateCalc[],MATCH($C150&amp;" - "&amp;K$103,Input_ForRateCalc[[Cost item]:[Cost item]],0),MATCH(Calc_TUV_Net_1[[#This Row],[Decision ref]:[Decision ref]],Input_ForRateCalc[#Headers],0)),"-")*TUProp_Days_1</f>
        <v>0</v>
      </c>
      <c r="L150" s="60" cm="1">
        <f t="array" ref="L150">IFERROR(INDEX(Input_ForRateCalc[],MATCH($C150&amp;" - "&amp;L$103,Input_ForRateCalc[[Cost item]:[Cost item]],0),MATCH(Calc_TUV_Net_1[[#This Row],[Decision ref]:[Decision ref]],Input_ForRateCalc[#Headers],0)),"-")*TUProp_Days_1</f>
        <v>0</v>
      </c>
      <c r="M150" s="60" cm="1">
        <f t="array" ref="M150">IFERROR(INDEX(Input_ForRateCalc[],MATCH($C150&amp;" - "&amp;M$103,Input_ForRateCalc[[Cost item]:[Cost item]],0),MATCH(Calc_TUV_Net_1[[#This Row],[Decision ref]:[Decision ref]],Input_ForRateCalc[#Headers],0)),"-")*TUProp_Days_1</f>
        <v>0</v>
      </c>
      <c r="N150" s="60" cm="1">
        <f t="array" ref="N150">IFERROR(INDEX(Input_ForRateCalc[],MATCH($C150&amp;" - "&amp;N$103,Input_ForRateCalc[[Cost item]:[Cost item]],0),MATCH(Calc_TUV_Net_1[[#This Row],[Decision ref]:[Decision ref]],Input_ForRateCalc[#Headers],0)),"-")*TUProp_Days_1</f>
        <v>0</v>
      </c>
      <c r="O150" s="60" cm="1">
        <f t="array" ref="O150">IFERROR(INDEX(Input_ForRateCalc[],MATCH($C150&amp;" - "&amp;O$103,Input_ForRateCalc[[Cost item]:[Cost item]],0),MATCH(Calc_TUV_Net_1[[#This Row],[Decision ref]:[Decision ref]],Input_ForRateCalc[#Headers],0)),"-")*TUProp_Days_1</f>
        <v>0</v>
      </c>
    </row>
    <row r="151" spans="3:15" hidden="1" outlineLevel="1">
      <c r="C151" s="53" t="s">
        <v>94</v>
      </c>
      <c r="D151" s="75" t="str">
        <f>INDEX(Input_DecisionActual[[Decision]:[Decision]],MATCH($D$5,Input_DecisionActual[[VDO period]:[VDO period]],0),1)</f>
        <v>VDO 2022-23 - Final</v>
      </c>
      <c r="E151" s="20" t="s">
        <v>192</v>
      </c>
      <c r="F151" s="75" t="str">
        <f>IF($D151="-","-",INDEX(Inputs!$C$10:$Y$10,1,MATCH($D151,Inputs!$C$8:$Y$8,0)))</f>
        <v>F-CurrentVDO_Input</v>
      </c>
      <c r="G151" s="52"/>
      <c r="H151" s="20" t="s">
        <v>90</v>
      </c>
      <c r="I151" s="20" t="s">
        <v>64</v>
      </c>
      <c r="J151" s="53" t="s">
        <v>66</v>
      </c>
      <c r="K151" s="60" cm="1">
        <f t="array" ref="K151">IFERROR(INDEX(Input_ForRateCalc[],MATCH($C151&amp;" - "&amp;K$103,Input_ForRateCalc[[Cost item]:[Cost item]],0),MATCH(Calc_TUV_Net_1[[#This Row],[Decision ref]:[Decision ref]],Input_ForRateCalc[#Headers],0)),"-")*TUProp_Days_1</f>
        <v>0</v>
      </c>
      <c r="L151" s="60" cm="1">
        <f t="array" ref="L151">IFERROR(INDEX(Input_ForRateCalc[],MATCH($C151&amp;" - "&amp;L$103,Input_ForRateCalc[[Cost item]:[Cost item]],0),MATCH(Calc_TUV_Net_1[[#This Row],[Decision ref]:[Decision ref]],Input_ForRateCalc[#Headers],0)),"-")*TUProp_Days_1</f>
        <v>0</v>
      </c>
      <c r="M151" s="60" cm="1">
        <f t="array" ref="M151">IFERROR(INDEX(Input_ForRateCalc[],MATCH($C151&amp;" - "&amp;M$103,Input_ForRateCalc[[Cost item]:[Cost item]],0),MATCH(Calc_TUV_Net_1[[#This Row],[Decision ref]:[Decision ref]],Input_ForRateCalc[#Headers],0)),"-")*TUProp_Days_1</f>
        <v>0</v>
      </c>
      <c r="N151" s="60" cm="1">
        <f t="array" ref="N151">IFERROR(INDEX(Input_ForRateCalc[],MATCH($C151&amp;" - "&amp;N$103,Input_ForRateCalc[[Cost item]:[Cost item]],0),MATCH(Calc_TUV_Net_1[[#This Row],[Decision ref]:[Decision ref]],Input_ForRateCalc[#Headers],0)),"-")*TUProp_Days_1</f>
        <v>0</v>
      </c>
      <c r="O151" s="60" cm="1">
        <f t="array" ref="O151">IFERROR(INDEX(Input_ForRateCalc[],MATCH($C151&amp;" - "&amp;O$103,Input_ForRateCalc[[Cost item]:[Cost item]],0),MATCH(Calc_TUV_Net_1[[#This Row],[Decision ref]:[Decision ref]],Input_ForRateCalc[#Headers],0)),"-")*TUProp_Days_1</f>
        <v>0</v>
      </c>
    </row>
    <row r="152" spans="3:15" hidden="1" outlineLevel="1">
      <c r="C152" s="53" t="s">
        <v>191</v>
      </c>
      <c r="D152" s="75" t="str">
        <f>INDEX(Input_DecisionActual[[Decision]:[Decision]],MATCH($D$5,Input_DecisionActual[[VDO period]:[VDO period]],0),1)</f>
        <v>VDO 2022-23 - Final</v>
      </c>
      <c r="E152" s="20" t="s">
        <v>192</v>
      </c>
      <c r="F152" s="75" t="str">
        <f>IF($D152="-","-",INDEX(Inputs!$C$10:$Y$10,1,MATCH($D152,Inputs!$C$8:$Y$8,0)))</f>
        <v>F-CurrentVDO_Input</v>
      </c>
      <c r="G152" s="52"/>
      <c r="H152" s="20" t="s">
        <v>90</v>
      </c>
      <c r="I152" s="20" t="s">
        <v>64</v>
      </c>
      <c r="J152" s="53" t="s">
        <v>66</v>
      </c>
      <c r="K152" s="59">
        <f>SUM(K150:K151)</f>
        <v>0</v>
      </c>
      <c r="L152" s="59">
        <f>SUM(L150:L151)</f>
        <v>0</v>
      </c>
      <c r="M152" s="59">
        <f>SUM(M150:M151)</f>
        <v>0</v>
      </c>
      <c r="N152" s="59">
        <f>SUM(N150:N151)</f>
        <v>0</v>
      </c>
      <c r="O152" s="59">
        <f>SUM(O150:O151)</f>
        <v>0</v>
      </c>
    </row>
    <row r="153" spans="3:15" hidden="1" outlineLevel="1">
      <c r="C153" s="53" t="s">
        <v>193</v>
      </c>
      <c r="D153" s="20"/>
      <c r="E153" s="20"/>
      <c r="F153" s="20"/>
      <c r="G153" s="53"/>
      <c r="H153" s="20" t="s">
        <v>90</v>
      </c>
      <c r="I153" s="20" t="s">
        <v>64</v>
      </c>
      <c r="J153" s="53" t="s">
        <v>66</v>
      </c>
      <c r="K153" s="59" t="str">
        <f>IF(K152=0,"-",K149-K152)</f>
        <v>-</v>
      </c>
      <c r="L153" s="59" t="str">
        <f t="shared" ref="L153:O153" si="55">IF(L152=0,"-",L149-L152)</f>
        <v>-</v>
      </c>
      <c r="M153" s="59" t="str">
        <f t="shared" si="55"/>
        <v>-</v>
      </c>
      <c r="N153" s="59" t="str">
        <f t="shared" si="55"/>
        <v>-</v>
      </c>
      <c r="O153" s="59" t="str">
        <f t="shared" si="55"/>
        <v>-</v>
      </c>
    </row>
    <row r="154" spans="3:15" hidden="1" outlineLevel="1">
      <c r="C154" s="53" t="s">
        <v>180</v>
      </c>
      <c r="D154" s="20"/>
      <c r="E154" s="20"/>
      <c r="F154" s="20"/>
      <c r="G154" s="53"/>
      <c r="H154" s="20" t="s">
        <v>90</v>
      </c>
      <c r="I154" s="20" t="s">
        <v>64</v>
      </c>
      <c r="J154" s="53" t="s">
        <v>66</v>
      </c>
      <c r="K154" s="60" t="str">
        <f>IFERROR(IF($D$11="Yes",K153*(1+WACC_adj_1),""),"-")</f>
        <v/>
      </c>
      <c r="L154" s="60" t="str">
        <f>IFERROR(IF($D$11="Yes",L153*(1+WACC_adj_1),""),"-")</f>
        <v/>
      </c>
      <c r="M154" s="60" t="str">
        <f>IFERROR(IF($D$11="Yes",M153*(1+WACC_adj_1),""),"-")</f>
        <v/>
      </c>
      <c r="N154" s="60" t="str">
        <f>IFERROR(IF($D$11="Yes",N153*(1+WACC_adj_1),""),"-")</f>
        <v/>
      </c>
      <c r="O154" s="60" t="str">
        <f>IFERROR(IF($D$11="Yes",O153*(1+WACC_adj_1),""),"-")</f>
        <v/>
      </c>
    </row>
    <row r="155" spans="3:15" hidden="1" outlineLevel="1">
      <c r="C155" s="53" t="s">
        <v>195</v>
      </c>
      <c r="D155" s="75" t="str">
        <f>INDEX(Input_DecisionActual[[Decision]:[Decision]],MATCH($D$5,Input_DecisionActual[[VDO period]:[VDO period]],0),1)</f>
        <v>VDO 2022-23 - Final</v>
      </c>
      <c r="E155" s="20" t="s">
        <v>192</v>
      </c>
      <c r="F155" s="75" t="str">
        <f>IF($D155="-","-",INDEX(Inputs!$C$10:$Y$10,1,MATCH($D155,Inputs!$C$8:$Y$8,0)))</f>
        <v>F-CurrentVDO_Input</v>
      </c>
      <c r="G155" s="53"/>
      <c r="H155" s="20" t="s">
        <v>90</v>
      </c>
      <c r="I155" s="20" t="s">
        <v>64</v>
      </c>
      <c r="J155" s="53" t="s">
        <v>66</v>
      </c>
      <c r="K155" s="60" cm="1">
        <f t="array" ref="K155">IFERROR(SUM(K153:K154)*(INDEX(Inputs!$H$11:$U$134,MATCH("Retail operating margin",Input_ForRateCalc[[Cost item]:[Cost item]],0),MATCH(Calc_TUV_Net_1[[#This Row],[Decision ref]:[Decision ref]],Inputs!$H$10:$U$10,0))),"-")</f>
        <v>0</v>
      </c>
      <c r="L155" s="60" cm="1">
        <f t="array" ref="L155">IFERROR(SUM(L153:L154)*(INDEX(Inputs!$H$11:$U$134,MATCH("Retail operating margin",Input_ForRateCalc[[Cost item]:[Cost item]],0),MATCH(Calc_TUV_Net_1[[#This Row],[Decision ref]:[Decision ref]],Inputs!$H$10:$U$10,0))),"-")</f>
        <v>0</v>
      </c>
      <c r="M155" s="60" cm="1">
        <f t="array" ref="M155">IFERROR(SUM(M153:M154)*(INDEX(Inputs!$H$11:$U$134,MATCH("Retail operating margin",Input_ForRateCalc[[Cost item]:[Cost item]],0),MATCH(Calc_TUV_Net_1[[#This Row],[Decision ref]:[Decision ref]],Inputs!$H$10:$U$10,0))),"-")</f>
        <v>0</v>
      </c>
      <c r="N155" s="60" cm="1">
        <f t="array" ref="N155">IFERROR(SUM(N153:N154)*(INDEX(Inputs!$H$11:$U$134,MATCH("Retail operating margin",Input_ForRateCalc[[Cost item]:[Cost item]],0),MATCH(Calc_TUV_Net_1[[#This Row],[Decision ref]:[Decision ref]],Inputs!$H$10:$U$10,0))),"-")</f>
        <v>0</v>
      </c>
      <c r="O155" s="60" cm="1">
        <f t="array" ref="O155">IFERROR(SUM(O153:O154)*(INDEX(Inputs!$H$11:$U$134,MATCH("Retail operating margin",Input_ForRateCalc[[Cost item]:[Cost item]],0),MATCH(Calc_TUV_Net_1[[#This Row],[Decision ref]:[Decision ref]],Inputs!$H$10:$U$10,0))),"-")</f>
        <v>0</v>
      </c>
    </row>
    <row r="156" spans="3:15" hidden="1" outlineLevel="1">
      <c r="C156" s="53" t="s">
        <v>196</v>
      </c>
      <c r="D156" s="20"/>
      <c r="E156" s="20"/>
      <c r="F156" s="20"/>
      <c r="G156" s="53"/>
      <c r="H156" s="20" t="s">
        <v>90</v>
      </c>
      <c r="I156" s="20" t="s">
        <v>64</v>
      </c>
      <c r="J156" s="53" t="s">
        <v>66</v>
      </c>
      <c r="K156" s="60" t="str">
        <f>IF(K152=0,"-",SUM(K153:K155)*GST)</f>
        <v>-</v>
      </c>
      <c r="L156" s="60" t="str">
        <f>IF(L152=0,"-",SUM(L153:L155)*GST)</f>
        <v>-</v>
      </c>
      <c r="M156" s="60" t="str">
        <f>IF(M152=0,"-",SUM(M153:M155)*GST)</f>
        <v>-</v>
      </c>
      <c r="N156" s="60" t="str">
        <f>IF(N152=0,"-",SUM(N153:N155)*GST)</f>
        <v>-</v>
      </c>
      <c r="O156" s="60" t="str">
        <f>IF(O152=0,"-",SUM(O153:O155)*GST)</f>
        <v>-</v>
      </c>
    </row>
    <row r="157" spans="3:15" hidden="1" outlineLevel="1">
      <c r="C157" s="20" t="s">
        <v>223</v>
      </c>
      <c r="D157" s="20"/>
      <c r="E157" s="20"/>
      <c r="F157" s="20"/>
      <c r="G157" s="53"/>
      <c r="H157" s="20" t="s">
        <v>90</v>
      </c>
      <c r="I157" s="20" t="s">
        <v>64</v>
      </c>
      <c r="J157" s="53" t="s">
        <v>66</v>
      </c>
      <c r="K157" s="60" t="str">
        <f>IF(K152=0,"-",SUM(K153:K156))</f>
        <v>-</v>
      </c>
      <c r="L157" s="60" t="str">
        <f>IF(L152=0,"-",SUM(L153:L156))</f>
        <v>-</v>
      </c>
      <c r="M157" s="60" t="str">
        <f>IF(M152=0,"-",SUM(M153:M156))</f>
        <v>-</v>
      </c>
      <c r="N157" s="60" t="str">
        <f>IF(N152=0,"-",SUM(N153:N156))</f>
        <v>-</v>
      </c>
      <c r="O157" s="60" t="str">
        <f>IF(O152=0,"-",SUM(O153:O156))</f>
        <v>-</v>
      </c>
    </row>
    <row r="158" spans="3:15" hidden="1" outlineLevel="1">
      <c r="C158" s="53"/>
      <c r="D158" s="20"/>
      <c r="E158" s="53"/>
      <c r="F158" s="53"/>
      <c r="H158" s="53"/>
      <c r="I158" s="20"/>
      <c r="J158" s="20"/>
      <c r="K158" s="106"/>
      <c r="L158" s="106"/>
      <c r="M158" s="106"/>
      <c r="N158" s="106"/>
      <c r="O158" s="106"/>
    </row>
    <row r="159" spans="3:15" hidden="1" outlineLevel="1">
      <c r="C159" s="51" t="s">
        <v>235</v>
      </c>
      <c r="D159" s="20"/>
      <c r="E159" s="53"/>
      <c r="F159" s="53"/>
      <c r="G159" s="62"/>
      <c r="H159" s="53"/>
      <c r="I159" s="20"/>
      <c r="J159" s="53"/>
      <c r="K159" s="106"/>
      <c r="L159" s="106"/>
      <c r="M159" s="106"/>
      <c r="N159" s="106"/>
      <c r="O159" s="106"/>
    </row>
    <row r="160" spans="3:15" hidden="1" outlineLevel="1">
      <c r="C160" s="53" t="s">
        <v>236</v>
      </c>
      <c r="D160" s="75" t="str">
        <f t="shared" ref="D160:D163" si="56">$D$5</f>
        <v>VDO 2023-24 - Final</v>
      </c>
      <c r="E160" s="20" t="s">
        <v>190</v>
      </c>
      <c r="F160" s="75" t="str">
        <f>INDEX(Inputs!$C$10:$Y$10,1,MATCH($D160,Inputs!$C$8:$Y$8,0))</f>
        <v>F-NextVDO_Input</v>
      </c>
      <c r="G160" s="53"/>
      <c r="H160" s="20" t="s">
        <v>103</v>
      </c>
      <c r="I160" s="20" t="s">
        <v>226</v>
      </c>
      <c r="J160" s="53" t="s">
        <v>66</v>
      </c>
      <c r="K160" s="60" cm="1">
        <f t="array" ref="K160">IFERROR(INDEX(Input_ForRateCalc[],MATCH($C160&amp;" - "&amp;K$103,Input_ForRateCalc[[Cost item]:[Cost item]],0),MATCH(Calc_TUV_Net_1[[#This Row],[Decision ref]:[Decision ref]],Input_ForRateCalc[#Headers],0)),"-")</f>
        <v>18.668411930490375</v>
      </c>
      <c r="L160" s="60" t="str" cm="1">
        <f t="array" ref="L160">IFERROR(INDEX(Input_ForRateCalc[],MATCH($C160&amp;" - "&amp;L$103,Input_ForRateCalc[[Cost item]:[Cost item]],0),MATCH(Calc_TUV_Net_1[[#This Row],[Decision ref]:[Decision ref]],Input_ForRateCalc[#Headers],0)),"-")</f>
        <v>-</v>
      </c>
      <c r="M160" s="60" t="str" cm="1">
        <f t="array" ref="M160">IFERROR(INDEX(Input_ForRateCalc[],MATCH($C160&amp;" - "&amp;M$103,Input_ForRateCalc[[Cost item]:[Cost item]],0),MATCH(Calc_TUV_Net_1[[#This Row],[Decision ref]:[Decision ref]],Input_ForRateCalc[#Headers],0)),"-")</f>
        <v>-</v>
      </c>
      <c r="N160" s="60" t="str" cm="1">
        <f t="array" ref="N160">IFERROR(INDEX(Input_ForRateCalc[],MATCH($C160&amp;" - "&amp;N$103,Input_ForRateCalc[[Cost item]:[Cost item]],0),MATCH(Calc_TUV_Net_1[[#This Row],[Decision ref]:[Decision ref]],Input_ForRateCalc[#Headers],0)),"-")</f>
        <v>-</v>
      </c>
      <c r="O160" s="60" t="str" cm="1">
        <f t="array" ref="O160">IFERROR(INDEX(Input_ForRateCalc[],MATCH($C160&amp;" - "&amp;O$103,Input_ForRateCalc[[Cost item]:[Cost item]],0),MATCH(Calc_TUV_Net_1[[#This Row],[Decision ref]:[Decision ref]],Input_ForRateCalc[#Headers],0)),"-")</f>
        <v>-</v>
      </c>
    </row>
    <row r="161" spans="3:15" hidden="1" outlineLevel="1">
      <c r="C161" s="53" t="s">
        <v>237</v>
      </c>
      <c r="D161" s="75" t="str">
        <f t="shared" si="56"/>
        <v>VDO 2023-24 - Final</v>
      </c>
      <c r="E161" s="20" t="s">
        <v>190</v>
      </c>
      <c r="F161" s="75" t="str">
        <f>INDEX(Inputs!$C$10:$Y$10,1,MATCH($D161,Inputs!$C$8:$Y$8,0))</f>
        <v>F-NextVDO_Input</v>
      </c>
      <c r="G161" s="62"/>
      <c r="H161" s="20" t="s">
        <v>103</v>
      </c>
      <c r="I161" s="20" t="s">
        <v>226</v>
      </c>
      <c r="J161" s="53" t="s">
        <v>66</v>
      </c>
      <c r="K161" s="60" cm="1">
        <f t="array" ref="K161">IFERROR(INDEX(Input_ForRateCalc[],MATCH($C161&amp;" - "&amp;K$103,Input_ForRateCalc[[Cost item]:[Cost item]],0),MATCH(Calc_TUV_Net_1[[#This Row],[Decision ref]:[Decision ref]],Input_ForRateCalc[#Headers],0)),"-")</f>
        <v>20.620858559880922</v>
      </c>
      <c r="L161" s="60" t="str" cm="1">
        <f t="array" ref="L161">IFERROR(INDEX(Input_ForRateCalc[],MATCH($C161&amp;" - "&amp;L$103,Input_ForRateCalc[[Cost item]:[Cost item]],0),MATCH(Calc_TUV_Net_1[[#This Row],[Decision ref]:[Decision ref]],Input_ForRateCalc[#Headers],0)),"-")</f>
        <v>-</v>
      </c>
      <c r="M161" s="60" t="str" cm="1">
        <f t="array" ref="M161">IFERROR(INDEX(Input_ForRateCalc[],MATCH($C161&amp;" - "&amp;M$103,Input_ForRateCalc[[Cost item]:[Cost item]],0),MATCH(Calc_TUV_Net_1[[#This Row],[Decision ref]:[Decision ref]],Input_ForRateCalc[#Headers],0)),"-")</f>
        <v>-</v>
      </c>
      <c r="N161" s="60" t="str" cm="1">
        <f t="array" ref="N161">IFERROR(INDEX(Input_ForRateCalc[],MATCH($C161&amp;" - "&amp;N$103,Input_ForRateCalc[[Cost item]:[Cost item]],0),MATCH(Calc_TUV_Net_1[[#This Row],[Decision ref]:[Decision ref]],Input_ForRateCalc[#Headers],0)),"-")</f>
        <v>-</v>
      </c>
      <c r="O161" s="60" t="str" cm="1">
        <f t="array" ref="O161">IFERROR(INDEX(Input_ForRateCalc[],MATCH($C161&amp;" - "&amp;O$103,Input_ForRateCalc[[Cost item]:[Cost item]],0),MATCH(Calc_TUV_Net_1[[#This Row],[Decision ref]:[Decision ref]],Input_ForRateCalc[#Headers],0)),"-")</f>
        <v>-</v>
      </c>
    </row>
    <row r="162" spans="3:15" hidden="1" outlineLevel="1">
      <c r="C162" s="53" t="s">
        <v>238</v>
      </c>
      <c r="D162" s="75" t="str">
        <f t="shared" si="56"/>
        <v>VDO 2023-24 - Final</v>
      </c>
      <c r="E162" s="20" t="s">
        <v>190</v>
      </c>
      <c r="F162" s="75" t="str">
        <f>INDEX(Inputs!$C$10:$Y$10,1,MATCH($D162,Inputs!$C$8:$Y$8,0))</f>
        <v>F-NextVDO_Input</v>
      </c>
      <c r="G162" s="52"/>
      <c r="H162" s="20" t="s">
        <v>103</v>
      </c>
      <c r="I162" s="20" t="s">
        <v>226</v>
      </c>
      <c r="J162" s="53" t="s">
        <v>66</v>
      </c>
      <c r="K162" s="60" t="str" cm="1">
        <f t="array" ref="K162">IFERROR(INDEX(Input_ForRateCalc[],MATCH($C162&amp;" - "&amp;K$103,Input_ForRateCalc[[Cost item]:[Cost item]],0),MATCH(Calc_TUV_Net_1[[#This Row],[Decision ref]:[Decision ref]],Input_ForRateCalc[#Headers],0)),"-")</f>
        <v>-</v>
      </c>
      <c r="L162" s="60" cm="1">
        <f t="array" ref="L162">IFERROR(INDEX(Input_ForRateCalc[],MATCH($C162&amp;" - "&amp;L$103,Input_ForRateCalc[[Cost item]:[Cost item]],0),MATCH(Calc_TUV_Net_1[[#This Row],[Decision ref]:[Decision ref]],Input_ForRateCalc[#Headers],0)),"-")</f>
        <v>8.15</v>
      </c>
      <c r="M162" s="60" cm="1">
        <f t="array" ref="M162">IFERROR(INDEX(Input_ForRateCalc[],MATCH($C162&amp;" - "&amp;M$103,Input_ForRateCalc[[Cost item]:[Cost item]],0),MATCH(Calc_TUV_Net_1[[#This Row],[Decision ref]:[Decision ref]],Input_ForRateCalc[#Headers],0)),"-")</f>
        <v>11.834</v>
      </c>
      <c r="N162" s="60" cm="1">
        <f t="array" ref="N162">IFERROR(INDEX(Input_ForRateCalc[],MATCH($C162&amp;" - "&amp;N$103,Input_ForRateCalc[[Cost item]:[Cost item]],0),MATCH(Calc_TUV_Net_1[[#This Row],[Decision ref]:[Decision ref]],Input_ForRateCalc[#Headers],0)),"-")</f>
        <v>9.81</v>
      </c>
      <c r="O162" s="60" cm="1">
        <f t="array" ref="O162">IFERROR(INDEX(Input_ForRateCalc[],MATCH($C162&amp;" - "&amp;O$103,Input_ForRateCalc[[Cost item]:[Cost item]],0),MATCH(Calc_TUV_Net_1[[#This Row],[Decision ref]:[Decision ref]],Input_ForRateCalc[#Headers],0)),"-")</f>
        <v>9.39</v>
      </c>
    </row>
    <row r="163" spans="3:15" hidden="1" outlineLevel="1">
      <c r="C163" s="53" t="s">
        <v>191</v>
      </c>
      <c r="D163" s="75" t="str">
        <f t="shared" si="56"/>
        <v>VDO 2023-24 - Final</v>
      </c>
      <c r="E163" s="20" t="s">
        <v>190</v>
      </c>
      <c r="F163" s="75" t="str">
        <f>INDEX(Inputs!$C$10:$Y$10,1,MATCH($D163,Inputs!$C$8:$Y$8,0))</f>
        <v>F-NextVDO_Input</v>
      </c>
      <c r="G163" s="52"/>
      <c r="H163" s="20" t="s">
        <v>103</v>
      </c>
      <c r="I163" s="20" t="s">
        <v>64</v>
      </c>
      <c r="J163" s="53" t="s">
        <v>66</v>
      </c>
      <c r="K163" s="61">
        <f>SUM(
IFERROR(K160/100*SUMIFS(INDEX(TUNet_Usage_PerRate_1[],0,MATCH(K$103,TUNet_Usage_PerRate_1[#Headers],0)),TUNet_Usage_PerRate_1[Customer type],Calc_TUV_Net_1[[#This Row],[Customer type]],TUNet_Usage_PerRate_1[Description],"Usage per customer - Block 1"),0),
IFERROR(K161/100*SUMIFS(INDEX(TUNet_Usage_PerRate_1[],0,MATCH(K$103,TUNet_Usage_PerRate_1[#Headers],0)),TUNet_Usage_PerRate_1[Customer type],Calc_TUV_Net_1[[#This Row],[Customer type]],TUNet_Usage_PerRate_1[Description],"Usage per customer - Balance"),0),
IFERROR(K162/100*SUMIFS(INDEX(TUNet_Usage_PerRate_1[],0,MATCH(K$103,TUNet_Usage_PerRate_1[#Headers],0)),TUNet_Usage_PerRate_1[Customer type],Calc_TUV_Net_1[[#This Row],[Customer type]],TUNet_Usage_PerRate_1[Description],"Usage per customer - Single rate"),0))</f>
        <v>0</v>
      </c>
      <c r="L163" s="61">
        <f>SUM(
IFERROR(L160/100*SUMIFS(INDEX(TUNet_Usage_PerRate_1[],0,MATCH(L$103,TUNet_Usage_PerRate_1[#Headers],0)),TUNet_Usage_PerRate_1[Customer type],Calc_TUV_Net_1[[#This Row],[Customer type]],TUNet_Usage_PerRate_1[Description],"Usage per customer - Block 1"),0),
IFERROR(L161/100*SUMIFS(INDEX(TUNet_Usage_PerRate_1[],0,MATCH(L$103,TUNet_Usage_PerRate_1[#Headers],0)),TUNet_Usage_PerRate_1[Customer type],Calc_TUV_Net_1[[#This Row],[Customer type]],TUNet_Usage_PerRate_1[Description],"Usage per customer - Balance"),0),
IFERROR(L162/100*SUMIFS(INDEX(TUNet_Usage_PerRate_1[],0,MATCH(L$103,TUNet_Usage_PerRate_1[#Headers],0)),TUNet_Usage_PerRate_1[Customer type],Calc_TUV_Net_1[[#This Row],[Customer type]],TUNet_Usage_PerRate_1[Description],"Usage per customer - Single rate"),0))</f>
        <v>0</v>
      </c>
      <c r="M163" s="61">
        <f>SUM(
IFERROR(M160/100*SUMIFS(INDEX(TUNet_Usage_PerRate_1[],0,MATCH(M$103,TUNet_Usage_PerRate_1[#Headers],0)),TUNet_Usage_PerRate_1[Customer type],Calc_TUV_Net_1[[#This Row],[Customer type]],TUNet_Usage_PerRate_1[Description],"Usage per customer - Block 1"),0),
IFERROR(M161/100*SUMIFS(INDEX(TUNet_Usage_PerRate_1[],0,MATCH(M$103,TUNet_Usage_PerRate_1[#Headers],0)),TUNet_Usage_PerRate_1[Customer type],Calc_TUV_Net_1[[#This Row],[Customer type]],TUNet_Usage_PerRate_1[Description],"Usage per customer - Balance"),0),
IFERROR(M162/100*SUMIFS(INDEX(TUNet_Usage_PerRate_1[],0,MATCH(M$103,TUNet_Usage_PerRate_1[#Headers],0)),TUNet_Usage_PerRate_1[Customer type],Calc_TUV_Net_1[[#This Row],[Customer type]],TUNet_Usage_PerRate_1[Description],"Usage per customer - Single rate"),0))</f>
        <v>0</v>
      </c>
      <c r="N163" s="61">
        <f>SUM(
IFERROR(N160/100*SUMIFS(INDEX(TUNet_Usage_PerRate_1[],0,MATCH(N$103,TUNet_Usage_PerRate_1[#Headers],0)),TUNet_Usage_PerRate_1[Customer type],Calc_TUV_Net_1[[#This Row],[Customer type]],TUNet_Usage_PerRate_1[Description],"Usage per customer - Block 1"),0),
IFERROR(N161/100*SUMIFS(INDEX(TUNet_Usage_PerRate_1[],0,MATCH(N$103,TUNet_Usage_PerRate_1[#Headers],0)),TUNet_Usage_PerRate_1[Customer type],Calc_TUV_Net_1[[#This Row],[Customer type]],TUNet_Usage_PerRate_1[Description],"Usage per customer - Balance"),0),
IFERROR(N162/100*SUMIFS(INDEX(TUNet_Usage_PerRate_1[],0,MATCH(N$103,TUNet_Usage_PerRate_1[#Headers],0)),TUNet_Usage_PerRate_1[Customer type],Calc_TUV_Net_1[[#This Row],[Customer type]],TUNet_Usage_PerRate_1[Description],"Usage per customer - Single rate"),0))</f>
        <v>0</v>
      </c>
      <c r="O163" s="61">
        <f>SUM(
IFERROR(O160/100*SUMIFS(INDEX(TUNet_Usage_PerRate_1[],0,MATCH(O$103,TUNet_Usage_PerRate_1[#Headers],0)),TUNet_Usage_PerRate_1[Customer type],Calc_TUV_Net_1[[#This Row],[Customer type]],TUNet_Usage_PerRate_1[Description],"Usage per customer - Block 1"),0),
IFERROR(O161/100*SUMIFS(INDEX(TUNet_Usage_PerRate_1[],0,MATCH(O$103,TUNet_Usage_PerRate_1[#Headers],0)),TUNet_Usage_PerRate_1[Customer type],Calc_TUV_Net_1[[#This Row],[Customer type]],TUNet_Usage_PerRate_1[Description],"Usage per customer - Balance"),0),
IFERROR(O162/100*SUMIFS(INDEX(TUNet_Usage_PerRate_1[],0,MATCH(O$103,TUNet_Usage_PerRate_1[#Headers],0)),TUNet_Usage_PerRate_1[Customer type],Calc_TUV_Net_1[[#This Row],[Customer type]],TUNet_Usage_PerRate_1[Description],"Usage per customer - Single rate"),0))</f>
        <v>0</v>
      </c>
    </row>
    <row r="164" spans="3:15" hidden="1" outlineLevel="1">
      <c r="C164" s="53" t="s">
        <v>236</v>
      </c>
      <c r="D164" s="75" t="str">
        <f>INDEX(Input_DecisionActual[[Decision]:[Decision]],MATCH($D$5,Input_DecisionActual[[VDO period]:[VDO period]],0),1)</f>
        <v>VDO 2022-23 - Final</v>
      </c>
      <c r="E164" s="20" t="s">
        <v>192</v>
      </c>
      <c r="F164" s="75" t="str">
        <f>IF($D164="-","-",INDEX(Inputs!$C$10:$Y$10,1,MATCH($D164,Inputs!$C$8:$Y$8,0)))</f>
        <v>F-CurrentVDO_Input</v>
      </c>
      <c r="G164" s="52"/>
      <c r="H164" s="20" t="s">
        <v>103</v>
      </c>
      <c r="I164" s="20" t="s">
        <v>226</v>
      </c>
      <c r="J164" s="53" t="s">
        <v>66</v>
      </c>
      <c r="K164" s="60" cm="1">
        <f t="array" ref="K164">IFERROR(INDEX(Input_ForRateCalc[],MATCH($C164&amp;" - "&amp;K$103,Input_ForRateCalc[[Cost item]:[Cost item]],0),MATCH(Calc_TUV_Net_1[[#This Row],[Decision ref]:[Decision ref]],Input_ForRateCalc[#Headers],0)),"-")</f>
        <v>17.498000000000001</v>
      </c>
      <c r="L164" s="60" t="str" cm="1">
        <f t="array" ref="L164">IFERROR(INDEX(Input_ForRateCalc[],MATCH($C164&amp;" - "&amp;L$103,Input_ForRateCalc[[Cost item]:[Cost item]],0),MATCH(Calc_TUV_Net_1[[#This Row],[Decision ref]:[Decision ref]],Input_ForRateCalc[#Headers],0)),"-")</f>
        <v>-</v>
      </c>
      <c r="M164" s="60" t="str" cm="1">
        <f t="array" ref="M164">IFERROR(INDEX(Input_ForRateCalc[],MATCH($C164&amp;" - "&amp;M$103,Input_ForRateCalc[[Cost item]:[Cost item]],0),MATCH(Calc_TUV_Net_1[[#This Row],[Decision ref]:[Decision ref]],Input_ForRateCalc[#Headers],0)),"-")</f>
        <v>-</v>
      </c>
      <c r="N164" s="60" t="str" cm="1">
        <f t="array" ref="N164">IFERROR(INDEX(Input_ForRateCalc[],MATCH($C164&amp;" - "&amp;N$103,Input_ForRateCalc[[Cost item]:[Cost item]],0),MATCH(Calc_TUV_Net_1[[#This Row],[Decision ref]:[Decision ref]],Input_ForRateCalc[#Headers],0)),"-")</f>
        <v>-</v>
      </c>
      <c r="O164" s="60" t="str" cm="1">
        <f t="array" ref="O164">IFERROR(INDEX(Input_ForRateCalc[],MATCH($C164&amp;" - "&amp;O$103,Input_ForRateCalc[[Cost item]:[Cost item]],0),MATCH(Calc_TUV_Net_1[[#This Row],[Decision ref]:[Decision ref]],Input_ForRateCalc[#Headers],0)),"-")</f>
        <v>-</v>
      </c>
    </row>
    <row r="165" spans="3:15" hidden="1" outlineLevel="1">
      <c r="C165" s="53" t="s">
        <v>237</v>
      </c>
      <c r="D165" s="75" t="str">
        <f>INDEX(Input_DecisionActual[[Decision]:[Decision]],MATCH($D$5,Input_DecisionActual[[VDO period]:[VDO period]],0),1)</f>
        <v>VDO 2022-23 - Final</v>
      </c>
      <c r="E165" s="20" t="s">
        <v>192</v>
      </c>
      <c r="F165" s="75" t="str">
        <f>IF($D165="-","-",INDEX(Inputs!$C$10:$Y$10,1,MATCH($D165,Inputs!$C$8:$Y$8,0)))</f>
        <v>F-CurrentVDO_Input</v>
      </c>
      <c r="G165" s="52"/>
      <c r="H165" s="20" t="s">
        <v>103</v>
      </c>
      <c r="I165" s="20" t="s">
        <v>226</v>
      </c>
      <c r="J165" s="53" t="s">
        <v>66</v>
      </c>
      <c r="K165" s="60" cm="1">
        <f t="array" ref="K165">IFERROR(INDEX(Input_ForRateCalc[],MATCH($C165&amp;" - "&amp;K$103,Input_ForRateCalc[[Cost item]:[Cost item]],0),MATCH(Calc_TUV_Net_1[[#This Row],[Decision ref]:[Decision ref]],Input_ForRateCalc[#Headers],0)),"-")</f>
        <v>20.5366</v>
      </c>
      <c r="L165" s="60" t="str" cm="1">
        <f t="array" ref="L165">IFERROR(INDEX(Input_ForRateCalc[],MATCH($C165&amp;" - "&amp;L$103,Input_ForRateCalc[[Cost item]:[Cost item]],0),MATCH(Calc_TUV_Net_1[[#This Row],[Decision ref]:[Decision ref]],Input_ForRateCalc[#Headers],0)),"-")</f>
        <v>-</v>
      </c>
      <c r="M165" s="60" t="str" cm="1">
        <f t="array" ref="M165">IFERROR(INDEX(Input_ForRateCalc[],MATCH($C165&amp;" - "&amp;M$103,Input_ForRateCalc[[Cost item]:[Cost item]],0),MATCH(Calc_TUV_Net_1[[#This Row],[Decision ref]:[Decision ref]],Input_ForRateCalc[#Headers],0)),"-")</f>
        <v>-</v>
      </c>
      <c r="N165" s="60" t="str" cm="1">
        <f t="array" ref="N165">IFERROR(INDEX(Input_ForRateCalc[],MATCH($C165&amp;" - "&amp;N$103,Input_ForRateCalc[[Cost item]:[Cost item]],0),MATCH(Calc_TUV_Net_1[[#This Row],[Decision ref]:[Decision ref]],Input_ForRateCalc[#Headers],0)),"-")</f>
        <v>-</v>
      </c>
      <c r="O165" s="60" t="str" cm="1">
        <f t="array" ref="O165">IFERROR(INDEX(Input_ForRateCalc[],MATCH($C165&amp;" - "&amp;O$103,Input_ForRateCalc[[Cost item]:[Cost item]],0),MATCH(Calc_TUV_Net_1[[#This Row],[Decision ref]:[Decision ref]],Input_ForRateCalc[#Headers],0)),"-")</f>
        <v>-</v>
      </c>
    </row>
    <row r="166" spans="3:15" hidden="1" outlineLevel="1">
      <c r="C166" s="53" t="s">
        <v>238</v>
      </c>
      <c r="D166" s="75" t="str">
        <f>INDEX(Input_DecisionActual[[Decision]:[Decision]],MATCH($D$5,Input_DecisionActual[[VDO period]:[VDO period]],0),1)</f>
        <v>VDO 2022-23 - Final</v>
      </c>
      <c r="E166" s="20" t="s">
        <v>192</v>
      </c>
      <c r="F166" s="75" t="str">
        <f>IF($D166="-","-",INDEX(Inputs!$C$10:$Y$10,1,MATCH($D166,Inputs!$C$8:$Y$8,0)))</f>
        <v>F-CurrentVDO_Input</v>
      </c>
      <c r="G166" s="52"/>
      <c r="H166" s="20" t="s">
        <v>103</v>
      </c>
      <c r="I166" s="20" t="s">
        <v>226</v>
      </c>
      <c r="J166" s="53" t="s">
        <v>66</v>
      </c>
      <c r="K166" s="60" t="str" cm="1">
        <f t="array" ref="K166">IFERROR(INDEX(Input_ForRateCalc[],MATCH($C166&amp;" - "&amp;K$103,Input_ForRateCalc[[Cost item]:[Cost item]],0),MATCH(Calc_TUV_Net_1[[#This Row],[Decision ref]:[Decision ref]],Input_ForRateCalc[#Headers],0)),"-")</f>
        <v>-</v>
      </c>
      <c r="L166" s="60" cm="1">
        <f t="array" ref="L166">IFERROR(INDEX(Input_ForRateCalc[],MATCH($C166&amp;" - "&amp;L$103,Input_ForRateCalc[[Cost item]:[Cost item]],0),MATCH(Calc_TUV_Net_1[[#This Row],[Decision ref]:[Decision ref]],Input_ForRateCalc[#Headers],0)),"-")</f>
        <v>8.0299999999999994</v>
      </c>
      <c r="M166" s="60" cm="1">
        <f t="array" ref="M166">IFERROR(INDEX(Input_ForRateCalc[],MATCH($C166&amp;" - "&amp;M$103,Input_ForRateCalc[[Cost item]:[Cost item]],0),MATCH(Calc_TUV_Net_1[[#This Row],[Decision ref]:[Decision ref]],Input_ForRateCalc[#Headers],0)),"-")</f>
        <v>10.84</v>
      </c>
      <c r="N166" s="60" cm="1">
        <f t="array" ref="N166">IFERROR(INDEX(Input_ForRateCalc[],MATCH($C166&amp;" - "&amp;N$103,Input_ForRateCalc[[Cost item]:[Cost item]],0),MATCH(Calc_TUV_Net_1[[#This Row],[Decision ref]:[Decision ref]],Input_ForRateCalc[#Headers],0)),"-")</f>
        <v>9.2899999999999991</v>
      </c>
      <c r="O166" s="60" cm="1">
        <f t="array" ref="O166">IFERROR(INDEX(Input_ForRateCalc[],MATCH($C166&amp;" - "&amp;O$103,Input_ForRateCalc[[Cost item]:[Cost item]],0),MATCH(Calc_TUV_Net_1[[#This Row],[Decision ref]:[Decision ref]],Input_ForRateCalc[#Headers],0)),"-")</f>
        <v>9.14</v>
      </c>
    </row>
    <row r="167" spans="3:15" hidden="1" outlineLevel="1">
      <c r="C167" s="53" t="s">
        <v>191</v>
      </c>
      <c r="D167" s="75" t="str">
        <f>INDEX(Input_DecisionActual[[Decision]:[Decision]],MATCH($D$5,Input_DecisionActual[[VDO period]:[VDO period]],0),1)</f>
        <v>VDO 2022-23 - Final</v>
      </c>
      <c r="E167" s="20" t="s">
        <v>192</v>
      </c>
      <c r="F167" s="75" t="str">
        <f>IF($D167="-","-",INDEX(Inputs!$C$10:$Y$10,1,MATCH($D167,Inputs!$C$8:$Y$8,0)))</f>
        <v>F-CurrentVDO_Input</v>
      </c>
      <c r="G167" s="52"/>
      <c r="H167" s="20" t="s">
        <v>103</v>
      </c>
      <c r="I167" s="20" t="s">
        <v>64</v>
      </c>
      <c r="J167" s="53" t="s">
        <v>66</v>
      </c>
      <c r="K167" s="61">
        <f>SUM(
IFERROR(K164/100*SUMIFS(INDEX(TUNet_Usage_PerRate_1[],0,MATCH(K$103,TUNet_Usage_PerRate_1[#Headers],0)),TUNet_Usage_PerRate_1[Customer type],Calc_TUV_Net_1[[#This Row],[Customer type]],TUNet_Usage_PerRate_1[Description],"Usage per customer - Block 1"),0),
IFERROR(K165/100*SUMIFS(INDEX(TUNet_Usage_PerRate_1[],0,MATCH(K$103,TUNet_Usage_PerRate_1[#Headers],0)),TUNet_Usage_PerRate_1[Customer type],Calc_TUV_Net_1[[#This Row],[Customer type]],TUNet_Usage_PerRate_1[Description],"Usage per customer - Balance"),0),
IFERROR(K166/100*SUMIFS(INDEX(TUNet_Usage_PerRate_1[],0,MATCH(K$103,TUNet_Usage_PerRate_1[#Headers],0)),TUNet_Usage_PerRate_1[Customer type],Calc_TUV_Net_1[[#This Row],[Customer type]],TUNet_Usage_PerRate_1[Description],"Usage per customer - Single rate"),0))</f>
        <v>0</v>
      </c>
      <c r="L167" s="61">
        <f>SUM(
IFERROR(L164/100*SUMIFS(INDEX(TUNet_Usage_PerRate_1[],0,MATCH(L$103,TUNet_Usage_PerRate_1[#Headers],0)),TUNet_Usage_PerRate_1[Customer type],Calc_TUV_Net_1[[#This Row],[Customer type]],TUNet_Usage_PerRate_1[Description],"Usage per customer - Block 1"),0),
IFERROR(L165/100*SUMIFS(INDEX(TUNet_Usage_PerRate_1[],0,MATCH(L$103,TUNet_Usage_PerRate_1[#Headers],0)),TUNet_Usage_PerRate_1[Customer type],Calc_TUV_Net_1[[#This Row],[Customer type]],TUNet_Usage_PerRate_1[Description],"Usage per customer - Balance"),0),
IFERROR(L166/100*SUMIFS(INDEX(TUNet_Usage_PerRate_1[],0,MATCH(L$103,TUNet_Usage_PerRate_1[#Headers],0)),TUNet_Usage_PerRate_1[Customer type],Calc_TUV_Net_1[[#This Row],[Customer type]],TUNet_Usage_PerRate_1[Description],"Usage per customer - Single rate"),0))</f>
        <v>0</v>
      </c>
      <c r="M167" s="61">
        <f>SUM(
IFERROR(M164/100*SUMIFS(INDEX(TUNet_Usage_PerRate_1[],0,MATCH(M$103,TUNet_Usage_PerRate_1[#Headers],0)),TUNet_Usage_PerRate_1[Customer type],Calc_TUV_Net_1[[#This Row],[Customer type]],TUNet_Usage_PerRate_1[Description],"Usage per customer - Block 1"),0),
IFERROR(M165/100*SUMIFS(INDEX(TUNet_Usage_PerRate_1[],0,MATCH(M$103,TUNet_Usage_PerRate_1[#Headers],0)),TUNet_Usage_PerRate_1[Customer type],Calc_TUV_Net_1[[#This Row],[Customer type]],TUNet_Usage_PerRate_1[Description],"Usage per customer - Balance"),0),
IFERROR(M166/100*SUMIFS(INDEX(TUNet_Usage_PerRate_1[],0,MATCH(M$103,TUNet_Usage_PerRate_1[#Headers],0)),TUNet_Usage_PerRate_1[Customer type],Calc_TUV_Net_1[[#This Row],[Customer type]],TUNet_Usage_PerRate_1[Description],"Usage per customer - Single rate"),0))</f>
        <v>0</v>
      </c>
      <c r="N167" s="61">
        <f>SUM(
IFERROR(N164/100*SUMIFS(INDEX(TUNet_Usage_PerRate_1[],0,MATCH(N$103,TUNet_Usage_PerRate_1[#Headers],0)),TUNet_Usage_PerRate_1[Customer type],Calc_TUV_Net_1[[#This Row],[Customer type]],TUNet_Usage_PerRate_1[Description],"Usage per customer - Block 1"),0),
IFERROR(N165/100*SUMIFS(INDEX(TUNet_Usage_PerRate_1[],0,MATCH(N$103,TUNet_Usage_PerRate_1[#Headers],0)),TUNet_Usage_PerRate_1[Customer type],Calc_TUV_Net_1[[#This Row],[Customer type]],TUNet_Usage_PerRate_1[Description],"Usage per customer - Balance"),0),
IFERROR(N166/100*SUMIFS(INDEX(TUNet_Usage_PerRate_1[],0,MATCH(N$103,TUNet_Usage_PerRate_1[#Headers],0)),TUNet_Usage_PerRate_1[Customer type],Calc_TUV_Net_1[[#This Row],[Customer type]],TUNet_Usage_PerRate_1[Description],"Usage per customer - Single rate"),0))</f>
        <v>0</v>
      </c>
      <c r="O167" s="61">
        <f>SUM(
IFERROR(O164/100*SUMIFS(INDEX(TUNet_Usage_PerRate_1[],0,MATCH(O$103,TUNet_Usage_PerRate_1[#Headers],0)),TUNet_Usage_PerRate_1[Customer type],Calc_TUV_Net_1[[#This Row],[Customer type]],TUNet_Usage_PerRate_1[Description],"Usage per customer - Block 1"),0),
IFERROR(O165/100*SUMIFS(INDEX(TUNet_Usage_PerRate_1[],0,MATCH(O$103,TUNet_Usage_PerRate_1[#Headers],0)),TUNet_Usage_PerRate_1[Customer type],Calc_TUV_Net_1[[#This Row],[Customer type]],TUNet_Usage_PerRate_1[Description],"Usage per customer - Balance"),0),
IFERROR(O166/100*SUMIFS(INDEX(TUNet_Usage_PerRate_1[],0,MATCH(O$103,TUNet_Usage_PerRate_1[#Headers],0)),TUNet_Usage_PerRate_1[Customer type],Calc_TUV_Net_1[[#This Row],[Customer type]],TUNet_Usage_PerRate_1[Description],"Usage per customer - Single rate"),0))</f>
        <v>0</v>
      </c>
    </row>
    <row r="168" spans="3:15" hidden="1" outlineLevel="1">
      <c r="C168" s="53" t="s">
        <v>193</v>
      </c>
      <c r="D168" s="20"/>
      <c r="E168" s="20"/>
      <c r="F168" s="20"/>
      <c r="G168" s="53"/>
      <c r="H168" s="20" t="s">
        <v>103</v>
      </c>
      <c r="I168" s="20" t="s">
        <v>64</v>
      </c>
      <c r="J168" s="53" t="s">
        <v>66</v>
      </c>
      <c r="K168" s="59" t="str">
        <f>IF(K167=0,"-",K163-K167)</f>
        <v>-</v>
      </c>
      <c r="L168" s="59" t="str">
        <f t="shared" ref="L168:O168" si="57">IF(L167=0,"-",L163-L167)</f>
        <v>-</v>
      </c>
      <c r="M168" s="59" t="str">
        <f t="shared" si="57"/>
        <v>-</v>
      </c>
      <c r="N168" s="59" t="str">
        <f t="shared" si="57"/>
        <v>-</v>
      </c>
      <c r="O168" s="59" t="str">
        <f t="shared" si="57"/>
        <v>-</v>
      </c>
    </row>
    <row r="169" spans="3:15" hidden="1" outlineLevel="1">
      <c r="C169" s="53" t="s">
        <v>180</v>
      </c>
      <c r="D169" s="20"/>
      <c r="E169" s="20"/>
      <c r="F169" s="20"/>
      <c r="G169" s="53"/>
      <c r="H169" s="20" t="s">
        <v>103</v>
      </c>
      <c r="I169" s="20" t="s">
        <v>64</v>
      </c>
      <c r="J169" s="53" t="s">
        <v>66</v>
      </c>
      <c r="K169" s="60" t="str">
        <f>IFERROR(IF($D$11="Yes",K168*(1+WACC_adj_1),""),"-")</f>
        <v/>
      </c>
      <c r="L169" s="60" t="str">
        <f>IFERROR(IF($D$11="Yes",L168*(1+WACC_adj_1),""),"-")</f>
        <v/>
      </c>
      <c r="M169" s="60" t="str">
        <f>IFERROR(IF($D$11="Yes",M168*(1+WACC_adj_1),""),"-")</f>
        <v/>
      </c>
      <c r="N169" s="60" t="str">
        <f>IFERROR(IF($D$11="Yes",N168*(1+WACC_adj_1),""),"-")</f>
        <v/>
      </c>
      <c r="O169" s="60" t="str">
        <f>IFERROR(IF($D$11="Yes",O168*(1+WACC_adj_1),""),"-")</f>
        <v/>
      </c>
    </row>
    <row r="170" spans="3:15" hidden="1" outlineLevel="1">
      <c r="C170" s="53" t="s">
        <v>195</v>
      </c>
      <c r="D170" s="75" t="str">
        <f>INDEX(Input_DecisionActual[[Decision]:[Decision]],MATCH($D$5,Input_DecisionActual[[VDO period]:[VDO period]],0),1)</f>
        <v>VDO 2022-23 - Final</v>
      </c>
      <c r="E170" s="20" t="s">
        <v>192</v>
      </c>
      <c r="F170" s="75" t="str">
        <f>IF($D170="-","-",INDEX(Inputs!$C$10:$Y$10,1,MATCH($D170,Inputs!$C$8:$Y$8,0)))</f>
        <v>F-CurrentVDO_Input</v>
      </c>
      <c r="G170" s="53"/>
      <c r="H170" s="20" t="s">
        <v>103</v>
      </c>
      <c r="I170" s="20" t="s">
        <v>64</v>
      </c>
      <c r="J170" s="53" t="s">
        <v>66</v>
      </c>
      <c r="K170" s="60" cm="1">
        <f t="array" ref="K170">IFERROR(SUM(K168:K169)*(INDEX(Inputs!$H$11:$U$134,MATCH("Retail operating margin",Input_ForRateCalc[[Cost item]:[Cost item]],0),MATCH(Calc_TUV_Net_1[[#This Row],[Decision ref]:[Decision ref]],Inputs!$H$10:$U$10,0))),"-")</f>
        <v>0</v>
      </c>
      <c r="L170" s="60" cm="1">
        <f t="array" ref="L170">IFERROR(SUM(L168:L169)*(INDEX(Inputs!$H$11:$U$134,MATCH("Retail operating margin",Input_ForRateCalc[[Cost item]:[Cost item]],0),MATCH(Calc_TUV_Net_1[[#This Row],[Decision ref]:[Decision ref]],Inputs!$H$10:$U$10,0))),"-")</f>
        <v>0</v>
      </c>
      <c r="M170" s="60" cm="1">
        <f t="array" ref="M170">IFERROR(SUM(M168:M169)*(INDEX(Inputs!$H$11:$U$134,MATCH("Retail operating margin",Input_ForRateCalc[[Cost item]:[Cost item]],0),MATCH(Calc_TUV_Net_1[[#This Row],[Decision ref]:[Decision ref]],Inputs!$H$10:$U$10,0))),"-")</f>
        <v>0</v>
      </c>
      <c r="N170" s="60" cm="1">
        <f t="array" ref="N170">IFERROR(SUM(N168:N169)*(INDEX(Inputs!$H$11:$U$134,MATCH("Retail operating margin",Input_ForRateCalc[[Cost item]:[Cost item]],0),MATCH(Calc_TUV_Net_1[[#This Row],[Decision ref]:[Decision ref]],Inputs!$H$10:$U$10,0))),"-")</f>
        <v>0</v>
      </c>
      <c r="O170" s="60" cm="1">
        <f t="array" ref="O170">IFERROR(SUM(O168:O169)*(INDEX(Inputs!$H$11:$U$134,MATCH("Retail operating margin",Input_ForRateCalc[[Cost item]:[Cost item]],0),MATCH(Calc_TUV_Net_1[[#This Row],[Decision ref]:[Decision ref]],Inputs!$H$10:$U$10,0))),"-")</f>
        <v>0</v>
      </c>
    </row>
    <row r="171" spans="3:15" hidden="1" outlineLevel="1">
      <c r="C171" s="53" t="s">
        <v>196</v>
      </c>
      <c r="D171" s="20"/>
      <c r="E171" s="20"/>
      <c r="F171" s="20"/>
      <c r="G171" s="53"/>
      <c r="H171" s="20" t="s">
        <v>103</v>
      </c>
      <c r="I171" s="20" t="s">
        <v>64</v>
      </c>
      <c r="J171" s="53" t="s">
        <v>66</v>
      </c>
      <c r="K171" s="60" t="str">
        <f>IF(K167=0,"-",SUM(K168:K170)*GST)</f>
        <v>-</v>
      </c>
      <c r="L171" s="60" t="str">
        <f>IF(L167=0,"-",SUM(L168:L170)*GST)</f>
        <v>-</v>
      </c>
      <c r="M171" s="60" t="str">
        <f>IF(M167=0,"-",SUM(M168:M170)*GST)</f>
        <v>-</v>
      </c>
      <c r="N171" s="60" t="str">
        <f>IF(N167=0,"-",SUM(N168:N170)*GST)</f>
        <v>-</v>
      </c>
      <c r="O171" s="60" t="str">
        <f>IF(O167=0,"-",SUM(O168:O170)*GST)</f>
        <v>-</v>
      </c>
    </row>
    <row r="172" spans="3:15" hidden="1" outlineLevel="1">
      <c r="C172" s="53" t="s">
        <v>229</v>
      </c>
      <c r="D172" s="20"/>
      <c r="E172" s="20"/>
      <c r="F172" s="20"/>
      <c r="H172" s="20" t="s">
        <v>103</v>
      </c>
      <c r="I172" s="20" t="s">
        <v>64</v>
      </c>
      <c r="J172" s="53" t="s">
        <v>66</v>
      </c>
      <c r="K172" s="60" t="str">
        <f>IF(K167=0,"-",SUM(K168:K171))</f>
        <v>-</v>
      </c>
      <c r="L172" s="60" t="str">
        <f t="shared" ref="L172:O172" si="58">IF(L167=0,"-",SUM(L168:L171))</f>
        <v>-</v>
      </c>
      <c r="M172" s="60" t="str">
        <f t="shared" si="58"/>
        <v>-</v>
      </c>
      <c r="N172" s="60" t="str">
        <f t="shared" si="58"/>
        <v>-</v>
      </c>
      <c r="O172" s="60" t="str">
        <f t="shared" si="58"/>
        <v>-</v>
      </c>
    </row>
    <row r="173" spans="3:15" hidden="1" outlineLevel="1">
      <c r="C173" s="51"/>
      <c r="D173" s="51"/>
      <c r="E173" s="51"/>
      <c r="F173" s="51"/>
      <c r="G173" s="62"/>
      <c r="H173" s="62"/>
      <c r="I173" s="20"/>
      <c r="J173" s="20"/>
      <c r="K173" s="59"/>
      <c r="L173" s="20"/>
      <c r="M173" s="20"/>
      <c r="N173" s="20"/>
      <c r="O173" s="20"/>
    </row>
    <row r="174" spans="3:15" hidden="1" outlineLevel="1">
      <c r="C174" s="51"/>
      <c r="D174" s="51"/>
      <c r="E174" s="51"/>
      <c r="F174" s="51"/>
      <c r="G174" s="62"/>
      <c r="H174" s="62"/>
      <c r="I174" s="20"/>
      <c r="J174" s="20"/>
      <c r="K174" s="59"/>
      <c r="L174" s="20"/>
      <c r="M174" s="20"/>
      <c r="N174" s="20"/>
      <c r="O174" s="20"/>
    </row>
    <row r="175" spans="3:15" ht="15.5" hidden="1" outlineLevel="1">
      <c r="C175" s="1" t="s">
        <v>204</v>
      </c>
      <c r="D175" s="53"/>
      <c r="E175" s="53"/>
      <c r="F175" s="53"/>
      <c r="G175" s="62" t="s">
        <v>181</v>
      </c>
      <c r="H175" s="53"/>
      <c r="I175" s="20"/>
      <c r="J175" s="20"/>
      <c r="K175" s="59"/>
      <c r="L175" s="20"/>
      <c r="M175" s="20"/>
      <c r="N175" s="20"/>
      <c r="O175" s="20"/>
    </row>
    <row r="176" spans="3:15" hidden="1" outlineLevel="1">
      <c r="C176" s="51" t="s">
        <v>239</v>
      </c>
      <c r="D176" s="51"/>
      <c r="E176" s="51"/>
      <c r="F176" s="51"/>
      <c r="G176" s="62"/>
      <c r="H176" s="62"/>
      <c r="I176" s="20"/>
      <c r="J176" s="20"/>
      <c r="K176" s="59"/>
      <c r="L176" s="20"/>
      <c r="M176" s="20"/>
      <c r="N176" s="20"/>
      <c r="O176" s="20"/>
    </row>
    <row r="177" spans="3:15" hidden="1" outlineLevel="1">
      <c r="C177" s="53" t="s">
        <v>240</v>
      </c>
      <c r="D177" s="75" t="str">
        <f t="shared" ref="D177:D179" si="59">$D$5</f>
        <v>VDO 2023-24 - Final</v>
      </c>
      <c r="E177" s="20" t="s">
        <v>190</v>
      </c>
      <c r="F177" s="75" t="str">
        <f>INDEX(Inputs!$C$10:$Y$10,1,MATCH($D177,Inputs!$C$8:$Y$8,0))</f>
        <v>F-NextVDO_Input</v>
      </c>
      <c r="G177" s="52"/>
      <c r="H177" s="20" t="s">
        <v>90</v>
      </c>
      <c r="I177" s="20" t="s">
        <v>64</v>
      </c>
      <c r="J177" s="53" t="s">
        <v>65</v>
      </c>
      <c r="K177" s="60" cm="1">
        <f t="array" ref="K177">IFERROR(INDEX(Input_ForRateCalc[],MATCH($C177&amp;" - "&amp;K$103,Input_ForRateCalc[[Cost item]:[Cost item]],0),MATCH(Calc_TUV_Net_1[[#This Row],[Decision ref]:[Decision ref]],Input_ForRateCalc[#Headers],0)),"-")*TUProp_Days_1</f>
        <v>0</v>
      </c>
      <c r="L177" s="60" cm="1">
        <f t="array" ref="L177">IFERROR(INDEX(Input_ForRateCalc[],MATCH($C177&amp;" - "&amp;L$103,Input_ForRateCalc[[Cost item]:[Cost item]],0),MATCH(Calc_TUV_Net_1[[#This Row],[Decision ref]:[Decision ref]],Input_ForRateCalc[#Headers],0)),"-")*TUProp_Days_1</f>
        <v>0</v>
      </c>
      <c r="M177" s="60" cm="1">
        <f t="array" ref="M177">IFERROR(INDEX(Input_ForRateCalc[],MATCH($C177&amp;" - "&amp;M$103,Input_ForRateCalc[[Cost item]:[Cost item]],0),MATCH(Calc_TUV_Net_1[[#This Row],[Decision ref]:[Decision ref]],Input_ForRateCalc[#Headers],0)),"-")*TUProp_Days_1</f>
        <v>0</v>
      </c>
      <c r="N177" s="60" cm="1">
        <f t="array" ref="N177">IFERROR(INDEX(Input_ForRateCalc[],MATCH($C177&amp;" - "&amp;N$103,Input_ForRateCalc[[Cost item]:[Cost item]],0),MATCH(Calc_TUV_Net_1[[#This Row],[Decision ref]:[Decision ref]],Input_ForRateCalc[#Headers],0)),"-")*TUProp_Days_1</f>
        <v>0</v>
      </c>
      <c r="O177" s="60" cm="1">
        <f t="array" ref="O177">IFERROR(INDEX(Input_ForRateCalc[],MATCH($C177&amp;" - "&amp;O$103,Input_ForRateCalc[[Cost item]:[Cost item]],0),MATCH(Calc_TUV_Net_1[[#This Row],[Decision ref]:[Decision ref]],Input_ForRateCalc[#Headers],0)),"-")*TUProp_Days_1</f>
        <v>0</v>
      </c>
    </row>
    <row r="178" spans="3:15" hidden="1" outlineLevel="1">
      <c r="C178" s="53" t="s">
        <v>94</v>
      </c>
      <c r="D178" s="75" t="str">
        <f t="shared" si="59"/>
        <v>VDO 2023-24 - Final</v>
      </c>
      <c r="E178" s="20" t="s">
        <v>190</v>
      </c>
      <c r="F178" s="75" t="str">
        <f>INDEX(Inputs!$C$10:$Y$10,1,MATCH($D178,Inputs!$C$8:$Y$8,0))</f>
        <v>F-NextVDO_Input</v>
      </c>
      <c r="G178" s="52"/>
      <c r="H178" s="20" t="s">
        <v>90</v>
      </c>
      <c r="I178" s="20" t="s">
        <v>64</v>
      </c>
      <c r="J178" s="53" t="s">
        <v>65</v>
      </c>
      <c r="K178" s="60" cm="1">
        <f t="array" ref="K178">IFERROR(INDEX(Input_ForRateCalc[],MATCH($C178&amp;" - "&amp;K$103,Input_ForRateCalc[[Cost item]:[Cost item]],0),MATCH(Calc_TUV_Net_1[[#This Row],[Decision ref]:[Decision ref]],Input_ForRateCalc[#Headers],0)),"-")*TUProp_Days_1</f>
        <v>0</v>
      </c>
      <c r="L178" s="60" cm="1">
        <f t="array" ref="L178">IFERROR(INDEX(Input_ForRateCalc[],MATCH($C178&amp;" - "&amp;L$103,Input_ForRateCalc[[Cost item]:[Cost item]],0),MATCH(Calc_TUV_Net_1[[#This Row],[Decision ref]:[Decision ref]],Input_ForRateCalc[#Headers],0)),"-")*TUProp_Days_1</f>
        <v>0</v>
      </c>
      <c r="M178" s="60" cm="1">
        <f t="array" ref="M178">IFERROR(INDEX(Input_ForRateCalc[],MATCH($C178&amp;" - "&amp;M$103,Input_ForRateCalc[[Cost item]:[Cost item]],0),MATCH(Calc_TUV_Net_1[[#This Row],[Decision ref]:[Decision ref]],Input_ForRateCalc[#Headers],0)),"-")*TUProp_Days_1</f>
        <v>0</v>
      </c>
      <c r="N178" s="60" cm="1">
        <f t="array" ref="N178">IFERROR(INDEX(Input_ForRateCalc[],MATCH($C178&amp;" - "&amp;N$103,Input_ForRateCalc[[Cost item]:[Cost item]],0),MATCH(Calc_TUV_Net_1[[#This Row],[Decision ref]:[Decision ref]],Input_ForRateCalc[#Headers],0)),"-")*TUProp_Days_1</f>
        <v>0</v>
      </c>
      <c r="O178" s="60" cm="1">
        <f t="array" ref="O178">IFERROR(INDEX(Input_ForRateCalc[],MATCH($C178&amp;" - "&amp;O$103,Input_ForRateCalc[[Cost item]:[Cost item]],0),MATCH(Calc_TUV_Net_1[[#This Row],[Decision ref]:[Decision ref]],Input_ForRateCalc[#Headers],0)),"-")*TUProp_Days_1</f>
        <v>0</v>
      </c>
    </row>
    <row r="179" spans="3:15" hidden="1" outlineLevel="1">
      <c r="C179" s="53" t="s">
        <v>191</v>
      </c>
      <c r="D179" s="75" t="str">
        <f t="shared" si="59"/>
        <v>VDO 2023-24 - Final</v>
      </c>
      <c r="E179" s="20" t="s">
        <v>190</v>
      </c>
      <c r="F179" s="75" t="str">
        <f>INDEX(Inputs!$C$10:$Y$10,1,MATCH($D179,Inputs!$C$8:$Y$8,0))</f>
        <v>F-NextVDO_Input</v>
      </c>
      <c r="G179" s="52"/>
      <c r="H179" s="20" t="s">
        <v>90</v>
      </c>
      <c r="I179" s="20" t="s">
        <v>64</v>
      </c>
      <c r="J179" s="53" t="s">
        <v>65</v>
      </c>
      <c r="K179" s="58">
        <f>IFERROR(SUM(K177:K178),"-")</f>
        <v>0</v>
      </c>
      <c r="L179" s="58">
        <f>IFERROR(SUM(L177:L178),"-")</f>
        <v>0</v>
      </c>
      <c r="M179" s="58">
        <f>IFERROR(SUM(M177:M178),"-")</f>
        <v>0</v>
      </c>
      <c r="N179" s="58">
        <f>IFERROR(SUM(N177:N178),"-")</f>
        <v>0</v>
      </c>
      <c r="O179" s="58">
        <f>IFERROR(SUM(O177:O178),"-")</f>
        <v>0</v>
      </c>
    </row>
    <row r="180" spans="3:15" hidden="1" outlineLevel="1">
      <c r="C180" s="53" t="s">
        <v>222</v>
      </c>
      <c r="D180" s="75" t="str">
        <f>INDEX(Input_DecisionActual[[Decision]:[Decision]],MATCH($D$5,Input_DecisionActual[[VDO period]:[VDO period]],0),1)</f>
        <v>VDO 2022-23 - Final</v>
      </c>
      <c r="E180" s="20" t="s">
        <v>192</v>
      </c>
      <c r="F180" s="75" t="str">
        <f>IF($D180="-","-",INDEX(Inputs!$C$10:$Y$10,1,MATCH($D180,Inputs!$C$8:$Y$8,0)))</f>
        <v>F-CurrentVDO_Input</v>
      </c>
      <c r="G180" s="52"/>
      <c r="H180" s="20" t="s">
        <v>90</v>
      </c>
      <c r="I180" s="20" t="s">
        <v>64</v>
      </c>
      <c r="J180" s="53" t="s">
        <v>65</v>
      </c>
      <c r="K180" s="60" cm="1">
        <f t="array" ref="K180">IFERROR(INDEX(Input_ForRateCalc[],MATCH($C180&amp;" - "&amp;K$103,Input_ForRateCalc[[Cost item]:[Cost item]],0),MATCH(Calc_TUV_Net_1[[#This Row],[Decision ref]:[Decision ref]],Input_ForRateCalc[#Headers],0)),"-")*TUProp_Days_1</f>
        <v>0</v>
      </c>
      <c r="L180" s="60" cm="1">
        <f t="array" ref="L180">IFERROR(INDEX(Input_ForRateCalc[],MATCH($C180&amp;" - "&amp;L$103,Input_ForRateCalc[[Cost item]:[Cost item]],0),MATCH(Calc_TUV_Net_1[[#This Row],[Decision ref]:[Decision ref]],Input_ForRateCalc[#Headers],0)),"-")*TUProp_Days_1</f>
        <v>0</v>
      </c>
      <c r="M180" s="60" cm="1">
        <f t="array" ref="M180">IFERROR(INDEX(Input_ForRateCalc[],MATCH($C180&amp;" - "&amp;M$103,Input_ForRateCalc[[Cost item]:[Cost item]],0),MATCH(Calc_TUV_Net_1[[#This Row],[Decision ref]:[Decision ref]],Input_ForRateCalc[#Headers],0)),"-")*TUProp_Days_1</f>
        <v>0</v>
      </c>
      <c r="N180" s="60" cm="1">
        <f t="array" ref="N180">IFERROR(INDEX(Input_ForRateCalc[],MATCH($C180&amp;" - "&amp;N$103,Input_ForRateCalc[[Cost item]:[Cost item]],0),MATCH(Calc_TUV_Net_1[[#This Row],[Decision ref]:[Decision ref]],Input_ForRateCalc[#Headers],0)),"-")*TUProp_Days_1</f>
        <v>0</v>
      </c>
      <c r="O180" s="60" cm="1">
        <f t="array" ref="O180">IFERROR(INDEX(Input_ForRateCalc[],MATCH($C180&amp;" - "&amp;O$103,Input_ForRateCalc[[Cost item]:[Cost item]],0),MATCH(Calc_TUV_Net_1[[#This Row],[Decision ref]:[Decision ref]],Input_ForRateCalc[#Headers],0)),"-")*TUProp_Days_1</f>
        <v>0</v>
      </c>
    </row>
    <row r="181" spans="3:15" hidden="1" outlineLevel="1">
      <c r="C181" s="53" t="s">
        <v>94</v>
      </c>
      <c r="D181" s="75" t="str">
        <f>INDEX(Input_DecisionActual[[Decision]:[Decision]],MATCH($D$5,Input_DecisionActual[[VDO period]:[VDO period]],0),1)</f>
        <v>VDO 2022-23 - Final</v>
      </c>
      <c r="E181" s="20" t="s">
        <v>192</v>
      </c>
      <c r="F181" s="75" t="str">
        <f>IF($D181="-","-",INDEX(Inputs!$C$10:$Y$10,1,MATCH($D181,Inputs!$C$8:$Y$8,0)))</f>
        <v>F-CurrentVDO_Input</v>
      </c>
      <c r="G181" s="52"/>
      <c r="H181" s="20" t="s">
        <v>90</v>
      </c>
      <c r="I181" s="20" t="s">
        <v>64</v>
      </c>
      <c r="J181" s="53" t="s">
        <v>65</v>
      </c>
      <c r="K181" s="60" cm="1">
        <f t="array" ref="K181">IFERROR(INDEX(Input_ForRateCalc[],MATCH($C181&amp;" - "&amp;K$103,Input_ForRateCalc[[Cost item]:[Cost item]],0),MATCH(Calc_TUV_Net_1[[#This Row],[Decision ref]:[Decision ref]],Input_ForRateCalc[#Headers],0)),"-")*TUProp_Days_1</f>
        <v>0</v>
      </c>
      <c r="L181" s="60" cm="1">
        <f t="array" ref="L181">IFERROR(INDEX(Input_ForRateCalc[],MATCH($C181&amp;" - "&amp;L$103,Input_ForRateCalc[[Cost item]:[Cost item]],0),MATCH(Calc_TUV_Net_1[[#This Row],[Decision ref]:[Decision ref]],Input_ForRateCalc[#Headers],0)),"-")*TUProp_Days_1</f>
        <v>0</v>
      </c>
      <c r="M181" s="60" cm="1">
        <f t="array" ref="M181">IFERROR(INDEX(Input_ForRateCalc[],MATCH($C181&amp;" - "&amp;M$103,Input_ForRateCalc[[Cost item]:[Cost item]],0),MATCH(Calc_TUV_Net_1[[#This Row],[Decision ref]:[Decision ref]],Input_ForRateCalc[#Headers],0)),"-")*TUProp_Days_1</f>
        <v>0</v>
      </c>
      <c r="N181" s="60" cm="1">
        <f t="array" ref="N181">IFERROR(INDEX(Input_ForRateCalc[],MATCH($C181&amp;" - "&amp;N$103,Input_ForRateCalc[[Cost item]:[Cost item]],0),MATCH(Calc_TUV_Net_1[[#This Row],[Decision ref]:[Decision ref]],Input_ForRateCalc[#Headers],0)),"-")*TUProp_Days_1</f>
        <v>0</v>
      </c>
      <c r="O181" s="60" cm="1">
        <f t="array" ref="O181">IFERROR(INDEX(Input_ForRateCalc[],MATCH($C181&amp;" - "&amp;O$103,Input_ForRateCalc[[Cost item]:[Cost item]],0),MATCH(Calc_TUV_Net_1[[#This Row],[Decision ref]:[Decision ref]],Input_ForRateCalc[#Headers],0)),"-")*TUProp_Days_1</f>
        <v>0</v>
      </c>
    </row>
    <row r="182" spans="3:15" hidden="1" outlineLevel="1">
      <c r="C182" s="53" t="s">
        <v>191</v>
      </c>
      <c r="D182" s="75" t="str">
        <f>INDEX(Input_DecisionActual[[Decision]:[Decision]],MATCH($D$5,Input_DecisionActual[[VDO period]:[VDO period]],0),1)</f>
        <v>VDO 2022-23 - Final</v>
      </c>
      <c r="E182" s="20" t="s">
        <v>192</v>
      </c>
      <c r="F182" s="75" t="str">
        <f>IF($D182="-","-",INDEX(Inputs!$C$10:$Y$10,1,MATCH($D182,Inputs!$C$8:$Y$8,0)))</f>
        <v>F-CurrentVDO_Input</v>
      </c>
      <c r="G182" s="52"/>
      <c r="H182" s="20" t="s">
        <v>90</v>
      </c>
      <c r="I182" s="20" t="s">
        <v>64</v>
      </c>
      <c r="J182" s="53" t="s">
        <v>65</v>
      </c>
      <c r="K182" s="59">
        <f>SUM(K180:K181)</f>
        <v>0</v>
      </c>
      <c r="L182" s="59">
        <f>SUM(L180:L181)</f>
        <v>0</v>
      </c>
      <c r="M182" s="59">
        <f>SUM(M180:M181)</f>
        <v>0</v>
      </c>
      <c r="N182" s="59">
        <f>SUM(N180:N181)</f>
        <v>0</v>
      </c>
      <c r="O182" s="59">
        <f>SUM(O180:O181)</f>
        <v>0</v>
      </c>
    </row>
    <row r="183" spans="3:15" hidden="1" outlineLevel="1">
      <c r="C183" s="53" t="s">
        <v>193</v>
      </c>
      <c r="D183" s="20"/>
      <c r="E183" s="20"/>
      <c r="F183" s="20"/>
      <c r="G183" s="53"/>
      <c r="H183" s="20" t="s">
        <v>90</v>
      </c>
      <c r="I183" s="20" t="s">
        <v>64</v>
      </c>
      <c r="J183" s="53" t="s">
        <v>65</v>
      </c>
      <c r="K183" s="59" t="str">
        <f>IF(K182=0,"-",K179-K182)</f>
        <v>-</v>
      </c>
      <c r="L183" s="59" t="str">
        <f t="shared" ref="L183:O183" si="60">IF(L182=0,"-",L179-L182)</f>
        <v>-</v>
      </c>
      <c r="M183" s="59" t="str">
        <f t="shared" si="60"/>
        <v>-</v>
      </c>
      <c r="N183" s="59" t="str">
        <f t="shared" si="60"/>
        <v>-</v>
      </c>
      <c r="O183" s="59" t="str">
        <f t="shared" si="60"/>
        <v>-</v>
      </c>
    </row>
    <row r="184" spans="3:15" hidden="1" outlineLevel="1">
      <c r="C184" s="53" t="s">
        <v>180</v>
      </c>
      <c r="D184" s="20"/>
      <c r="E184" s="20"/>
      <c r="F184" s="20"/>
      <c r="G184" s="53"/>
      <c r="H184" s="20" t="s">
        <v>90</v>
      </c>
      <c r="I184" s="20" t="s">
        <v>64</v>
      </c>
      <c r="J184" s="53" t="s">
        <v>65</v>
      </c>
      <c r="K184" s="60" t="str">
        <f>IFERROR(IF($D$11="Yes",K183*(1+WACC_adj_1),""),"-")</f>
        <v/>
      </c>
      <c r="L184" s="60" t="str">
        <f>IFERROR(IF($D$11="Yes",L183*(1+WACC_adj_1),""),"-")</f>
        <v/>
      </c>
      <c r="M184" s="60" t="str">
        <f>IFERROR(IF($D$11="Yes",M183*(1+WACC_adj_1),""),"-")</f>
        <v/>
      </c>
      <c r="N184" s="60" t="str">
        <f>IFERROR(IF($D$11="Yes",N183*(1+WACC_adj_1),""),"-")</f>
        <v/>
      </c>
      <c r="O184" s="60" t="str">
        <f>IFERROR(IF($D$11="Yes",O183*(1+WACC_adj_1),""),"-")</f>
        <v/>
      </c>
    </row>
    <row r="185" spans="3:15" hidden="1" outlineLevel="1">
      <c r="C185" s="53" t="s">
        <v>195</v>
      </c>
      <c r="D185" s="75" t="str">
        <f>INDEX(Input_DecisionActual[[Decision]:[Decision]],MATCH($D$5,Input_DecisionActual[[VDO period]:[VDO period]],0),1)</f>
        <v>VDO 2022-23 - Final</v>
      </c>
      <c r="E185" s="20" t="s">
        <v>192</v>
      </c>
      <c r="F185" s="75" t="str">
        <f>IF($D185="-","-",INDEX(Inputs!$C$10:$Y$10,1,MATCH($D185,Inputs!$C$8:$Y$8,0)))</f>
        <v>F-CurrentVDO_Input</v>
      </c>
      <c r="G185" s="53"/>
      <c r="H185" s="20" t="s">
        <v>90</v>
      </c>
      <c r="I185" s="20" t="s">
        <v>64</v>
      </c>
      <c r="J185" s="53" t="s">
        <v>65</v>
      </c>
      <c r="K185" s="60" cm="1">
        <f t="array" ref="K185">IFERROR(SUM(K183:K184)*(INDEX(Inputs!$H$11:$U$134,MATCH("Retail operating margin",Input_ForRateCalc[[Cost item]:[Cost item]],0),MATCH(Calc_TUV_Net_1[[#This Row],[Decision ref]:[Decision ref]],Inputs!$H$10:$U$10,0))),"-")</f>
        <v>0</v>
      </c>
      <c r="L185" s="60" cm="1">
        <f t="array" ref="L185">IFERROR(SUM(L183:L184)*(INDEX(Inputs!$H$11:$U$134,MATCH("Retail operating margin",Input_ForRateCalc[[Cost item]:[Cost item]],0),MATCH(Calc_TUV_Net_1[[#This Row],[Decision ref]:[Decision ref]],Inputs!$H$10:$U$10,0))),"-")</f>
        <v>0</v>
      </c>
      <c r="M185" s="60" cm="1">
        <f t="array" ref="M185">IFERROR(SUM(M183:M184)*(INDEX(Inputs!$H$11:$U$134,MATCH("Retail operating margin",Input_ForRateCalc[[Cost item]:[Cost item]],0),MATCH(Calc_TUV_Net_1[[#This Row],[Decision ref]:[Decision ref]],Inputs!$H$10:$U$10,0))),"-")</f>
        <v>0</v>
      </c>
      <c r="N185" s="60" cm="1">
        <f t="array" ref="N185">IFERROR(SUM(N183:N184)*(INDEX(Inputs!$H$11:$U$134,MATCH("Retail operating margin",Input_ForRateCalc[[Cost item]:[Cost item]],0),MATCH(Calc_TUV_Net_1[[#This Row],[Decision ref]:[Decision ref]],Inputs!$H$10:$U$10,0))),"-")</f>
        <v>0</v>
      </c>
      <c r="O185" s="60" cm="1">
        <f t="array" ref="O185">IFERROR(SUM(O183:O184)*(INDEX(Inputs!$H$11:$U$134,MATCH("Retail operating margin",Input_ForRateCalc[[Cost item]:[Cost item]],0),MATCH(Calc_TUV_Net_1[[#This Row],[Decision ref]:[Decision ref]],Inputs!$H$10:$U$10,0))),"-")</f>
        <v>0</v>
      </c>
    </row>
    <row r="186" spans="3:15" hidden="1" outlineLevel="1">
      <c r="C186" s="53" t="s">
        <v>196</v>
      </c>
      <c r="D186" s="20"/>
      <c r="E186" s="20"/>
      <c r="F186" s="20"/>
      <c r="G186" s="53"/>
      <c r="H186" s="20" t="s">
        <v>90</v>
      </c>
      <c r="I186" s="20" t="s">
        <v>64</v>
      </c>
      <c r="J186" s="53" t="s">
        <v>65</v>
      </c>
      <c r="K186" s="60" t="str">
        <f>IF(K182=0,"-",SUM(K183:K185)*GST)</f>
        <v>-</v>
      </c>
      <c r="L186" s="60" t="str">
        <f>IF(L182=0,"-",SUM(L183:L185)*GST)</f>
        <v>-</v>
      </c>
      <c r="M186" s="60" t="str">
        <f>IF(M182=0,"-",SUM(M183:M185)*GST)</f>
        <v>-</v>
      </c>
      <c r="N186" s="60" t="str">
        <f>IF(N182=0,"-",SUM(N183:N185)*GST)</f>
        <v>-</v>
      </c>
      <c r="O186" s="60" t="str">
        <f>IF(O182=0,"-",SUM(O183:O185)*GST)</f>
        <v>-</v>
      </c>
    </row>
    <row r="187" spans="3:15" hidden="1" outlineLevel="1">
      <c r="C187" s="20" t="s">
        <v>241</v>
      </c>
      <c r="D187" s="20"/>
      <c r="E187" s="20"/>
      <c r="F187" s="20"/>
      <c r="G187" s="53"/>
      <c r="H187" s="20" t="s">
        <v>90</v>
      </c>
      <c r="I187" s="20" t="s">
        <v>64</v>
      </c>
      <c r="J187" s="53" t="s">
        <v>65</v>
      </c>
      <c r="K187" s="60" t="str">
        <f>IF(K182=0,"-",SUM(K183:K186))</f>
        <v>-</v>
      </c>
      <c r="L187" s="60" t="str">
        <f>IF(L182=0,"-",SUM(L183:L186))</f>
        <v>-</v>
      </c>
      <c r="M187" s="60" t="str">
        <f>IF(M182=0,"-",SUM(M183:M186))</f>
        <v>-</v>
      </c>
      <c r="N187" s="60" t="str">
        <f>IF(N182=0,"-",SUM(N183:N186))</f>
        <v>-</v>
      </c>
      <c r="O187" s="60" t="str">
        <f>IF(O182=0,"-",SUM(O183:O186))</f>
        <v>-</v>
      </c>
    </row>
    <row r="188" spans="3:15" hidden="1" outlineLevel="1">
      <c r="C188" s="53"/>
      <c r="D188" s="53"/>
      <c r="E188" s="53"/>
      <c r="F188" s="53"/>
      <c r="H188" s="53"/>
      <c r="I188" s="20"/>
      <c r="J188" s="20"/>
      <c r="K188" s="106"/>
      <c r="L188" s="106"/>
      <c r="M188" s="106"/>
      <c r="N188" s="106"/>
      <c r="O188" s="106"/>
    </row>
    <row r="189" spans="3:15" hidden="1" outlineLevel="1">
      <c r="C189" s="51" t="s">
        <v>242</v>
      </c>
      <c r="D189" s="53"/>
      <c r="E189" s="53"/>
      <c r="F189" s="53"/>
      <c r="G189" s="62"/>
      <c r="H189" s="53"/>
      <c r="I189" s="20"/>
      <c r="J189" s="20"/>
      <c r="K189" s="106"/>
      <c r="L189" s="106"/>
      <c r="M189" s="106"/>
      <c r="N189" s="106"/>
      <c r="O189" s="106"/>
    </row>
    <row r="190" spans="3:15" hidden="1" outlineLevel="1">
      <c r="C190" s="53" t="s">
        <v>243</v>
      </c>
      <c r="D190" s="75" t="str">
        <f t="shared" ref="D190:D192" si="61">$D$5</f>
        <v>VDO 2023-24 - Final</v>
      </c>
      <c r="E190" s="20" t="s">
        <v>190</v>
      </c>
      <c r="F190" s="75" t="str">
        <f>INDEX(Inputs!$C$10:$Y$10,1,MATCH($D190,Inputs!$C$8:$Y$8,0))</f>
        <v>F-NextVDO_Input</v>
      </c>
      <c r="G190" s="53"/>
      <c r="H190" s="20" t="s">
        <v>103</v>
      </c>
      <c r="I190" s="20" t="s">
        <v>226</v>
      </c>
      <c r="J190" s="53" t="s">
        <v>65</v>
      </c>
      <c r="K190" s="60" cm="1">
        <f t="array" ref="K190">IFERROR(INDEX(Input_ForRateCalc[],MATCH($C190&amp;" - "&amp;K$103,Input_ForRateCalc[[Cost item]:[Cost item]],0),MATCH(Calc_TUV_Net_1[[#This Row],[Decision ref]:[Decision ref]],Input_ForRateCalc[#Headers],0)),"-")</f>
        <v>22.405517942110716</v>
      </c>
      <c r="L190" s="60" cm="1">
        <f t="array" ref="L190">IFERROR(INDEX(Input_ForRateCalc[],MATCH($C190&amp;" - "&amp;L$103,Input_ForRateCalc[[Cost item]:[Cost item]],0),MATCH(Calc_TUV_Net_1[[#This Row],[Decision ref]:[Decision ref]],Input_ForRateCalc[#Headers],0)),"-")</f>
        <v>14.67</v>
      </c>
      <c r="M190" s="60" cm="1">
        <f t="array" ref="M190">IFERROR(INDEX(Input_ForRateCalc[],MATCH($C190&amp;" - "&amp;M$103,Input_ForRateCalc[[Cost item]:[Cost item]],0),MATCH(Calc_TUV_Net_1[[#This Row],[Decision ref]:[Decision ref]],Input_ForRateCalc[#Headers],0)),"-")</f>
        <v>14.771999999999998</v>
      </c>
      <c r="N190" s="60" cm="1">
        <f t="array" ref="N190">IFERROR(INDEX(Input_ForRateCalc[],MATCH($C190&amp;" - "&amp;N$103,Input_ForRateCalc[[Cost item]:[Cost item]],0),MATCH(Calc_TUV_Net_1[[#This Row],[Decision ref]:[Decision ref]],Input_ForRateCalc[#Headers],0)),"-")</f>
        <v>17.14</v>
      </c>
      <c r="O190" s="60" cm="1">
        <f t="array" ref="O190">IFERROR(INDEX(Input_ForRateCalc[],MATCH($C190&amp;" - "&amp;O$103,Input_ForRateCalc[[Cost item]:[Cost item]],0),MATCH(Calc_TUV_Net_1[[#This Row],[Decision ref]:[Decision ref]],Input_ForRateCalc[#Headers],0)),"-")</f>
        <v>16.68</v>
      </c>
    </row>
    <row r="191" spans="3:15" hidden="1" outlineLevel="1">
      <c r="C191" s="53" t="s">
        <v>244</v>
      </c>
      <c r="D191" s="75" t="str">
        <f t="shared" si="61"/>
        <v>VDO 2023-24 - Final</v>
      </c>
      <c r="E191" s="20" t="s">
        <v>190</v>
      </c>
      <c r="F191" s="75" t="str">
        <f>INDEX(Inputs!$C$10:$Y$10,1,MATCH($D191,Inputs!$C$8:$Y$8,0))</f>
        <v>F-NextVDO_Input</v>
      </c>
      <c r="G191" s="62"/>
      <c r="H191" s="20" t="s">
        <v>103</v>
      </c>
      <c r="I191" s="20" t="s">
        <v>226</v>
      </c>
      <c r="J191" s="53" t="s">
        <v>65</v>
      </c>
      <c r="K191" s="60" cm="1">
        <f t="array" ref="K191">IFERROR(INDEX(Input_ForRateCalc[],MATCH($C191&amp;" - "&amp;K$103,Input_ForRateCalc[[Cost item]:[Cost item]],0),MATCH(Calc_TUV_Net_1[[#This Row],[Decision ref]:[Decision ref]],Input_ForRateCalc[#Headers],0)),"-")</f>
        <v>4.6393863430805986</v>
      </c>
      <c r="L191" s="60" cm="1">
        <f t="array" ref="L191">IFERROR(INDEX(Input_ForRateCalc[],MATCH($C191&amp;" - "&amp;L$103,Input_ForRateCalc[[Cost item]:[Cost item]],0),MATCH(Calc_TUV_Net_1[[#This Row],[Decision ref]:[Decision ref]],Input_ForRateCalc[#Headers],0)),"-")</f>
        <v>3.67</v>
      </c>
      <c r="M191" s="60" cm="1">
        <f t="array" ref="M191">IFERROR(INDEX(Input_ForRateCalc[],MATCH($C191&amp;" - "&amp;M$103,Input_ForRateCalc[[Cost item]:[Cost item]],0),MATCH(Calc_TUV_Net_1[[#This Row],[Decision ref]:[Decision ref]],Input_ForRateCalc[#Headers],0)),"-")</f>
        <v>4.3120000000000003</v>
      </c>
      <c r="N191" s="60" cm="1">
        <f t="array" ref="N191">IFERROR(INDEX(Input_ForRateCalc[],MATCH($C191&amp;" - "&amp;N$103,Input_ForRateCalc[[Cost item]:[Cost item]],0),MATCH(Calc_TUV_Net_1[[#This Row],[Decision ref]:[Decision ref]],Input_ForRateCalc[#Headers],0)),"-")</f>
        <v>4.29</v>
      </c>
      <c r="O191" s="60" cm="1">
        <f t="array" ref="O191">IFERROR(INDEX(Input_ForRateCalc[],MATCH($C191&amp;" - "&amp;O$103,Input_ForRateCalc[[Cost item]:[Cost item]],0),MATCH(Calc_TUV_Net_1[[#This Row],[Decision ref]:[Decision ref]],Input_ForRateCalc[#Headers],0)),"-")</f>
        <v>4.16</v>
      </c>
    </row>
    <row r="192" spans="3:15" hidden="1" outlineLevel="1">
      <c r="C192" s="53" t="s">
        <v>191</v>
      </c>
      <c r="D192" s="75" t="str">
        <f t="shared" si="61"/>
        <v>VDO 2023-24 - Final</v>
      </c>
      <c r="E192" s="20" t="s">
        <v>190</v>
      </c>
      <c r="F192" s="75" t="str">
        <f>INDEX(Inputs!$C$10:$Y$10,1,MATCH($D192,Inputs!$C$8:$Y$8,0))</f>
        <v>F-NextVDO_Input</v>
      </c>
      <c r="G192" s="52"/>
      <c r="H192" s="20" t="s">
        <v>103</v>
      </c>
      <c r="I192" s="20" t="s">
        <v>226</v>
      </c>
      <c r="J192" s="53" t="s">
        <v>65</v>
      </c>
      <c r="K192" s="61">
        <f>SUMIFS(TUNet_Usage_Actual_1[Value],TUNet_Usage_Actual_1[Customer type],Calc_TUV_Net_1[[#This Row],[Customer type]],TUNet_Usage_Actual_1[Description],"Usage per customer")*SUM(
IFERROR(K190/100*SUMIFS(Input_TUNet_Props[F-PreviousVDO_Input2],Input_TUNet_Props[Customer type],Calc_TUV_Net_1[[#This Row],[Customer type]],Input_TUNet_Props[Usage type],"Peak"),0),
IFERROR(K191/100*SUMIFS(Input_TUNet_Props[F-PreviousVDO_Input2],Input_TUNet_Props[Customer type],Calc_TUV_Net_1[[#This Row],[Customer type]],Input_TUNet_Props[Usage type],"Off peak"),0))</f>
        <v>0</v>
      </c>
      <c r="L192" s="61">
        <f>SUMIFS(TUNet_Usage_Actual_1[Value],TUNet_Usage_Actual_1[Customer type],Calc_TUV_Net_1[[#This Row],[Customer type]],TUNet_Usage_Actual_1[Description],"Usage per customer")*SUM(
IFERROR(L190/100*SUMIFS(Input_TUNet_Props[F-PreviousVDO_Input2],Input_TUNet_Props[Customer type],Calc_TUV_Net_1[[#This Row],[Customer type]],Input_TUNet_Props[Usage type],"Peak"),0),
IFERROR(L191/100*SUMIFS(Input_TUNet_Props[F-PreviousVDO_Input2],Input_TUNet_Props[Customer type],Calc_TUV_Net_1[[#This Row],[Customer type]],Input_TUNet_Props[Usage type],"Off peak"),0))</f>
        <v>0</v>
      </c>
      <c r="M192" s="61">
        <f>SUMIFS(TUNet_Usage_Actual_1[Value],TUNet_Usage_Actual_1[Customer type],Calc_TUV_Net_1[[#This Row],[Customer type]],TUNet_Usage_Actual_1[Description],"Usage per customer")*SUM(
IFERROR(M190/100*SUMIFS(Input_TUNet_Props[F-PreviousVDO_Input2],Input_TUNet_Props[Customer type],Calc_TUV_Net_1[[#This Row],[Customer type]],Input_TUNet_Props[Usage type],"Peak"),0),
IFERROR(M191/100*SUMIFS(Input_TUNet_Props[F-PreviousVDO_Input2],Input_TUNet_Props[Customer type],Calc_TUV_Net_1[[#This Row],[Customer type]],Input_TUNet_Props[Usage type],"Off peak"),0))</f>
        <v>0</v>
      </c>
      <c r="N192" s="61">
        <f>SUMIFS(TUNet_Usage_Actual_1[Value],TUNet_Usage_Actual_1[Customer type],Calc_TUV_Net_1[[#This Row],[Customer type]],TUNet_Usage_Actual_1[Description],"Usage per customer")*SUM(
IFERROR(N190/100*SUMIFS(Input_TUNet_Props[F-PreviousVDO_Input2],Input_TUNet_Props[Customer type],Calc_TUV_Net_1[[#This Row],[Customer type]],Input_TUNet_Props[Usage type],"Peak"),0),
IFERROR(N191/100*SUMIFS(Input_TUNet_Props[F-PreviousVDO_Input2],Input_TUNet_Props[Customer type],Calc_TUV_Net_1[[#This Row],[Customer type]],Input_TUNet_Props[Usage type],"Off peak"),0))</f>
        <v>0</v>
      </c>
      <c r="O192" s="61">
        <f>SUMIFS(TUNet_Usage_Actual_1[Value],TUNet_Usage_Actual_1[Customer type],Calc_TUV_Net_1[[#This Row],[Customer type]],TUNet_Usage_Actual_1[Description],"Usage per customer")*SUM(
IFERROR(O190/100*SUMIFS(Input_TUNet_Props[F-PreviousVDO_Input2],Input_TUNet_Props[Customer type],Calc_TUV_Net_1[[#This Row],[Customer type]],Input_TUNet_Props[Usage type],"Peak"),0),
IFERROR(O191/100*SUMIFS(Input_TUNet_Props[F-PreviousVDO_Input2],Input_TUNet_Props[Customer type],Calc_TUV_Net_1[[#This Row],[Customer type]],Input_TUNet_Props[Usage type],"Off peak"),0))</f>
        <v>0</v>
      </c>
    </row>
    <row r="193" spans="3:15" hidden="1" outlineLevel="1">
      <c r="C193" s="53" t="s">
        <v>225</v>
      </c>
      <c r="D193" s="75" t="str">
        <f>INDEX(Input_DecisionActual[[Decision]:[Decision]],MATCH($D$5,Input_DecisionActual[[VDO period]:[VDO period]],0),1)</f>
        <v>VDO 2022-23 - Final</v>
      </c>
      <c r="E193" s="20" t="s">
        <v>192</v>
      </c>
      <c r="F193" s="75" t="str">
        <f>IF($D193="-","-",INDEX(Inputs!$C$10:$Y$10,1,MATCH($D193,Inputs!$C$8:$Y$8,0)))</f>
        <v>F-CurrentVDO_Input</v>
      </c>
      <c r="G193" s="52"/>
      <c r="H193" s="20" t="s">
        <v>103</v>
      </c>
      <c r="I193" s="20" t="s">
        <v>64</v>
      </c>
      <c r="J193" s="53" t="s">
        <v>65</v>
      </c>
      <c r="K193" s="60" cm="1">
        <f t="array" ref="K193">IFERROR(INDEX(Input_ForRateCalc[],MATCH($C193&amp;" - "&amp;K$103,Input_ForRateCalc[[Cost item]:[Cost item]],0),MATCH(Calc_TUV_Net_1[[#This Row],[Decision ref]:[Decision ref]],Input_ForRateCalc[#Headers],0)),"-")</f>
        <v>12.7212</v>
      </c>
      <c r="L193" s="60" t="str" cm="1">
        <f t="array" ref="L193">IFERROR(INDEX(Input_ForRateCalc[],MATCH($C193&amp;" - "&amp;L$103,Input_ForRateCalc[[Cost item]:[Cost item]],0),MATCH(Calc_TUV_Net_1[[#This Row],[Decision ref]:[Decision ref]],Input_ForRateCalc[#Headers],0)),"-")</f>
        <v>-</v>
      </c>
      <c r="M193" s="60" t="str" cm="1">
        <f t="array" ref="M193">IFERROR(INDEX(Input_ForRateCalc[],MATCH($C193&amp;" - "&amp;M$103,Input_ForRateCalc[[Cost item]:[Cost item]],0),MATCH(Calc_TUV_Net_1[[#This Row],[Decision ref]:[Decision ref]],Input_ForRateCalc[#Headers],0)),"-")</f>
        <v>-</v>
      </c>
      <c r="N193" s="60" t="str" cm="1">
        <f t="array" ref="N193">IFERROR(INDEX(Input_ForRateCalc[],MATCH($C193&amp;" - "&amp;N$103,Input_ForRateCalc[[Cost item]:[Cost item]],0),MATCH(Calc_TUV_Net_1[[#This Row],[Decision ref]:[Decision ref]],Input_ForRateCalc[#Headers],0)),"-")</f>
        <v>-</v>
      </c>
      <c r="O193" s="60" t="str" cm="1">
        <f t="array" ref="O193">IFERROR(INDEX(Input_ForRateCalc[],MATCH($C193&amp;" - "&amp;O$103,Input_ForRateCalc[[Cost item]:[Cost item]],0),MATCH(Calc_TUV_Net_1[[#This Row],[Decision ref]:[Decision ref]],Input_ForRateCalc[#Headers],0)),"-")</f>
        <v>-</v>
      </c>
    </row>
    <row r="194" spans="3:15" hidden="1" outlineLevel="1">
      <c r="C194" s="53" t="s">
        <v>227</v>
      </c>
      <c r="D194" s="75" t="str">
        <f>INDEX(Input_DecisionActual[[Decision]:[Decision]],MATCH($D$5,Input_DecisionActual[[VDO period]:[VDO period]],0),1)</f>
        <v>VDO 2022-23 - Final</v>
      </c>
      <c r="E194" s="20" t="s">
        <v>192</v>
      </c>
      <c r="F194" s="75" t="str">
        <f>IF($D194="-","-",INDEX(Inputs!$C$10:$Y$10,1,MATCH($D194,Inputs!$C$8:$Y$8,0)))</f>
        <v>F-CurrentVDO_Input</v>
      </c>
      <c r="G194" s="52"/>
      <c r="H194" s="20" t="s">
        <v>103</v>
      </c>
      <c r="I194" s="20" t="s">
        <v>226</v>
      </c>
      <c r="J194" s="53" t="s">
        <v>65</v>
      </c>
      <c r="K194" s="60" cm="1">
        <f t="array" ref="K194">IFERROR(INDEX(Input_ForRateCalc[],MATCH($C194&amp;" - "&amp;K$103,Input_ForRateCalc[[Cost item]:[Cost item]],0),MATCH(Calc_TUV_Net_1[[#This Row],[Decision ref]:[Decision ref]],Input_ForRateCalc[#Headers],0)),"-")</f>
        <v>14.2392</v>
      </c>
      <c r="L194" s="60" t="str" cm="1">
        <f t="array" ref="L194">IFERROR(INDEX(Input_ForRateCalc[],MATCH($C194&amp;" - "&amp;L$103,Input_ForRateCalc[[Cost item]:[Cost item]],0),MATCH(Calc_TUV_Net_1[[#This Row],[Decision ref]:[Decision ref]],Input_ForRateCalc[#Headers],0)),"-")</f>
        <v>-</v>
      </c>
      <c r="M194" s="60" t="str" cm="1">
        <f t="array" ref="M194">IFERROR(INDEX(Input_ForRateCalc[],MATCH($C194&amp;" - "&amp;M$103,Input_ForRateCalc[[Cost item]:[Cost item]],0),MATCH(Calc_TUV_Net_1[[#This Row],[Decision ref]:[Decision ref]],Input_ForRateCalc[#Headers],0)),"-")</f>
        <v>-</v>
      </c>
      <c r="N194" s="60" t="str" cm="1">
        <f t="array" ref="N194">IFERROR(INDEX(Input_ForRateCalc[],MATCH($C194&amp;" - "&amp;N$103,Input_ForRateCalc[[Cost item]:[Cost item]],0),MATCH(Calc_TUV_Net_1[[#This Row],[Decision ref]:[Decision ref]],Input_ForRateCalc[#Headers],0)),"-")</f>
        <v>-</v>
      </c>
      <c r="O194" s="60" t="str" cm="1">
        <f t="array" ref="O194">IFERROR(INDEX(Input_ForRateCalc[],MATCH($C194&amp;" - "&amp;O$103,Input_ForRateCalc[[Cost item]:[Cost item]],0),MATCH(Calc_TUV_Net_1[[#This Row],[Decision ref]:[Decision ref]],Input_ForRateCalc[#Headers],0)),"-")</f>
        <v>-</v>
      </c>
    </row>
    <row r="195" spans="3:15" hidden="1" outlineLevel="1">
      <c r="C195" s="53" t="s">
        <v>228</v>
      </c>
      <c r="D195" s="75" t="str">
        <f>INDEX(Input_DecisionActual[[Decision]:[Decision]],MATCH($D$5,Input_DecisionActual[[VDO period]:[VDO period]],0),1)</f>
        <v>VDO 2022-23 - Final</v>
      </c>
      <c r="E195" s="20" t="s">
        <v>192</v>
      </c>
      <c r="F195" s="75" t="str">
        <f>IF($D195="-","-",INDEX(Inputs!$C$10:$Y$10,1,MATCH($D195,Inputs!$C$8:$Y$8,0)))</f>
        <v>F-CurrentVDO_Input</v>
      </c>
      <c r="G195" s="52"/>
      <c r="H195" s="20" t="s">
        <v>103</v>
      </c>
      <c r="I195" s="20" t="s">
        <v>226</v>
      </c>
      <c r="J195" s="53" t="s">
        <v>65</v>
      </c>
      <c r="K195" s="60" t="str" cm="1">
        <f t="array" ref="K195">IFERROR(INDEX(Input_ForRateCalc[],MATCH($C195&amp;" - "&amp;K$103,Input_ForRateCalc[[Cost item]:[Cost item]],0),MATCH(Calc_TUV_Net_1[[#This Row],[Decision ref]:[Decision ref]],Input_ForRateCalc[#Headers],0)),"-")</f>
        <v>-</v>
      </c>
      <c r="L195" s="60" cm="1">
        <f t="array" ref="L195">IFERROR(INDEX(Input_ForRateCalc[],MATCH($C195&amp;" - "&amp;L$103,Input_ForRateCalc[[Cost item]:[Cost item]],0),MATCH(Calc_TUV_Net_1[[#This Row],[Decision ref]:[Decision ref]],Input_ForRateCalc[#Headers],0)),"-")</f>
        <v>7.4</v>
      </c>
      <c r="M195" s="60" cm="1">
        <f t="array" ref="M195">IFERROR(INDEX(Input_ForRateCalc[],MATCH($C195&amp;" - "&amp;M$103,Input_ForRateCalc[[Cost item]:[Cost item]],0),MATCH(Calc_TUV_Net_1[[#This Row],[Decision ref]:[Decision ref]],Input_ForRateCalc[#Headers],0)),"-")</f>
        <v>8.2509999999999994</v>
      </c>
      <c r="N195" s="60" cm="1">
        <f t="array" ref="N195">IFERROR(INDEX(Input_ForRateCalc[],MATCH($C195&amp;" - "&amp;N$103,Input_ForRateCalc[[Cost item]:[Cost item]],0),MATCH(Calc_TUV_Net_1[[#This Row],[Decision ref]:[Decision ref]],Input_ForRateCalc[#Headers],0)),"-")</f>
        <v>8.15</v>
      </c>
      <c r="O195" s="60" cm="1">
        <f t="array" ref="O195">IFERROR(INDEX(Input_ForRateCalc[],MATCH($C195&amp;" - "&amp;O$103,Input_ForRateCalc[[Cost item]:[Cost item]],0),MATCH(Calc_TUV_Net_1[[#This Row],[Decision ref]:[Decision ref]],Input_ForRateCalc[#Headers],0)),"-")</f>
        <v>8.3000000000000007</v>
      </c>
    </row>
    <row r="196" spans="3:15" hidden="1" outlineLevel="1">
      <c r="C196" s="53" t="s">
        <v>191</v>
      </c>
      <c r="D196" s="75" t="str">
        <f>INDEX(Input_DecisionActual[[Decision]:[Decision]],MATCH($D$5,Input_DecisionActual[[VDO period]:[VDO period]],0),1)</f>
        <v>VDO 2022-23 - Final</v>
      </c>
      <c r="E196" s="20" t="s">
        <v>192</v>
      </c>
      <c r="F196" s="75" t="str">
        <f>IF($D196="-","-",INDEX(Inputs!$C$10:$Y$10,1,MATCH($D196,Inputs!$C$8:$Y$8,0)))</f>
        <v>F-CurrentVDO_Input</v>
      </c>
      <c r="G196" s="52"/>
      <c r="H196" s="20" t="s">
        <v>103</v>
      </c>
      <c r="I196" s="20" t="s">
        <v>226</v>
      </c>
      <c r="J196" s="53" t="s">
        <v>65</v>
      </c>
      <c r="K196" s="61">
        <f>SUMIFS(TUNet_Usage_Actual_1[Value],TUNet_Usage_Actual_1[Customer type],Calc_TUV_Net_1[[#This Row],[Customer type]],TUNet_Usage_Actual_1[Description],"Usage per customer")*SUM(
IFERROR(K193/100*SUMIFS(Input_TUNet_Props[F-PreviousVDO_Input2],Input_TUNet_Props[Customer type],Calc_TUV_Net_1[[#This Row],[Customer type]],Input_TUNet_Props[Usage type],"Block 1"),0),
IFERROR(K194/100*SUMIFS(Input_TUNet_Props[F-PreviousVDO_Input2],Input_TUNet_Props[Customer type],Calc_TUV_Net_1[[#This Row],[Customer type]],Input_TUNet_Props[Usage type],"Balance"),0),
IFERROR(K195/100*SUMIFS(Input_TUNet_Props[F-PreviousVDO_Input2],Input_TUNet_Props[Customer type],Calc_TUV_Net_1[[#This Row],[Customer type]],Input_TUNet_Props[Usage type],"Single rate"),0))</f>
        <v>0</v>
      </c>
      <c r="L196" s="61">
        <f>SUMIFS(TUNet_Usage_Actual_1[Value],TUNet_Usage_Actual_1[Customer type],Calc_TUV_Net_1[[#This Row],[Customer type]],TUNet_Usage_Actual_1[Description],"Usage per customer")*SUM(
IFERROR(L193/100*SUMIFS(Input_TUNet_Props[F-PreviousVDO_Input2],Input_TUNet_Props[Customer type],Calc_TUV_Net_1[[#This Row],[Customer type]],Input_TUNet_Props[Usage type],"Block 1"),0),
IFERROR(L194/100*SUMIFS(Input_TUNet_Props[F-PreviousVDO_Input2],Input_TUNet_Props[Customer type],Calc_TUV_Net_1[[#This Row],[Customer type]],Input_TUNet_Props[Usage type],"Balance"),0),
IFERROR(L195/100*SUMIFS(Input_TUNet_Props[F-PreviousVDO_Input2],Input_TUNet_Props[Customer type],Calc_TUV_Net_1[[#This Row],[Customer type]],Input_TUNet_Props[Usage type],"Single rate"),0))</f>
        <v>0</v>
      </c>
      <c r="M196" s="61">
        <f>SUMIFS(TUNet_Usage_Actual_1[Value],TUNet_Usage_Actual_1[Customer type],Calc_TUV_Net_1[[#This Row],[Customer type]],TUNet_Usage_Actual_1[Description],"Usage per customer")*SUM(
IFERROR(M193/100*SUMIFS(Input_TUNet_Props[F-PreviousVDO_Input2],Input_TUNet_Props[Customer type],Calc_TUV_Net_1[[#This Row],[Customer type]],Input_TUNet_Props[Usage type],"Block 1"),0),
IFERROR(M194/100*SUMIFS(Input_TUNet_Props[F-PreviousVDO_Input2],Input_TUNet_Props[Customer type],Calc_TUV_Net_1[[#This Row],[Customer type]],Input_TUNet_Props[Usage type],"Balance"),0),
IFERROR(M195/100*SUMIFS(Input_TUNet_Props[F-PreviousVDO_Input2],Input_TUNet_Props[Customer type],Calc_TUV_Net_1[[#This Row],[Customer type]],Input_TUNet_Props[Usage type],"Single rate"),0))</f>
        <v>0</v>
      </c>
      <c r="N196" s="61">
        <f>SUMIFS(TUNet_Usage_Actual_1[Value],TUNet_Usage_Actual_1[Customer type],Calc_TUV_Net_1[[#This Row],[Customer type]],TUNet_Usage_Actual_1[Description],"Usage per customer")*SUM(
IFERROR(N193/100*SUMIFS(Input_TUNet_Props[F-PreviousVDO_Input2],Input_TUNet_Props[Customer type],Calc_TUV_Net_1[[#This Row],[Customer type]],Input_TUNet_Props[Usage type],"Block 1"),0),
IFERROR(N194/100*SUMIFS(Input_TUNet_Props[F-PreviousVDO_Input2],Input_TUNet_Props[Customer type],Calc_TUV_Net_1[[#This Row],[Customer type]],Input_TUNet_Props[Usage type],"Balance"),0),
IFERROR(N195/100*SUMIFS(Input_TUNet_Props[F-PreviousVDO_Input2],Input_TUNet_Props[Customer type],Calc_TUV_Net_1[[#This Row],[Customer type]],Input_TUNet_Props[Usage type],"Single rate"),0))</f>
        <v>0</v>
      </c>
      <c r="O196" s="61">
        <f>SUMIFS(TUNet_Usage_Actual_1[Value],TUNet_Usage_Actual_1[Customer type],Calc_TUV_Net_1[[#This Row],[Customer type]],TUNet_Usage_Actual_1[Description],"Usage per customer")*SUM(
IFERROR(O193/100*SUMIFS(Input_TUNet_Props[F-PreviousVDO_Input2],Input_TUNet_Props[Customer type],Calc_TUV_Net_1[[#This Row],[Customer type]],Input_TUNet_Props[Usage type],"Block 1"),0),
IFERROR(O194/100*SUMIFS(Input_TUNet_Props[F-PreviousVDO_Input2],Input_TUNet_Props[Customer type],Calc_TUV_Net_1[[#This Row],[Customer type]],Input_TUNet_Props[Usage type],"Balance"),0),
IFERROR(O195/100*SUMIFS(Input_TUNet_Props[F-PreviousVDO_Input2],Input_TUNet_Props[Customer type],Calc_TUV_Net_1[[#This Row],[Customer type]],Input_TUNet_Props[Usage type],"Single rate"),0))</f>
        <v>0</v>
      </c>
    </row>
    <row r="197" spans="3:15" hidden="1" outlineLevel="1">
      <c r="C197" s="53" t="s">
        <v>193</v>
      </c>
      <c r="D197" s="53"/>
      <c r="E197" s="53"/>
      <c r="F197" s="53"/>
      <c r="G197" s="53"/>
      <c r="H197" s="20" t="s">
        <v>103</v>
      </c>
      <c r="I197" s="20" t="s">
        <v>64</v>
      </c>
      <c r="J197" s="53" t="s">
        <v>65</v>
      </c>
      <c r="K197" s="59" t="str">
        <f>IF(K196=0,"-",K192-K196)</f>
        <v>-</v>
      </c>
      <c r="L197" s="59" t="str">
        <f t="shared" ref="L197:O197" si="62">IF(L196=0,"-",L192-L196)</f>
        <v>-</v>
      </c>
      <c r="M197" s="59" t="str">
        <f t="shared" si="62"/>
        <v>-</v>
      </c>
      <c r="N197" s="59" t="str">
        <f t="shared" si="62"/>
        <v>-</v>
      </c>
      <c r="O197" s="59" t="str">
        <f t="shared" si="62"/>
        <v>-</v>
      </c>
    </row>
    <row r="198" spans="3:15" hidden="1" outlineLevel="1">
      <c r="C198" s="53" t="s">
        <v>180</v>
      </c>
      <c r="D198" s="53"/>
      <c r="E198" s="53"/>
      <c r="F198" s="53"/>
      <c r="G198" s="53"/>
      <c r="H198" s="20" t="s">
        <v>103</v>
      </c>
      <c r="I198" s="20" t="s">
        <v>64</v>
      </c>
      <c r="J198" s="53" t="s">
        <v>65</v>
      </c>
      <c r="K198" s="60" t="str">
        <f>IFERROR(IF($D$11="Yes",K197*(1+WACC_adj_1),""),"-")</f>
        <v/>
      </c>
      <c r="L198" s="60" t="str">
        <f>IFERROR(IF($D$11="Yes",L197*(1+WACC_adj_1),""),"-")</f>
        <v/>
      </c>
      <c r="M198" s="60" t="str">
        <f>IFERROR(IF($D$11="Yes",M197*(1+WACC_adj_1),""),"-")</f>
        <v/>
      </c>
      <c r="N198" s="60" t="str">
        <f>IFERROR(IF($D$11="Yes",N197*(1+WACC_adj_1),""),"-")</f>
        <v/>
      </c>
      <c r="O198" s="60" t="str">
        <f>IFERROR(IF($D$11="Yes",O197*(1+WACC_adj_1),""),"-")</f>
        <v/>
      </c>
    </row>
    <row r="199" spans="3:15" hidden="1" outlineLevel="1">
      <c r="C199" s="53" t="s">
        <v>195</v>
      </c>
      <c r="D199" s="75" t="str">
        <f>INDEX(Input_DecisionActual[[Decision]:[Decision]],MATCH($D$5,Input_DecisionActual[[VDO period]:[VDO period]],0),1)</f>
        <v>VDO 2022-23 - Final</v>
      </c>
      <c r="E199" s="20" t="s">
        <v>192</v>
      </c>
      <c r="F199" s="75" t="str">
        <f>IF($D199="-","-",INDEX(Inputs!$C$10:$Y$10,1,MATCH($D199,Inputs!$C$8:$Y$8,0)))</f>
        <v>F-CurrentVDO_Input</v>
      </c>
      <c r="G199" s="53"/>
      <c r="H199" s="20" t="s">
        <v>103</v>
      </c>
      <c r="I199" s="20" t="s">
        <v>64</v>
      </c>
      <c r="J199" s="53" t="s">
        <v>65</v>
      </c>
      <c r="K199" s="60" cm="1">
        <f t="array" ref="K199">IFERROR(SUM(K197:K198)*(INDEX(Inputs!$H$11:$U$134,MATCH("Retail operating margin",Input_ForRateCalc[[Cost item]:[Cost item]],0),MATCH(Calc_TUV_Net_1[[#This Row],[Decision ref]:[Decision ref]],Inputs!$H$10:$U$10,0))),"-")</f>
        <v>0</v>
      </c>
      <c r="L199" s="60" cm="1">
        <f t="array" ref="L199">IFERROR(SUM(L197:L198)*(INDEX(Inputs!$H$11:$U$134,MATCH("Retail operating margin",Input_ForRateCalc[[Cost item]:[Cost item]],0),MATCH(Calc_TUV_Net_1[[#This Row],[Decision ref]:[Decision ref]],Inputs!$H$10:$U$10,0))),"-")</f>
        <v>0</v>
      </c>
      <c r="M199" s="60" cm="1">
        <f t="array" ref="M199">IFERROR(SUM(M197:M198)*(INDEX(Inputs!$H$11:$U$134,MATCH("Retail operating margin",Input_ForRateCalc[[Cost item]:[Cost item]],0),MATCH(Calc_TUV_Net_1[[#This Row],[Decision ref]:[Decision ref]],Inputs!$H$10:$U$10,0))),"-")</f>
        <v>0</v>
      </c>
      <c r="N199" s="60" cm="1">
        <f t="array" ref="N199">IFERROR(SUM(N197:N198)*(INDEX(Inputs!$H$11:$U$134,MATCH("Retail operating margin",Input_ForRateCalc[[Cost item]:[Cost item]],0),MATCH(Calc_TUV_Net_1[[#This Row],[Decision ref]:[Decision ref]],Inputs!$H$10:$U$10,0))),"-")</f>
        <v>0</v>
      </c>
      <c r="O199" s="60" cm="1">
        <f t="array" ref="O199">IFERROR(SUM(O197:O198)*(INDEX(Inputs!$H$11:$U$134,MATCH("Retail operating margin",Input_ForRateCalc[[Cost item]:[Cost item]],0),MATCH(Calc_TUV_Net_1[[#This Row],[Decision ref]:[Decision ref]],Inputs!$H$10:$U$10,0))),"-")</f>
        <v>0</v>
      </c>
    </row>
    <row r="200" spans="3:15" hidden="1" outlineLevel="1">
      <c r="C200" s="53" t="s">
        <v>196</v>
      </c>
      <c r="D200" s="53"/>
      <c r="E200" s="53"/>
      <c r="F200" s="53"/>
      <c r="G200" s="53"/>
      <c r="H200" s="20" t="s">
        <v>103</v>
      </c>
      <c r="I200" s="20" t="s">
        <v>64</v>
      </c>
      <c r="J200" s="53" t="s">
        <v>65</v>
      </c>
      <c r="K200" s="60" t="str">
        <f>IF(K196=0,"-",SUM(K197:K199)*GST)</f>
        <v>-</v>
      </c>
      <c r="L200" s="60" t="str">
        <f>IF(L196=0,"-",SUM(L197:L199)*GST)</f>
        <v>-</v>
      </c>
      <c r="M200" s="60" t="str">
        <f>IF(M196=0,"-",SUM(M197:M199)*GST)</f>
        <v>-</v>
      </c>
      <c r="N200" s="60" t="str">
        <f>IF(N196=0,"-",SUM(N197:N199)*GST)</f>
        <v>-</v>
      </c>
      <c r="O200" s="60" t="str">
        <f>IF(O196=0,"-",SUM(O197:O199)*GST)</f>
        <v>-</v>
      </c>
    </row>
    <row r="201" spans="3:15" hidden="1" outlineLevel="1">
      <c r="C201" s="20" t="s">
        <v>245</v>
      </c>
      <c r="D201" s="53"/>
      <c r="E201" s="53"/>
      <c r="F201" s="53"/>
      <c r="H201" s="20" t="s">
        <v>103</v>
      </c>
      <c r="I201" s="20" t="s">
        <v>64</v>
      </c>
      <c r="J201" s="53" t="s">
        <v>65</v>
      </c>
      <c r="K201" s="60" t="str">
        <f>IF(K196=0,"-",SUM(K197:K200))</f>
        <v>-</v>
      </c>
      <c r="L201" s="60" t="str">
        <f t="shared" ref="L201:O201" si="63">IF(L196=0,"-",SUM(L197:L200))</f>
        <v>-</v>
      </c>
      <c r="M201" s="60" t="str">
        <f t="shared" si="63"/>
        <v>-</v>
      </c>
      <c r="N201" s="60" t="str">
        <f t="shared" si="63"/>
        <v>-</v>
      </c>
      <c r="O201" s="60" t="str">
        <f t="shared" si="63"/>
        <v>-</v>
      </c>
    </row>
    <row r="202" spans="3:15" hidden="1" outlineLevel="1">
      <c r="C202" s="53"/>
      <c r="D202" s="53"/>
      <c r="E202" s="53"/>
      <c r="F202" s="53"/>
      <c r="G202" s="53"/>
      <c r="H202" s="20"/>
      <c r="I202" s="20"/>
      <c r="J202" s="53"/>
      <c r="K202" s="60"/>
      <c r="L202" s="60"/>
      <c r="M202" s="60"/>
      <c r="N202" s="60"/>
      <c r="O202" s="60"/>
    </row>
    <row r="203" spans="3:15" ht="15.5" hidden="1" outlineLevel="1">
      <c r="C203" s="1" t="s">
        <v>205</v>
      </c>
      <c r="D203" s="53"/>
      <c r="E203" s="53"/>
      <c r="F203" s="53"/>
      <c r="G203" s="62" t="s">
        <v>181</v>
      </c>
      <c r="H203" s="53"/>
      <c r="I203" s="20"/>
      <c r="J203" s="20"/>
      <c r="K203" s="59"/>
      <c r="L203" s="20"/>
      <c r="M203" s="20"/>
      <c r="N203" s="20"/>
      <c r="O203" s="20"/>
    </row>
    <row r="204" spans="3:15" hidden="1" outlineLevel="1">
      <c r="C204" s="51" t="s">
        <v>246</v>
      </c>
      <c r="D204" s="51"/>
      <c r="E204" s="51"/>
      <c r="F204" s="51"/>
      <c r="G204" s="62"/>
      <c r="H204" s="62"/>
      <c r="I204" s="20"/>
      <c r="J204" s="20"/>
      <c r="K204" s="59"/>
      <c r="L204" s="20"/>
      <c r="M204" s="20"/>
      <c r="N204" s="20"/>
      <c r="O204" s="20"/>
    </row>
    <row r="205" spans="3:15" hidden="1" outlineLevel="1">
      <c r="C205" s="53" t="s">
        <v>247</v>
      </c>
      <c r="D205" s="75" t="str">
        <f t="shared" ref="D205:D207" si="64">$D$5</f>
        <v>VDO 2023-24 - Final</v>
      </c>
      <c r="E205" s="20" t="s">
        <v>190</v>
      </c>
      <c r="F205" s="75" t="str">
        <f>INDEX(Inputs!$C$10:$Y$10,1,MATCH($D205,Inputs!$C$8:$Y$8,0))</f>
        <v>F-NextVDO_Input</v>
      </c>
      <c r="G205" s="52"/>
      <c r="H205" s="20" t="s">
        <v>90</v>
      </c>
      <c r="I205" s="20" t="s">
        <v>64</v>
      </c>
      <c r="J205" s="53" t="s">
        <v>66</v>
      </c>
      <c r="K205" s="60" cm="1">
        <f t="array" ref="K205">IFERROR(INDEX(Input_ForRateCalc[],MATCH($C205&amp;" - "&amp;K$103,Input_ForRateCalc[[Cost item]:[Cost item]],0),MATCH(Calc_TUV_Net_1[[#This Row],[Decision ref]:[Decision ref]],Input_ForRateCalc[#Headers],0)),"-")*TUProp_Days_1</f>
        <v>0</v>
      </c>
      <c r="L205" s="60" cm="1">
        <f t="array" ref="L205">IFERROR(INDEX(Input_ForRateCalc[],MATCH($C205&amp;" - "&amp;L$103,Input_ForRateCalc[[Cost item]:[Cost item]],0),MATCH(Calc_TUV_Net_1[[#This Row],[Decision ref]:[Decision ref]],Input_ForRateCalc[#Headers],0)),"-")*TUProp_Days_1</f>
        <v>0</v>
      </c>
      <c r="M205" s="60" cm="1">
        <f t="array" ref="M205">IFERROR(INDEX(Input_ForRateCalc[],MATCH($C205&amp;" - "&amp;M$103,Input_ForRateCalc[[Cost item]:[Cost item]],0),MATCH(Calc_TUV_Net_1[[#This Row],[Decision ref]:[Decision ref]],Input_ForRateCalc[#Headers],0)),"-")*TUProp_Days_1</f>
        <v>0</v>
      </c>
      <c r="N205" s="60" cm="1">
        <f t="array" ref="N205">IFERROR(INDEX(Input_ForRateCalc[],MATCH($C205&amp;" - "&amp;N$103,Input_ForRateCalc[[Cost item]:[Cost item]],0),MATCH(Calc_TUV_Net_1[[#This Row],[Decision ref]:[Decision ref]],Input_ForRateCalc[#Headers],0)),"-")*TUProp_Days_1</f>
        <v>0</v>
      </c>
      <c r="O205" s="60" cm="1">
        <f t="array" ref="O205">IFERROR(INDEX(Input_ForRateCalc[],MATCH($C205&amp;" - "&amp;O$103,Input_ForRateCalc[[Cost item]:[Cost item]],0),MATCH(Calc_TUV_Net_1[[#This Row],[Decision ref]:[Decision ref]],Input_ForRateCalc[#Headers],0)),"-")*TUProp_Days_1</f>
        <v>0</v>
      </c>
    </row>
    <row r="206" spans="3:15" hidden="1" outlineLevel="1">
      <c r="C206" s="53" t="s">
        <v>94</v>
      </c>
      <c r="D206" s="75" t="str">
        <f t="shared" si="64"/>
        <v>VDO 2023-24 - Final</v>
      </c>
      <c r="E206" s="20" t="s">
        <v>190</v>
      </c>
      <c r="F206" s="75" t="str">
        <f>INDEX(Inputs!$C$10:$Y$10,1,MATCH($D206,Inputs!$C$8:$Y$8,0))</f>
        <v>F-NextVDO_Input</v>
      </c>
      <c r="G206" s="52"/>
      <c r="H206" s="20" t="s">
        <v>90</v>
      </c>
      <c r="I206" s="20" t="s">
        <v>64</v>
      </c>
      <c r="J206" s="53" t="s">
        <v>66</v>
      </c>
      <c r="K206" s="60" cm="1">
        <f t="array" ref="K206">IFERROR(INDEX(Input_ForRateCalc[],MATCH($C206&amp;" - "&amp;K$103,Input_ForRateCalc[[Cost item]:[Cost item]],0),MATCH(Calc_TUV_Net_1[[#This Row],[Decision ref]:[Decision ref]],Input_ForRateCalc[#Headers],0)),"-")*TUProp_Days_1</f>
        <v>0</v>
      </c>
      <c r="L206" s="60" cm="1">
        <f t="array" ref="L206">IFERROR(INDEX(Input_ForRateCalc[],MATCH($C206&amp;" - "&amp;L$103,Input_ForRateCalc[[Cost item]:[Cost item]],0),MATCH(Calc_TUV_Net_1[[#This Row],[Decision ref]:[Decision ref]],Input_ForRateCalc[#Headers],0)),"-")*TUProp_Days_1</f>
        <v>0</v>
      </c>
      <c r="M206" s="60" cm="1">
        <f t="array" ref="M206">IFERROR(INDEX(Input_ForRateCalc[],MATCH($C206&amp;" - "&amp;M$103,Input_ForRateCalc[[Cost item]:[Cost item]],0),MATCH(Calc_TUV_Net_1[[#This Row],[Decision ref]:[Decision ref]],Input_ForRateCalc[#Headers],0)),"-")*TUProp_Days_1</f>
        <v>0</v>
      </c>
      <c r="N206" s="60" cm="1">
        <f t="array" ref="N206">IFERROR(INDEX(Input_ForRateCalc[],MATCH($C206&amp;" - "&amp;N$103,Input_ForRateCalc[[Cost item]:[Cost item]],0),MATCH(Calc_TUV_Net_1[[#This Row],[Decision ref]:[Decision ref]],Input_ForRateCalc[#Headers],0)),"-")*TUProp_Days_1</f>
        <v>0</v>
      </c>
      <c r="O206" s="60" cm="1">
        <f t="array" ref="O206">IFERROR(INDEX(Input_ForRateCalc[],MATCH($C206&amp;" - "&amp;O$103,Input_ForRateCalc[[Cost item]:[Cost item]],0),MATCH(Calc_TUV_Net_1[[#This Row],[Decision ref]:[Decision ref]],Input_ForRateCalc[#Headers],0)),"-")*TUProp_Days_1</f>
        <v>0</v>
      </c>
    </row>
    <row r="207" spans="3:15" hidden="1" outlineLevel="1">
      <c r="C207" s="53" t="s">
        <v>191</v>
      </c>
      <c r="D207" s="75" t="str">
        <f t="shared" si="64"/>
        <v>VDO 2023-24 - Final</v>
      </c>
      <c r="E207" s="20" t="s">
        <v>190</v>
      </c>
      <c r="F207" s="75" t="str">
        <f>INDEX(Inputs!$C$10:$Y$10,1,MATCH($D207,Inputs!$C$8:$Y$8,0))</f>
        <v>F-NextVDO_Input</v>
      </c>
      <c r="G207" s="52"/>
      <c r="H207" s="20" t="s">
        <v>90</v>
      </c>
      <c r="I207" s="20" t="s">
        <v>64</v>
      </c>
      <c r="J207" s="53" t="s">
        <v>66</v>
      </c>
      <c r="K207" s="58">
        <f>IFERROR(SUM(K205:K206),"-")</f>
        <v>0</v>
      </c>
      <c r="L207" s="58">
        <f>IFERROR(SUM(L205:L206),"-")</f>
        <v>0</v>
      </c>
      <c r="M207" s="58">
        <f>IFERROR(SUM(M205:M206),"-")</f>
        <v>0</v>
      </c>
      <c r="N207" s="58">
        <f>IFERROR(SUM(N205:N206),"-")</f>
        <v>0</v>
      </c>
      <c r="O207" s="58">
        <f>IFERROR(SUM(O205:O206),"-")</f>
        <v>0</v>
      </c>
    </row>
    <row r="208" spans="3:15" hidden="1" outlineLevel="1">
      <c r="C208" s="53" t="s">
        <v>234</v>
      </c>
      <c r="D208" s="75" t="str">
        <f>INDEX(Input_DecisionActual[[Decision]:[Decision]],MATCH($D$5,Input_DecisionActual[[VDO period]:[VDO period]],0),1)</f>
        <v>VDO 2022-23 - Final</v>
      </c>
      <c r="E208" s="20" t="s">
        <v>192</v>
      </c>
      <c r="F208" s="75" t="str">
        <f>IF($D208="-","-",INDEX(Inputs!$C$10:$Y$10,1,MATCH($D208,Inputs!$C$8:$Y$8,0)))</f>
        <v>F-CurrentVDO_Input</v>
      </c>
      <c r="G208" s="52"/>
      <c r="H208" s="20" t="s">
        <v>90</v>
      </c>
      <c r="I208" s="20" t="s">
        <v>64</v>
      </c>
      <c r="J208" s="53" t="s">
        <v>66</v>
      </c>
      <c r="K208" s="60" cm="1">
        <f t="array" ref="K208">IFERROR(INDEX(Input_ForRateCalc[],MATCH($C208&amp;" - "&amp;K$103,Input_ForRateCalc[[Cost item]:[Cost item]],0),MATCH(Calc_TUV_Net_1[[#This Row],[Decision ref]:[Decision ref]],Input_ForRateCalc[#Headers],0)),"-")*TUProp_Days_1</f>
        <v>0</v>
      </c>
      <c r="L208" s="60" cm="1">
        <f t="array" ref="L208">IFERROR(INDEX(Input_ForRateCalc[],MATCH($C208&amp;" - "&amp;L$103,Input_ForRateCalc[[Cost item]:[Cost item]],0),MATCH(Calc_TUV_Net_1[[#This Row],[Decision ref]:[Decision ref]],Input_ForRateCalc[#Headers],0)),"-")*TUProp_Days_1</f>
        <v>0</v>
      </c>
      <c r="M208" s="60" cm="1">
        <f t="array" ref="M208">IFERROR(INDEX(Input_ForRateCalc[],MATCH($C208&amp;" - "&amp;M$103,Input_ForRateCalc[[Cost item]:[Cost item]],0),MATCH(Calc_TUV_Net_1[[#This Row],[Decision ref]:[Decision ref]],Input_ForRateCalc[#Headers],0)),"-")*TUProp_Days_1</f>
        <v>0</v>
      </c>
      <c r="N208" s="60" cm="1">
        <f t="array" ref="N208">IFERROR(INDEX(Input_ForRateCalc[],MATCH($C208&amp;" - "&amp;N$103,Input_ForRateCalc[[Cost item]:[Cost item]],0),MATCH(Calc_TUV_Net_1[[#This Row],[Decision ref]:[Decision ref]],Input_ForRateCalc[#Headers],0)),"-")*TUProp_Days_1</f>
        <v>0</v>
      </c>
      <c r="O208" s="60" cm="1">
        <f t="array" ref="O208">IFERROR(INDEX(Input_ForRateCalc[],MATCH($C208&amp;" - "&amp;O$103,Input_ForRateCalc[[Cost item]:[Cost item]],0),MATCH(Calc_TUV_Net_1[[#This Row],[Decision ref]:[Decision ref]],Input_ForRateCalc[#Headers],0)),"-")*TUProp_Days_1</f>
        <v>0</v>
      </c>
    </row>
    <row r="209" spans="3:15" hidden="1" outlineLevel="1">
      <c r="C209" s="53" t="s">
        <v>94</v>
      </c>
      <c r="D209" s="75" t="str">
        <f>INDEX(Input_DecisionActual[[Decision]:[Decision]],MATCH($D$5,Input_DecisionActual[[VDO period]:[VDO period]],0),1)</f>
        <v>VDO 2022-23 - Final</v>
      </c>
      <c r="E209" s="20" t="s">
        <v>192</v>
      </c>
      <c r="F209" s="75" t="str">
        <f>IF($D209="-","-",INDEX(Inputs!$C$10:$Y$10,1,MATCH($D209,Inputs!$C$8:$Y$8,0)))</f>
        <v>F-CurrentVDO_Input</v>
      </c>
      <c r="G209" s="52"/>
      <c r="H209" s="20" t="s">
        <v>90</v>
      </c>
      <c r="I209" s="20" t="s">
        <v>64</v>
      </c>
      <c r="J209" s="53" t="s">
        <v>66</v>
      </c>
      <c r="K209" s="60" cm="1">
        <f t="array" ref="K209">IFERROR(INDEX(Input_ForRateCalc[],MATCH($C209&amp;" - "&amp;K$103,Input_ForRateCalc[[Cost item]:[Cost item]],0),MATCH(Calc_TUV_Net_1[[#This Row],[Decision ref]:[Decision ref]],Input_ForRateCalc[#Headers],0)),"-")*TUProp_Days_1</f>
        <v>0</v>
      </c>
      <c r="L209" s="60" cm="1">
        <f t="array" ref="L209">IFERROR(INDEX(Input_ForRateCalc[],MATCH($C209&amp;" - "&amp;L$103,Input_ForRateCalc[[Cost item]:[Cost item]],0),MATCH(Calc_TUV_Net_1[[#This Row],[Decision ref]:[Decision ref]],Input_ForRateCalc[#Headers],0)),"-")*TUProp_Days_1</f>
        <v>0</v>
      </c>
      <c r="M209" s="60" cm="1">
        <f t="array" ref="M209">IFERROR(INDEX(Input_ForRateCalc[],MATCH($C209&amp;" - "&amp;M$103,Input_ForRateCalc[[Cost item]:[Cost item]],0),MATCH(Calc_TUV_Net_1[[#This Row],[Decision ref]:[Decision ref]],Input_ForRateCalc[#Headers],0)),"-")*TUProp_Days_1</f>
        <v>0</v>
      </c>
      <c r="N209" s="60" cm="1">
        <f t="array" ref="N209">IFERROR(INDEX(Input_ForRateCalc[],MATCH($C209&amp;" - "&amp;N$103,Input_ForRateCalc[[Cost item]:[Cost item]],0),MATCH(Calc_TUV_Net_1[[#This Row],[Decision ref]:[Decision ref]],Input_ForRateCalc[#Headers],0)),"-")*TUProp_Days_1</f>
        <v>0</v>
      </c>
      <c r="O209" s="60" cm="1">
        <f t="array" ref="O209">IFERROR(INDEX(Input_ForRateCalc[],MATCH($C209&amp;" - "&amp;O$103,Input_ForRateCalc[[Cost item]:[Cost item]],0),MATCH(Calc_TUV_Net_1[[#This Row],[Decision ref]:[Decision ref]],Input_ForRateCalc[#Headers],0)),"-")*TUProp_Days_1</f>
        <v>0</v>
      </c>
    </row>
    <row r="210" spans="3:15" hidden="1" outlineLevel="1">
      <c r="C210" s="53" t="s">
        <v>191</v>
      </c>
      <c r="D210" s="75" t="str">
        <f>INDEX(Input_DecisionActual[[Decision]:[Decision]],MATCH($D$5,Input_DecisionActual[[VDO period]:[VDO period]],0),1)</f>
        <v>VDO 2022-23 - Final</v>
      </c>
      <c r="E210" s="20" t="s">
        <v>192</v>
      </c>
      <c r="F210" s="75" t="str">
        <f>IF($D210="-","-",INDEX(Inputs!$C$10:$Y$10,1,MATCH($D210,Inputs!$C$8:$Y$8,0)))</f>
        <v>F-CurrentVDO_Input</v>
      </c>
      <c r="G210" s="52"/>
      <c r="H210" s="20" t="s">
        <v>90</v>
      </c>
      <c r="I210" s="20" t="s">
        <v>64</v>
      </c>
      <c r="J210" s="53" t="s">
        <v>66</v>
      </c>
      <c r="K210" s="59">
        <f>SUM(K208:K209)</f>
        <v>0</v>
      </c>
      <c r="L210" s="59">
        <f>SUM(L208:L209)</f>
        <v>0</v>
      </c>
      <c r="M210" s="59">
        <f>SUM(M208:M209)</f>
        <v>0</v>
      </c>
      <c r="N210" s="59">
        <f>SUM(N208:N209)</f>
        <v>0</v>
      </c>
      <c r="O210" s="59">
        <f>SUM(O208:O209)</f>
        <v>0</v>
      </c>
    </row>
    <row r="211" spans="3:15" hidden="1" outlineLevel="1">
      <c r="C211" s="53" t="s">
        <v>193</v>
      </c>
      <c r="D211" s="20"/>
      <c r="E211" s="20"/>
      <c r="F211" s="20"/>
      <c r="G211" s="53"/>
      <c r="H211" s="20" t="s">
        <v>90</v>
      </c>
      <c r="I211" s="20" t="s">
        <v>64</v>
      </c>
      <c r="J211" s="53" t="s">
        <v>66</v>
      </c>
      <c r="K211" s="59" t="str">
        <f>IF(K210=0,"-",K207-K210)</f>
        <v>-</v>
      </c>
      <c r="L211" s="59" t="str">
        <f t="shared" ref="L211:O211" si="65">IF(L210=0,"-",L207-L210)</f>
        <v>-</v>
      </c>
      <c r="M211" s="59" t="str">
        <f t="shared" si="65"/>
        <v>-</v>
      </c>
      <c r="N211" s="59" t="str">
        <f t="shared" si="65"/>
        <v>-</v>
      </c>
      <c r="O211" s="59" t="str">
        <f t="shared" si="65"/>
        <v>-</v>
      </c>
    </row>
    <row r="212" spans="3:15" hidden="1" outlineLevel="1">
      <c r="C212" s="53" t="s">
        <v>180</v>
      </c>
      <c r="D212" s="20"/>
      <c r="E212" s="20"/>
      <c r="F212" s="20"/>
      <c r="G212" s="53"/>
      <c r="H212" s="20" t="s">
        <v>90</v>
      </c>
      <c r="I212" s="20" t="s">
        <v>64</v>
      </c>
      <c r="J212" s="53" t="s">
        <v>66</v>
      </c>
      <c r="K212" s="60" t="str">
        <f>IFERROR(IF($D$11="Yes",K211*(1+WACC_adj_1),""),"-")</f>
        <v/>
      </c>
      <c r="L212" s="60" t="str">
        <f>IFERROR(IF($D$11="Yes",L211*(1+WACC_adj_1),""),"-")</f>
        <v/>
      </c>
      <c r="M212" s="60" t="str">
        <f>IFERROR(IF($D$11="Yes",M211*(1+WACC_adj_1),""),"-")</f>
        <v/>
      </c>
      <c r="N212" s="60" t="str">
        <f>IFERROR(IF($D$11="Yes",N211*(1+WACC_adj_1),""),"-")</f>
        <v/>
      </c>
      <c r="O212" s="60" t="str">
        <f>IFERROR(IF($D$11="Yes",O211*(1+WACC_adj_1),""),"-")</f>
        <v/>
      </c>
    </row>
    <row r="213" spans="3:15" hidden="1" outlineLevel="1">
      <c r="C213" s="53" t="s">
        <v>195</v>
      </c>
      <c r="D213" s="75" t="str">
        <f>INDEX(Input_DecisionActual[[Decision]:[Decision]],MATCH($D$5,Input_DecisionActual[[VDO period]:[VDO period]],0),1)</f>
        <v>VDO 2022-23 - Final</v>
      </c>
      <c r="E213" s="20" t="s">
        <v>192</v>
      </c>
      <c r="F213" s="75" t="str">
        <f>IF($D213="-","-",INDEX(Inputs!$C$10:$Y$10,1,MATCH($D213,Inputs!$C$8:$Y$8,0)))</f>
        <v>F-CurrentVDO_Input</v>
      </c>
      <c r="G213" s="53"/>
      <c r="H213" s="20" t="s">
        <v>90</v>
      </c>
      <c r="I213" s="20" t="s">
        <v>64</v>
      </c>
      <c r="J213" s="53" t="s">
        <v>66</v>
      </c>
      <c r="K213" s="60" cm="1">
        <f t="array" ref="K213">IFERROR(SUM(K211:K212)*(INDEX(Inputs!$H$11:$U$134,MATCH("Retail operating margin",Input_ForRateCalc[[Cost item]:[Cost item]],0),MATCH(Calc_TUV_Net_1[[#This Row],[Decision ref]:[Decision ref]],Inputs!$H$10:$U$10,0))),"-")</f>
        <v>0</v>
      </c>
      <c r="L213" s="60" cm="1">
        <f t="array" ref="L213">IFERROR(SUM(L211:L212)*(INDEX(Inputs!$H$11:$U$134,MATCH("Retail operating margin",Input_ForRateCalc[[Cost item]:[Cost item]],0),MATCH(Calc_TUV_Net_1[[#This Row],[Decision ref]:[Decision ref]],Inputs!$H$10:$U$10,0))),"-")</f>
        <v>0</v>
      </c>
      <c r="M213" s="60" cm="1">
        <f t="array" ref="M213">IFERROR(SUM(M211:M212)*(INDEX(Inputs!$H$11:$U$134,MATCH("Retail operating margin",Input_ForRateCalc[[Cost item]:[Cost item]],0),MATCH(Calc_TUV_Net_1[[#This Row],[Decision ref]:[Decision ref]],Inputs!$H$10:$U$10,0))),"-")</f>
        <v>0</v>
      </c>
      <c r="N213" s="60" cm="1">
        <f t="array" ref="N213">IFERROR(SUM(N211:N212)*(INDEX(Inputs!$H$11:$U$134,MATCH("Retail operating margin",Input_ForRateCalc[[Cost item]:[Cost item]],0),MATCH(Calc_TUV_Net_1[[#This Row],[Decision ref]:[Decision ref]],Inputs!$H$10:$U$10,0))),"-")</f>
        <v>0</v>
      </c>
      <c r="O213" s="60" cm="1">
        <f t="array" ref="O213">IFERROR(SUM(O211:O212)*(INDEX(Inputs!$H$11:$U$134,MATCH("Retail operating margin",Input_ForRateCalc[[Cost item]:[Cost item]],0),MATCH(Calc_TUV_Net_1[[#This Row],[Decision ref]:[Decision ref]],Inputs!$H$10:$U$10,0))),"-")</f>
        <v>0</v>
      </c>
    </row>
    <row r="214" spans="3:15" hidden="1" outlineLevel="1">
      <c r="C214" s="53" t="s">
        <v>196</v>
      </c>
      <c r="D214" s="20"/>
      <c r="E214" s="20"/>
      <c r="F214" s="20"/>
      <c r="G214" s="53"/>
      <c r="H214" s="20" t="s">
        <v>90</v>
      </c>
      <c r="I214" s="20" t="s">
        <v>64</v>
      </c>
      <c r="J214" s="53" t="s">
        <v>66</v>
      </c>
      <c r="K214" s="60" t="str">
        <f>IF(K210=0,"-",SUM(K211:K213)*GST)</f>
        <v>-</v>
      </c>
      <c r="L214" s="60" t="str">
        <f>IF(L210=0,"-",SUM(L211:L213)*GST)</f>
        <v>-</v>
      </c>
      <c r="M214" s="60" t="str">
        <f>IF(M210=0,"-",SUM(M211:M213)*GST)</f>
        <v>-</v>
      </c>
      <c r="N214" s="60" t="str">
        <f>IF(N210=0,"-",SUM(N211:N213)*GST)</f>
        <v>-</v>
      </c>
      <c r="O214" s="60" t="str">
        <f>IF(O210=0,"-",SUM(O211:O213)*GST)</f>
        <v>-</v>
      </c>
    </row>
    <row r="215" spans="3:15" hidden="1" outlineLevel="1">
      <c r="C215" s="20" t="s">
        <v>241</v>
      </c>
      <c r="D215" s="20"/>
      <c r="E215" s="20"/>
      <c r="F215" s="20"/>
      <c r="G215" s="53"/>
      <c r="H215" s="20" t="s">
        <v>90</v>
      </c>
      <c r="I215" s="20" t="s">
        <v>64</v>
      </c>
      <c r="J215" s="53" t="s">
        <v>66</v>
      </c>
      <c r="K215" s="60" t="str">
        <f>IF(K210=0,"-",SUM(K211:K214))</f>
        <v>-</v>
      </c>
      <c r="L215" s="60" t="str">
        <f>IF(L210=0,"-",SUM(L211:L214))</f>
        <v>-</v>
      </c>
      <c r="M215" s="60" t="str">
        <f>IF(M210=0,"-",SUM(M211:M214))</f>
        <v>-</v>
      </c>
      <c r="N215" s="60" t="str">
        <f>IF(N210=0,"-",SUM(N211:N214))</f>
        <v>-</v>
      </c>
      <c r="O215" s="60" t="str">
        <f>IF(O210=0,"-",SUM(O211:O214))</f>
        <v>-</v>
      </c>
    </row>
    <row r="216" spans="3:15" hidden="1" outlineLevel="1">
      <c r="C216" s="53"/>
      <c r="D216" s="53"/>
      <c r="E216" s="53"/>
      <c r="F216" s="53"/>
      <c r="H216" s="53"/>
      <c r="I216" s="20"/>
      <c r="J216" s="20"/>
      <c r="K216" s="106"/>
      <c r="L216" s="106"/>
      <c r="M216" s="106"/>
      <c r="N216" s="106"/>
      <c r="O216" s="106"/>
    </row>
    <row r="217" spans="3:15" hidden="1" outlineLevel="1">
      <c r="C217" s="51" t="s">
        <v>248</v>
      </c>
      <c r="D217" s="53"/>
      <c r="E217" s="53"/>
      <c r="F217" s="53"/>
      <c r="G217" s="62"/>
      <c r="H217" s="53"/>
      <c r="I217" s="20"/>
      <c r="J217" s="20"/>
      <c r="K217" s="106"/>
      <c r="L217" s="106"/>
      <c r="M217" s="106"/>
      <c r="N217" s="106"/>
      <c r="O217" s="106"/>
    </row>
    <row r="218" spans="3:15" hidden="1" outlineLevel="1">
      <c r="C218" s="53" t="s">
        <v>249</v>
      </c>
      <c r="D218" s="75" t="str">
        <f t="shared" ref="D218:D220" si="66">$D$5</f>
        <v>VDO 2023-24 - Final</v>
      </c>
      <c r="E218" s="20" t="s">
        <v>190</v>
      </c>
      <c r="F218" s="75" t="str">
        <f>INDEX(Inputs!$C$10:$Y$10,1,MATCH($D218,Inputs!$C$8:$Y$8,0))</f>
        <v>F-NextVDO_Input</v>
      </c>
      <c r="G218" s="53"/>
      <c r="H218" s="20" t="s">
        <v>103</v>
      </c>
      <c r="I218" s="20" t="s">
        <v>226</v>
      </c>
      <c r="J218" s="53" t="s">
        <v>66</v>
      </c>
      <c r="K218" s="60" cm="1">
        <f t="array" ref="K218">IFERROR(INDEX(Input_ForRateCalc[],MATCH($C218&amp;" - "&amp;K$103,Input_ForRateCalc[[Cost item]:[Cost item]],0),MATCH(Calc_TUV_Net_1[[#This Row],[Decision ref]:[Decision ref]],Input_ForRateCalc[#Headers],0)),"-")</f>
        <v>19.642449948699095</v>
      </c>
      <c r="L218" s="60" cm="1">
        <f t="array" ref="L218">IFERROR(INDEX(Input_ForRateCalc[],MATCH($C218&amp;" - "&amp;L$103,Input_ForRateCalc[[Cost item]:[Cost item]],0),MATCH(Calc_TUV_Net_1[[#This Row],[Decision ref]:[Decision ref]],Input_ForRateCalc[#Headers],0)),"-")</f>
        <v>13.27</v>
      </c>
      <c r="M218" s="60" cm="1">
        <f t="array" ref="M218">IFERROR(INDEX(Input_ForRateCalc[],MATCH($C218&amp;" - "&amp;M$103,Input_ForRateCalc[[Cost item]:[Cost item]],0),MATCH(Calc_TUV_Net_1[[#This Row],[Decision ref]:[Decision ref]],Input_ForRateCalc[#Headers],0)),"-")</f>
        <v>15.097</v>
      </c>
      <c r="N218" s="60" cm="1">
        <f t="array" ref="N218">IFERROR(INDEX(Input_ForRateCalc[],MATCH($C218&amp;" - "&amp;N$103,Input_ForRateCalc[[Cost item]:[Cost item]],0),MATCH(Calc_TUV_Net_1[[#This Row],[Decision ref]:[Decision ref]],Input_ForRateCalc[#Headers],0)),"-")</f>
        <v>17.46</v>
      </c>
      <c r="O218" s="60" cm="1">
        <f t="array" ref="O218">IFERROR(INDEX(Input_ForRateCalc[],MATCH($C218&amp;" - "&amp;O$103,Input_ForRateCalc[[Cost item]:[Cost item]],0),MATCH(Calc_TUV_Net_1[[#This Row],[Decision ref]:[Decision ref]],Input_ForRateCalc[#Headers],0)),"-")</f>
        <v>15.41</v>
      </c>
    </row>
    <row r="219" spans="3:15" hidden="1" outlineLevel="1">
      <c r="C219" s="53" t="s">
        <v>250</v>
      </c>
      <c r="D219" s="75" t="str">
        <f t="shared" si="66"/>
        <v>VDO 2023-24 - Final</v>
      </c>
      <c r="E219" s="20" t="s">
        <v>190</v>
      </c>
      <c r="F219" s="75" t="str">
        <f>INDEX(Inputs!$C$10:$Y$10,1,MATCH($D219,Inputs!$C$8:$Y$8,0))</f>
        <v>F-NextVDO_Input</v>
      </c>
      <c r="G219" s="62"/>
      <c r="H219" s="20" t="s">
        <v>103</v>
      </c>
      <c r="I219" s="20" t="s">
        <v>226</v>
      </c>
      <c r="J219" s="53" t="s">
        <v>66</v>
      </c>
      <c r="K219" s="60" cm="1">
        <f t="array" ref="K219">IFERROR(INDEX(Input_ForRateCalc[],MATCH($C219&amp;" - "&amp;K$103,Input_ForRateCalc[[Cost item]:[Cost item]],0),MATCH(Calc_TUV_Net_1[[#This Row],[Decision ref]:[Decision ref]],Input_ForRateCalc[#Headers],0)),"-")</f>
        <v>4.742575271253056</v>
      </c>
      <c r="L219" s="60" cm="1">
        <f t="array" ref="L219">IFERROR(INDEX(Input_ForRateCalc[],MATCH($C219&amp;" - "&amp;L$103,Input_ForRateCalc[[Cost item]:[Cost item]],0),MATCH(Calc_TUV_Net_1[[#This Row],[Decision ref]:[Decision ref]],Input_ForRateCalc[#Headers],0)),"-")</f>
        <v>2.95</v>
      </c>
      <c r="M219" s="60" cm="1">
        <f t="array" ref="M219">IFERROR(INDEX(Input_ForRateCalc[],MATCH($C219&amp;" - "&amp;M$103,Input_ForRateCalc[[Cost item]:[Cost item]],0),MATCH(Calc_TUV_Net_1[[#This Row],[Decision ref]:[Decision ref]],Input_ForRateCalc[#Headers],0)),"-")</f>
        <v>3.226</v>
      </c>
      <c r="N219" s="60" cm="1">
        <f t="array" ref="N219">IFERROR(INDEX(Input_ForRateCalc[],MATCH($C219&amp;" - "&amp;N$103,Input_ForRateCalc[[Cost item]:[Cost item]],0),MATCH(Calc_TUV_Net_1[[#This Row],[Decision ref]:[Decision ref]],Input_ForRateCalc[#Headers],0)),"-")</f>
        <v>3.8800000000000003</v>
      </c>
      <c r="O219" s="60" cm="1">
        <f t="array" ref="O219">IFERROR(INDEX(Input_ForRateCalc[],MATCH($C219&amp;" - "&amp;O$103,Input_ForRateCalc[[Cost item]:[Cost item]],0),MATCH(Calc_TUV_Net_1[[#This Row],[Decision ref]:[Decision ref]],Input_ForRateCalc[#Headers],0)),"-")</f>
        <v>3.4299999999999997</v>
      </c>
    </row>
    <row r="220" spans="3:15" hidden="1" outlineLevel="1">
      <c r="C220" s="53" t="s">
        <v>191</v>
      </c>
      <c r="D220" s="75" t="str">
        <f t="shared" si="66"/>
        <v>VDO 2023-24 - Final</v>
      </c>
      <c r="E220" s="20" t="s">
        <v>190</v>
      </c>
      <c r="F220" s="75" t="str">
        <f>INDEX(Inputs!$C$10:$Y$10,1,MATCH($D220,Inputs!$C$8:$Y$8,0))</f>
        <v>F-NextVDO_Input</v>
      </c>
      <c r="G220" s="52"/>
      <c r="H220" s="20" t="s">
        <v>103</v>
      </c>
      <c r="I220" s="20" t="s">
        <v>226</v>
      </c>
      <c r="J220" s="53" t="s">
        <v>66</v>
      </c>
      <c r="K220" s="61">
        <f>SUMIFS(TUNet_Usage_Actual_1[Value],TUNet_Usage_Actual_1[Customer type],Calc_TUV_Net_1[[#This Row],[Customer type]],TUNet_Usage_Actual_1[Description],"Usage per customer")*SUM(
IFERROR(K218/100*SUMIFS(Input_TUNet_Props[F-PreviousVDO_Input2],Input_TUNet_Props[Customer type],Calc_TUV_Net_1[[#This Row],[Customer type]],Input_TUNet_Props[Usage type],"Peak"),0),
IFERROR(K219/100*SUMIFS(Input_TUNet_Props[F-PreviousVDO_Input2],Input_TUNet_Props[Customer type],Calc_TUV_Net_1[[#This Row],[Customer type]],Input_TUNet_Props[Usage type],"Off peak"),0))</f>
        <v>0</v>
      </c>
      <c r="L220" s="61">
        <f>SUMIFS(TUNet_Usage_Actual_1[Value],TUNet_Usage_Actual_1[Customer type],Calc_TUV_Net_1[[#This Row],[Customer type]],TUNet_Usage_Actual_1[Description],"Usage per customer")*SUM(
IFERROR(L218/100*SUMIFS(Input_TUNet_Props[F-PreviousVDO_Input2],Input_TUNet_Props[Customer type],Calc_TUV_Net_1[[#This Row],[Customer type]],Input_TUNet_Props[Usage type],"Peak"),0),
IFERROR(L219/100*SUMIFS(Input_TUNet_Props[F-PreviousVDO_Input2],Input_TUNet_Props[Customer type],Calc_TUV_Net_1[[#This Row],[Customer type]],Input_TUNet_Props[Usage type],"Off peak"),0))</f>
        <v>0</v>
      </c>
      <c r="M220" s="61">
        <f>SUMIFS(TUNet_Usage_Actual_1[Value],TUNet_Usage_Actual_1[Customer type],Calc_TUV_Net_1[[#This Row],[Customer type]],TUNet_Usage_Actual_1[Description],"Usage per customer")*SUM(
IFERROR(M218/100*SUMIFS(Input_TUNet_Props[F-PreviousVDO_Input2],Input_TUNet_Props[Customer type],Calc_TUV_Net_1[[#This Row],[Customer type]],Input_TUNet_Props[Usage type],"Peak"),0),
IFERROR(M219/100*SUMIFS(Input_TUNet_Props[F-PreviousVDO_Input2],Input_TUNet_Props[Customer type],Calc_TUV_Net_1[[#This Row],[Customer type]],Input_TUNet_Props[Usage type],"Off peak"),0))</f>
        <v>0</v>
      </c>
      <c r="N220" s="61">
        <f>SUMIFS(TUNet_Usage_Actual_1[Value],TUNet_Usage_Actual_1[Customer type],Calc_TUV_Net_1[[#This Row],[Customer type]],TUNet_Usage_Actual_1[Description],"Usage per customer")*SUM(
IFERROR(N218/100*SUMIFS(Input_TUNet_Props[F-PreviousVDO_Input2],Input_TUNet_Props[Customer type],Calc_TUV_Net_1[[#This Row],[Customer type]],Input_TUNet_Props[Usage type],"Peak"),0),
IFERROR(N219/100*SUMIFS(Input_TUNet_Props[F-PreviousVDO_Input2],Input_TUNet_Props[Customer type],Calc_TUV_Net_1[[#This Row],[Customer type]],Input_TUNet_Props[Usage type],"Off peak"),0))</f>
        <v>0</v>
      </c>
      <c r="O220" s="61">
        <f>SUMIFS(TUNet_Usage_Actual_1[Value],TUNet_Usage_Actual_1[Customer type],Calc_TUV_Net_1[[#This Row],[Customer type]],TUNet_Usage_Actual_1[Description],"Usage per customer")*SUM(
IFERROR(O218/100*SUMIFS(Input_TUNet_Props[F-PreviousVDO_Input2],Input_TUNet_Props[Customer type],Calc_TUV_Net_1[[#This Row],[Customer type]],Input_TUNet_Props[Usage type],"Peak"),0),
IFERROR(O219/100*SUMIFS(Input_TUNet_Props[F-PreviousVDO_Input2],Input_TUNet_Props[Customer type],Calc_TUV_Net_1[[#This Row],[Customer type]],Input_TUNet_Props[Usage type],"Off peak"),0))</f>
        <v>0</v>
      </c>
    </row>
    <row r="221" spans="3:15" hidden="1" outlineLevel="1">
      <c r="C221" s="53" t="s">
        <v>236</v>
      </c>
      <c r="D221" s="75" t="str">
        <f>INDEX(Input_DecisionActual[[Decision]:[Decision]],MATCH($D$5,Input_DecisionActual[[VDO period]:[VDO period]],0),1)</f>
        <v>VDO 2022-23 - Final</v>
      </c>
      <c r="E221" s="20" t="s">
        <v>192</v>
      </c>
      <c r="F221" s="75" t="str">
        <f>IF($D221="-","-",INDEX(Inputs!$C$10:$Y$10,1,MATCH($D221,Inputs!$C$8:$Y$8,0)))</f>
        <v>F-CurrentVDO_Input</v>
      </c>
      <c r="G221" s="52"/>
      <c r="H221" s="20" t="s">
        <v>103</v>
      </c>
      <c r="I221" s="20" t="s">
        <v>64</v>
      </c>
      <c r="J221" s="53" t="s">
        <v>66</v>
      </c>
      <c r="K221" s="60" cm="1">
        <f t="array" ref="K221">IFERROR(INDEX(Input_ForRateCalc[],MATCH($C221&amp;" - "&amp;K$103,Input_ForRateCalc[[Cost item]:[Cost item]],0),MATCH(Calc_TUV_Net_1[[#This Row],[Decision ref]:[Decision ref]],Input_ForRateCalc[#Headers],0)),"-")</f>
        <v>17.498000000000001</v>
      </c>
      <c r="L221" s="60" t="str" cm="1">
        <f t="array" ref="L221">IFERROR(INDEX(Input_ForRateCalc[],MATCH($C221&amp;" - "&amp;L$103,Input_ForRateCalc[[Cost item]:[Cost item]],0),MATCH(Calc_TUV_Net_1[[#This Row],[Decision ref]:[Decision ref]],Input_ForRateCalc[#Headers],0)),"-")</f>
        <v>-</v>
      </c>
      <c r="M221" s="60" t="str" cm="1">
        <f t="array" ref="M221">IFERROR(INDEX(Input_ForRateCalc[],MATCH($C221&amp;" - "&amp;M$103,Input_ForRateCalc[[Cost item]:[Cost item]],0),MATCH(Calc_TUV_Net_1[[#This Row],[Decision ref]:[Decision ref]],Input_ForRateCalc[#Headers],0)),"-")</f>
        <v>-</v>
      </c>
      <c r="N221" s="60" t="str" cm="1">
        <f t="array" ref="N221">IFERROR(INDEX(Input_ForRateCalc[],MATCH($C221&amp;" - "&amp;N$103,Input_ForRateCalc[[Cost item]:[Cost item]],0),MATCH(Calc_TUV_Net_1[[#This Row],[Decision ref]:[Decision ref]],Input_ForRateCalc[#Headers],0)),"-")</f>
        <v>-</v>
      </c>
      <c r="O221" s="60" t="str" cm="1">
        <f t="array" ref="O221">IFERROR(INDEX(Input_ForRateCalc[],MATCH($C221&amp;" - "&amp;O$103,Input_ForRateCalc[[Cost item]:[Cost item]],0),MATCH(Calc_TUV_Net_1[[#This Row],[Decision ref]:[Decision ref]],Input_ForRateCalc[#Headers],0)),"-")</f>
        <v>-</v>
      </c>
    </row>
    <row r="222" spans="3:15" hidden="1" outlineLevel="1">
      <c r="C222" s="53" t="s">
        <v>237</v>
      </c>
      <c r="D222" s="75" t="str">
        <f>INDEX(Input_DecisionActual[[Decision]:[Decision]],MATCH($D$5,Input_DecisionActual[[VDO period]:[VDO period]],0),1)</f>
        <v>VDO 2022-23 - Final</v>
      </c>
      <c r="E222" s="20" t="s">
        <v>192</v>
      </c>
      <c r="F222" s="75" t="str">
        <f>IF($D222="-","-",INDEX(Inputs!$C$10:$Y$10,1,MATCH($D222,Inputs!$C$8:$Y$8,0)))</f>
        <v>F-CurrentVDO_Input</v>
      </c>
      <c r="G222" s="52"/>
      <c r="H222" s="20" t="s">
        <v>103</v>
      </c>
      <c r="I222" s="20" t="s">
        <v>226</v>
      </c>
      <c r="J222" s="53" t="s">
        <v>66</v>
      </c>
      <c r="K222" s="60" cm="1">
        <f t="array" ref="K222">IFERROR(INDEX(Input_ForRateCalc[],MATCH($C222&amp;" - "&amp;K$103,Input_ForRateCalc[[Cost item]:[Cost item]],0),MATCH(Calc_TUV_Net_1[[#This Row],[Decision ref]:[Decision ref]],Input_ForRateCalc[#Headers],0)),"-")</f>
        <v>20.5366</v>
      </c>
      <c r="L222" s="60" t="str" cm="1">
        <f t="array" ref="L222">IFERROR(INDEX(Input_ForRateCalc[],MATCH($C222&amp;" - "&amp;L$103,Input_ForRateCalc[[Cost item]:[Cost item]],0),MATCH(Calc_TUV_Net_1[[#This Row],[Decision ref]:[Decision ref]],Input_ForRateCalc[#Headers],0)),"-")</f>
        <v>-</v>
      </c>
      <c r="M222" s="60" t="str" cm="1">
        <f t="array" ref="M222">IFERROR(INDEX(Input_ForRateCalc[],MATCH($C222&amp;" - "&amp;M$103,Input_ForRateCalc[[Cost item]:[Cost item]],0),MATCH(Calc_TUV_Net_1[[#This Row],[Decision ref]:[Decision ref]],Input_ForRateCalc[#Headers],0)),"-")</f>
        <v>-</v>
      </c>
      <c r="N222" s="60" t="str" cm="1">
        <f t="array" ref="N222">IFERROR(INDEX(Input_ForRateCalc[],MATCH($C222&amp;" - "&amp;N$103,Input_ForRateCalc[[Cost item]:[Cost item]],0),MATCH(Calc_TUV_Net_1[[#This Row],[Decision ref]:[Decision ref]],Input_ForRateCalc[#Headers],0)),"-")</f>
        <v>-</v>
      </c>
      <c r="O222" s="60" t="str" cm="1">
        <f t="array" ref="O222">IFERROR(INDEX(Input_ForRateCalc[],MATCH($C222&amp;" - "&amp;O$103,Input_ForRateCalc[[Cost item]:[Cost item]],0),MATCH(Calc_TUV_Net_1[[#This Row],[Decision ref]:[Decision ref]],Input_ForRateCalc[#Headers],0)),"-")</f>
        <v>-</v>
      </c>
    </row>
    <row r="223" spans="3:15" hidden="1" outlineLevel="1">
      <c r="C223" s="53" t="s">
        <v>238</v>
      </c>
      <c r="D223" s="75" t="str">
        <f>INDEX(Input_DecisionActual[[Decision]:[Decision]],MATCH($D$5,Input_DecisionActual[[VDO period]:[VDO period]],0),1)</f>
        <v>VDO 2022-23 - Final</v>
      </c>
      <c r="E223" s="20" t="s">
        <v>192</v>
      </c>
      <c r="F223" s="75" t="str">
        <f>IF($D223="-","-",INDEX(Inputs!$C$10:$Y$10,1,MATCH($D223,Inputs!$C$8:$Y$8,0)))</f>
        <v>F-CurrentVDO_Input</v>
      </c>
      <c r="G223" s="52"/>
      <c r="H223" s="20" t="s">
        <v>103</v>
      </c>
      <c r="I223" s="20" t="s">
        <v>226</v>
      </c>
      <c r="J223" s="53" t="s">
        <v>66</v>
      </c>
      <c r="K223" s="60" t="str" cm="1">
        <f t="array" ref="K223">IFERROR(INDEX(Input_ForRateCalc[],MATCH($C223&amp;" - "&amp;K$103,Input_ForRateCalc[[Cost item]:[Cost item]],0),MATCH(Calc_TUV_Net_1[[#This Row],[Decision ref]:[Decision ref]],Input_ForRateCalc[#Headers],0)),"-")</f>
        <v>-</v>
      </c>
      <c r="L223" s="60" cm="1">
        <f t="array" ref="L223">IFERROR(INDEX(Input_ForRateCalc[],MATCH($C223&amp;" - "&amp;L$103,Input_ForRateCalc[[Cost item]:[Cost item]],0),MATCH(Calc_TUV_Net_1[[#This Row],[Decision ref]:[Decision ref]],Input_ForRateCalc[#Headers],0)),"-")</f>
        <v>8.0299999999999994</v>
      </c>
      <c r="M223" s="60" cm="1">
        <f t="array" ref="M223">IFERROR(INDEX(Input_ForRateCalc[],MATCH($C223&amp;" - "&amp;M$103,Input_ForRateCalc[[Cost item]:[Cost item]],0),MATCH(Calc_TUV_Net_1[[#This Row],[Decision ref]:[Decision ref]],Input_ForRateCalc[#Headers],0)),"-")</f>
        <v>10.84</v>
      </c>
      <c r="N223" s="60" cm="1">
        <f t="array" ref="N223">IFERROR(INDEX(Input_ForRateCalc[],MATCH($C223&amp;" - "&amp;N$103,Input_ForRateCalc[[Cost item]:[Cost item]],0),MATCH(Calc_TUV_Net_1[[#This Row],[Decision ref]:[Decision ref]],Input_ForRateCalc[#Headers],0)),"-")</f>
        <v>9.2899999999999991</v>
      </c>
      <c r="O223" s="60" cm="1">
        <f t="array" ref="O223">IFERROR(INDEX(Input_ForRateCalc[],MATCH($C223&amp;" - "&amp;O$103,Input_ForRateCalc[[Cost item]:[Cost item]],0),MATCH(Calc_TUV_Net_1[[#This Row],[Decision ref]:[Decision ref]],Input_ForRateCalc[#Headers],0)),"-")</f>
        <v>9.14</v>
      </c>
    </row>
    <row r="224" spans="3:15" hidden="1" outlineLevel="1">
      <c r="C224" s="53" t="s">
        <v>191</v>
      </c>
      <c r="D224" s="75" t="str">
        <f>INDEX(Input_DecisionActual[[Decision]:[Decision]],MATCH($D$5,Input_DecisionActual[[VDO period]:[VDO period]],0),1)</f>
        <v>VDO 2022-23 - Final</v>
      </c>
      <c r="E224" s="20" t="s">
        <v>192</v>
      </c>
      <c r="F224" s="75" t="str">
        <f>IF($D224="-","-",INDEX(Inputs!$C$10:$Y$10,1,MATCH($D224,Inputs!$C$8:$Y$8,0)))</f>
        <v>F-CurrentVDO_Input</v>
      </c>
      <c r="G224" s="52"/>
      <c r="H224" s="20" t="s">
        <v>103</v>
      </c>
      <c r="I224" s="20" t="s">
        <v>226</v>
      </c>
      <c r="J224" s="53" t="s">
        <v>66</v>
      </c>
      <c r="K224" s="61">
        <f>SUMIFS(TUNet_Usage_Actual_1[Value],TUNet_Usage_Actual_1[Customer type],Calc_TUV_Net_1[[#This Row],[Customer type]],TUNet_Usage_Actual_1[Description],"Usage per customer")*SUM(
IFERROR(K221/100*SUMIFS(Input_TUNet_Props[F-PreviousVDO_Input2],Input_TUNet_Props[Customer type],Calc_TUV_Net_1[[#This Row],[Customer type]],Input_TUNet_Props[Usage type],"Block 1"),0),
IFERROR(K222/100*SUMIFS(Input_TUNet_Props[F-PreviousVDO_Input2],Input_TUNet_Props[Customer type],Calc_TUV_Net_1[[#This Row],[Customer type]],Input_TUNet_Props[Usage type],"Balance"),0),
IFERROR(K223/100*SUMIFS(Input_TUNet_Props[F-PreviousVDO_Input2],Input_TUNet_Props[Customer type],Calc_TUV_Net_1[[#This Row],[Customer type]],Input_TUNet_Props[Usage type],"Single rate"),0))</f>
        <v>0</v>
      </c>
      <c r="L224" s="61">
        <f>SUMIFS(TUNet_Usage_Actual_1[Value],TUNet_Usage_Actual_1[Customer type],Calc_TUV_Net_1[[#This Row],[Customer type]],TUNet_Usage_Actual_1[Description],"Usage per customer")*SUM(
IFERROR(L221/100*SUMIFS(Input_TUNet_Props[F-PreviousVDO_Input2],Input_TUNet_Props[Customer type],Calc_TUV_Net_1[[#This Row],[Customer type]],Input_TUNet_Props[Usage type],"Block 1"),0),
IFERROR(L222/100*SUMIFS(Input_TUNet_Props[F-PreviousVDO_Input2],Input_TUNet_Props[Customer type],Calc_TUV_Net_1[[#This Row],[Customer type]],Input_TUNet_Props[Usage type],"Balance"),0),
IFERROR(L223/100*SUMIFS(Input_TUNet_Props[F-PreviousVDO_Input2],Input_TUNet_Props[Customer type],Calc_TUV_Net_1[[#This Row],[Customer type]],Input_TUNet_Props[Usage type],"Single rate"),0))</f>
        <v>0</v>
      </c>
      <c r="M224" s="61">
        <f>SUMIFS(TUNet_Usage_Actual_1[Value],TUNet_Usage_Actual_1[Customer type],Calc_TUV_Net_1[[#This Row],[Customer type]],TUNet_Usage_Actual_1[Description],"Usage per customer")*SUM(
IFERROR(M221/100*SUMIFS(Input_TUNet_Props[F-PreviousVDO_Input2],Input_TUNet_Props[Customer type],Calc_TUV_Net_1[[#This Row],[Customer type]],Input_TUNet_Props[Usage type],"Block 1"),0),
IFERROR(M222/100*SUMIFS(Input_TUNet_Props[F-PreviousVDO_Input2],Input_TUNet_Props[Customer type],Calc_TUV_Net_1[[#This Row],[Customer type]],Input_TUNet_Props[Usage type],"Balance"),0),
IFERROR(M223/100*SUMIFS(Input_TUNet_Props[F-PreviousVDO_Input2],Input_TUNet_Props[Customer type],Calc_TUV_Net_1[[#This Row],[Customer type]],Input_TUNet_Props[Usage type],"Single rate"),0))</f>
        <v>0</v>
      </c>
      <c r="N224" s="61">
        <f>SUMIFS(TUNet_Usage_Actual_1[Value],TUNet_Usage_Actual_1[Customer type],Calc_TUV_Net_1[[#This Row],[Customer type]],TUNet_Usage_Actual_1[Description],"Usage per customer")*SUM(
IFERROR(N221/100*SUMIFS(Input_TUNet_Props[F-PreviousVDO_Input2],Input_TUNet_Props[Customer type],Calc_TUV_Net_1[[#This Row],[Customer type]],Input_TUNet_Props[Usage type],"Block 1"),0),
IFERROR(N222/100*SUMIFS(Input_TUNet_Props[F-PreviousVDO_Input2],Input_TUNet_Props[Customer type],Calc_TUV_Net_1[[#This Row],[Customer type]],Input_TUNet_Props[Usage type],"Balance"),0),
IFERROR(N223/100*SUMIFS(Input_TUNet_Props[F-PreviousVDO_Input2],Input_TUNet_Props[Customer type],Calc_TUV_Net_1[[#This Row],[Customer type]],Input_TUNet_Props[Usage type],"Single rate"),0))</f>
        <v>0</v>
      </c>
      <c r="O224" s="61">
        <f>SUMIFS(TUNet_Usage_Actual_1[Value],TUNet_Usage_Actual_1[Customer type],Calc_TUV_Net_1[[#This Row],[Customer type]],TUNet_Usage_Actual_1[Description],"Usage per customer")*SUM(
IFERROR(O221/100*SUMIFS(Input_TUNet_Props[F-PreviousVDO_Input2],Input_TUNet_Props[Customer type],Calc_TUV_Net_1[[#This Row],[Customer type]],Input_TUNet_Props[Usage type],"Block 1"),0),
IFERROR(O222/100*SUMIFS(Input_TUNet_Props[F-PreviousVDO_Input2],Input_TUNet_Props[Customer type],Calc_TUV_Net_1[[#This Row],[Customer type]],Input_TUNet_Props[Usage type],"Balance"),0),
IFERROR(O223/100*SUMIFS(Input_TUNet_Props[F-PreviousVDO_Input2],Input_TUNet_Props[Customer type],Calc_TUV_Net_1[[#This Row],[Customer type]],Input_TUNet_Props[Usage type],"Single rate"),0))</f>
        <v>0</v>
      </c>
    </row>
    <row r="225" spans="2:17" hidden="1" outlineLevel="1">
      <c r="C225" s="53" t="s">
        <v>193</v>
      </c>
      <c r="D225" s="53"/>
      <c r="E225" s="53"/>
      <c r="F225" s="53"/>
      <c r="G225" s="53"/>
      <c r="H225" s="20" t="s">
        <v>103</v>
      </c>
      <c r="I225" s="20" t="s">
        <v>64</v>
      </c>
      <c r="J225" s="53" t="s">
        <v>66</v>
      </c>
      <c r="K225" s="59" t="str">
        <f>IF(K224=0,"-",K220-K224)</f>
        <v>-</v>
      </c>
      <c r="L225" s="59" t="str">
        <f t="shared" ref="L225:O225" si="67">IF(L224=0,"-",L220-L224)</f>
        <v>-</v>
      </c>
      <c r="M225" s="59" t="str">
        <f t="shared" si="67"/>
        <v>-</v>
      </c>
      <c r="N225" s="59" t="str">
        <f t="shared" si="67"/>
        <v>-</v>
      </c>
      <c r="O225" s="59" t="str">
        <f t="shared" si="67"/>
        <v>-</v>
      </c>
    </row>
    <row r="226" spans="2:17" hidden="1" outlineLevel="1">
      <c r="C226" s="53" t="s">
        <v>180</v>
      </c>
      <c r="D226" s="53"/>
      <c r="E226" s="53"/>
      <c r="F226" s="53"/>
      <c r="G226" s="53"/>
      <c r="H226" s="20" t="s">
        <v>103</v>
      </c>
      <c r="I226" s="20" t="s">
        <v>64</v>
      </c>
      <c r="J226" s="53" t="s">
        <v>66</v>
      </c>
      <c r="K226" s="60" t="str">
        <f>IFERROR(IF($D$11="Yes",K225*(1+WACC_adj_1),""),"-")</f>
        <v/>
      </c>
      <c r="L226" s="60" t="str">
        <f>IFERROR(IF($D$11="Yes",L225*(1+WACC_adj_1),""),"-")</f>
        <v/>
      </c>
      <c r="M226" s="60" t="str">
        <f>IFERROR(IF($D$11="Yes",M225*(1+WACC_adj_1),""),"-")</f>
        <v/>
      </c>
      <c r="N226" s="60" t="str">
        <f>IFERROR(IF($D$11="Yes",N225*(1+WACC_adj_1),""),"-")</f>
        <v/>
      </c>
      <c r="O226" s="60" t="str">
        <f>IFERROR(IF($D$11="Yes",O225*(1+WACC_adj_1),""),"-")</f>
        <v/>
      </c>
    </row>
    <row r="227" spans="2:17" hidden="1" outlineLevel="1">
      <c r="C227" s="53" t="s">
        <v>195</v>
      </c>
      <c r="D227" s="75" t="str">
        <f>INDEX(Input_DecisionActual[[Decision]:[Decision]],MATCH($D$5,Input_DecisionActual[[VDO period]:[VDO period]],0),1)</f>
        <v>VDO 2022-23 - Final</v>
      </c>
      <c r="E227" s="20" t="s">
        <v>192</v>
      </c>
      <c r="F227" s="75" t="str">
        <f>IF($D227="-","-",INDEX(Inputs!$C$10:$Y$10,1,MATCH($D227,Inputs!$C$8:$Y$8,0)))</f>
        <v>F-CurrentVDO_Input</v>
      </c>
      <c r="G227" s="53"/>
      <c r="H227" s="20" t="s">
        <v>103</v>
      </c>
      <c r="I227" s="20" t="s">
        <v>64</v>
      </c>
      <c r="J227" s="53" t="s">
        <v>66</v>
      </c>
      <c r="K227" s="60" cm="1">
        <f t="array" ref="K227">IFERROR(SUM(K225:K226)*(INDEX(Inputs!$H$11:$U$134,MATCH("Retail operating margin",Input_ForRateCalc[[Cost item]:[Cost item]],0),MATCH(Calc_TUV_Net_1[[#This Row],[Decision ref]:[Decision ref]],Inputs!$H$10:$U$10,0))),"-")</f>
        <v>0</v>
      </c>
      <c r="L227" s="60" cm="1">
        <f t="array" ref="L227">IFERROR(SUM(L225:L226)*(INDEX(Inputs!$H$11:$U$134,MATCH("Retail operating margin",Input_ForRateCalc[[Cost item]:[Cost item]],0),MATCH(Calc_TUV_Net_1[[#This Row],[Decision ref]:[Decision ref]],Inputs!$H$10:$U$10,0))),"-")</f>
        <v>0</v>
      </c>
      <c r="M227" s="60" cm="1">
        <f t="array" ref="M227">IFERROR(SUM(M225:M226)*(INDEX(Inputs!$H$11:$U$134,MATCH("Retail operating margin",Input_ForRateCalc[[Cost item]:[Cost item]],0),MATCH(Calc_TUV_Net_1[[#This Row],[Decision ref]:[Decision ref]],Inputs!$H$10:$U$10,0))),"-")</f>
        <v>0</v>
      </c>
      <c r="N227" s="60" cm="1">
        <f t="array" ref="N227">IFERROR(SUM(N225:N226)*(INDEX(Inputs!$H$11:$U$134,MATCH("Retail operating margin",Input_ForRateCalc[[Cost item]:[Cost item]],0),MATCH(Calc_TUV_Net_1[[#This Row],[Decision ref]:[Decision ref]],Inputs!$H$10:$U$10,0))),"-")</f>
        <v>0</v>
      </c>
      <c r="O227" s="60" cm="1">
        <f t="array" ref="O227">IFERROR(SUM(O225:O226)*(INDEX(Inputs!$H$11:$U$134,MATCH("Retail operating margin",Input_ForRateCalc[[Cost item]:[Cost item]],0),MATCH(Calc_TUV_Net_1[[#This Row],[Decision ref]:[Decision ref]],Inputs!$H$10:$U$10,0))),"-")</f>
        <v>0</v>
      </c>
    </row>
    <row r="228" spans="2:17" hidden="1" outlineLevel="1">
      <c r="C228" s="53" t="s">
        <v>196</v>
      </c>
      <c r="D228" s="53"/>
      <c r="E228" s="53"/>
      <c r="F228" s="53"/>
      <c r="G228" s="53"/>
      <c r="H228" s="20" t="s">
        <v>103</v>
      </c>
      <c r="I228" s="20" t="s">
        <v>64</v>
      </c>
      <c r="J228" s="53" t="s">
        <v>66</v>
      </c>
      <c r="K228" s="60" t="str">
        <f>IF(K224=0,"-",SUM(K225:K227)*GST)</f>
        <v>-</v>
      </c>
      <c r="L228" s="60" t="str">
        <f>IF(L224=0,"-",SUM(L225:L227)*GST)</f>
        <v>-</v>
      </c>
      <c r="M228" s="60" t="str">
        <f>IF(M224=0,"-",SUM(M225:M227)*GST)</f>
        <v>-</v>
      </c>
      <c r="N228" s="60" t="str">
        <f>IF(N224=0,"-",SUM(N225:N227)*GST)</f>
        <v>-</v>
      </c>
      <c r="O228" s="60" t="str">
        <f>IF(O224=0,"-",SUM(O225:O227)*GST)</f>
        <v>-</v>
      </c>
    </row>
    <row r="229" spans="2:17" hidden="1" outlineLevel="1">
      <c r="C229" s="20" t="s">
        <v>245</v>
      </c>
      <c r="D229" s="53"/>
      <c r="E229" s="53"/>
      <c r="F229" s="53"/>
      <c r="H229" s="20" t="s">
        <v>103</v>
      </c>
      <c r="I229" s="20" t="s">
        <v>64</v>
      </c>
      <c r="J229" s="53" t="s">
        <v>66</v>
      </c>
      <c r="K229" s="60" t="str">
        <f>IF(K224=0,"-",SUM(K225:K228))</f>
        <v>-</v>
      </c>
      <c r="L229" s="60" t="str">
        <f t="shared" ref="L229:O229" si="68">IF(L224=0,"-",SUM(L225:L228))</f>
        <v>-</v>
      </c>
      <c r="M229" s="60" t="str">
        <f t="shared" si="68"/>
        <v>-</v>
      </c>
      <c r="N229" s="60" t="str">
        <f t="shared" si="68"/>
        <v>-</v>
      </c>
      <c r="O229" s="60" t="str">
        <f t="shared" si="68"/>
        <v>-</v>
      </c>
    </row>
    <row r="230" spans="2:17" hidden="1" outlineLevel="1">
      <c r="C230" s="51"/>
      <c r="D230" s="51"/>
      <c r="E230" s="51"/>
      <c r="F230" s="51"/>
      <c r="G230" s="62"/>
      <c r="H230" s="62"/>
      <c r="I230" s="20"/>
      <c r="J230" s="20"/>
      <c r="K230" s="59"/>
      <c r="L230" s="20"/>
      <c r="M230" s="20"/>
      <c r="N230" s="20"/>
      <c r="O230" s="20"/>
    </row>
    <row r="231" spans="2:17" hidden="1" outlineLevel="1"/>
    <row r="235" spans="2:17" ht="15.5">
      <c r="C235" s="49" t="s">
        <v>31</v>
      </c>
      <c r="D235" s="37" t="str">
        <f>Calc_Rates!$D$266</f>
        <v>VDO 2022-23 - Final</v>
      </c>
    </row>
    <row r="237" spans="2:17" ht="16" thickBot="1">
      <c r="B237" s="216">
        <f ca="1">MAX(B$3:B236)+0.01</f>
        <v>14.03</v>
      </c>
      <c r="C237" s="30" t="s">
        <v>174</v>
      </c>
      <c r="D237" s="25"/>
      <c r="E237" s="25"/>
      <c r="F237" s="25"/>
      <c r="G237" s="25"/>
      <c r="H237" s="25"/>
      <c r="I237" s="25"/>
      <c r="J237" s="25"/>
      <c r="K237" s="25"/>
      <c r="L237" s="25"/>
      <c r="M237" s="25"/>
      <c r="N237" s="25"/>
      <c r="O237" s="25"/>
      <c r="P237" s="25"/>
      <c r="Q237" s="25"/>
    </row>
    <row r="238" spans="2:17" outlineLevel="1"/>
    <row r="239" spans="2:17" ht="15.5" outlineLevel="1">
      <c r="C239" s="49" t="s">
        <v>175</v>
      </c>
      <c r="D239" s="123">
        <v>12</v>
      </c>
      <c r="H239" s="38" t="s">
        <v>33</v>
      </c>
      <c r="I239" s="38" t="s">
        <v>56</v>
      </c>
      <c r="J239" s="38" t="s">
        <v>57</v>
      </c>
      <c r="K239" s="45" t="s">
        <v>58</v>
      </c>
      <c r="L239" s="45" t="s">
        <v>59</v>
      </c>
      <c r="M239" s="45" t="s">
        <v>60</v>
      </c>
      <c r="N239" s="45" t="s">
        <v>61</v>
      </c>
      <c r="O239" s="45" t="s">
        <v>62</v>
      </c>
      <c r="P239" s="45" t="s">
        <v>176</v>
      </c>
    </row>
    <row r="240" spans="2:17" ht="15.5" outlineLevel="1">
      <c r="C240" s="49" t="s">
        <v>177</v>
      </c>
      <c r="D240" s="124">
        <f>D239/MiY</f>
        <v>1</v>
      </c>
      <c r="H240" s="53" t="s">
        <v>178</v>
      </c>
      <c r="I240" s="20" t="s">
        <v>179</v>
      </c>
      <c r="J240" s="53" t="s">
        <v>91</v>
      </c>
      <c r="K240" s="112">
        <f>INDEX(Calc_TUV_Env_2[[Ausnet]:[United Energy]],MATCH($H240,Calc_TUV_Env_2[[Cost item]:[Cost item]],0),MATCH(K$239,Calc_TUV_Env_2[[#Headers],[Ausnet]:[United Energy]],0))*1000</f>
        <v>4.3363989833985962E-2</v>
      </c>
      <c r="L240" s="112">
        <f>INDEX(Calc_TUV_Env_2[[Ausnet]:[United Energy]],MATCH($H240,Calc_TUV_Env_2[[Cost item]:[Cost item]],0),MATCH(L$239,Calc_TUV_Env_2[[#Headers],[Ausnet]:[United Energy]],0))*1000</f>
        <v>4.2091286241928205E-2</v>
      </c>
      <c r="M240" s="112">
        <f>INDEX(Calc_TUV_Env_2[[Ausnet]:[United Energy]],MATCH($H240,Calc_TUV_Env_2[[Cost item]:[Cost item]],0),MATCH(M$239,Calc_TUV_Env_2[[#Headers],[Ausnet]:[United Energy]],0))*1000</f>
        <v>4.1871315696200957E-2</v>
      </c>
      <c r="N240" s="112">
        <f>INDEX(Calc_TUV_Env_2[[Ausnet]:[United Energy]],MATCH($H240,Calc_TUV_Env_2[[Cost item]:[Cost item]],0),MATCH(N$239,Calc_TUV_Env_2[[#Headers],[Ausnet]:[United Energy]],0))*1000</f>
        <v>4.3045614549519495E-2</v>
      </c>
      <c r="O240" s="112">
        <f>INDEX(Calc_TUV_Env_2[[Ausnet]:[United Energy]],MATCH($H240,Calc_TUV_Env_2[[Cost item]:[Cost item]],0),MATCH(O$239,Calc_TUV_Env_2[[#Headers],[Ausnet]:[United Energy]],0))*1000</f>
        <v>4.2097886959405396E-2</v>
      </c>
      <c r="P240" s="112">
        <f>AVERAGE(K240:O240)</f>
        <v>4.2494018656207999E-2</v>
      </c>
    </row>
    <row r="241" spans="3:20" outlineLevel="1">
      <c r="H241" s="53" t="s">
        <v>182</v>
      </c>
      <c r="I241" s="20" t="s">
        <v>179</v>
      </c>
      <c r="J241" s="53" t="s">
        <v>91</v>
      </c>
      <c r="K241" s="112">
        <f>INDEX(Calc_TUV_Env_2[[Ausnet]:[United Energy]],MATCH($H241,Calc_TUV_Env_2[[Cost item]:[Cost item]],0),MATCH(K$239,Calc_TUV_Env_2[[#Headers],[Ausnet]:[United Energy]],0))*1000</f>
        <v>0.83605369482481207</v>
      </c>
      <c r="L241" s="112">
        <f>INDEX(Calc_TUV_Env_2[[Ausnet]:[United Energy]],MATCH($H241,Calc_TUV_Env_2[[Cost item]:[Cost item]],0),MATCH(L$239,Calc_TUV_Env_2[[#Headers],[Ausnet]:[United Energy]],0))*1000</f>
        <v>0.8115160878234664</v>
      </c>
      <c r="M241" s="112">
        <f>INDEX(Calc_TUV_Env_2[[Ausnet]:[United Energy]],MATCH($H241,Calc_TUV_Env_2[[Cost item]:[Cost item]],0),MATCH(M$239,Calc_TUV_Env_2[[#Headers],[Ausnet]:[United Energy]],0))*1000</f>
        <v>0.80727507614045557</v>
      </c>
      <c r="N241" s="112">
        <f>INDEX(Calc_TUV_Env_2[[Ausnet]:[United Energy]],MATCH($H241,Calc_TUV_Env_2[[Cost item]:[Cost item]],0),MATCH(N$239,Calc_TUV_Env_2[[#Headers],[Ausnet]:[United Energy]],0))*1000</f>
        <v>0.82991544892220648</v>
      </c>
      <c r="O241" s="112">
        <f>INDEX(Calc_TUV_Env_2[[Ausnet]:[United Energy]],MATCH($H241,Calc_TUV_Env_2[[Cost item]:[Cost item]],0),MATCH(O$239,Calc_TUV_Env_2[[#Headers],[Ausnet]:[United Energy]],0))*1000</f>
        <v>0.81164334904311963</v>
      </c>
      <c r="P241" s="112">
        <f t="shared" ref="P241:P242" si="69">AVERAGE(K241:O241)</f>
        <v>0.81928073135081214</v>
      </c>
    </row>
    <row r="242" spans="3:20" outlineLevel="1">
      <c r="H242" s="53" t="s">
        <v>184</v>
      </c>
      <c r="I242" s="20" t="s">
        <v>179</v>
      </c>
      <c r="J242" s="53" t="s">
        <v>91</v>
      </c>
      <c r="K242" s="112">
        <f>INDEX(Calc_TUV_Env_2[[Ausnet]:[United Energy]],MATCH($H242,Calc_TUV_Env_2[[Cost item]:[Cost item]],0),MATCH(K$239,Calc_TUV_Env_2[[#Headers],[Ausnet]:[United Energy]],0))*1000</f>
        <v>0</v>
      </c>
      <c r="L242" s="112">
        <f>INDEX(Calc_TUV_Env_2[[Ausnet]:[United Energy]],MATCH($H242,Calc_TUV_Env_2[[Cost item]:[Cost item]],0),MATCH(L$239,Calc_TUV_Env_2[[#Headers],[Ausnet]:[United Energy]],0))*1000</f>
        <v>0</v>
      </c>
      <c r="M242" s="112">
        <f>INDEX(Calc_TUV_Env_2[[Ausnet]:[United Energy]],MATCH($H242,Calc_TUV_Env_2[[Cost item]:[Cost item]],0),MATCH(M$239,Calc_TUV_Env_2[[#Headers],[Ausnet]:[United Energy]],0))*1000</f>
        <v>0</v>
      </c>
      <c r="N242" s="112">
        <f>INDEX(Calc_TUV_Env_2[[Ausnet]:[United Energy]],MATCH($H242,Calc_TUV_Env_2[[Cost item]:[Cost item]],0),MATCH(N$239,Calc_TUV_Env_2[[#Headers],[Ausnet]:[United Energy]],0))*1000</f>
        <v>0</v>
      </c>
      <c r="O242" s="112">
        <f>INDEX(Calc_TUV_Env_2[[Ausnet]:[United Energy]],MATCH($H242,Calc_TUV_Env_2[[Cost item]:[Cost item]],0),MATCH(O$239,Calc_TUV_Env_2[[#Headers],[Ausnet]:[United Energy]],0))*1000</f>
        <v>0</v>
      </c>
      <c r="P242" s="112">
        <f t="shared" si="69"/>
        <v>0</v>
      </c>
    </row>
    <row r="243" spans="3:20" outlineLevel="1"/>
    <row r="244" spans="3:20" ht="15.5" outlineLevel="1">
      <c r="C244" s="26" t="s">
        <v>251</v>
      </c>
    </row>
    <row r="245" spans="3:20" ht="15.5" outlineLevel="1">
      <c r="C245" s="39" t="s">
        <v>33</v>
      </c>
      <c r="D245" s="39" t="s">
        <v>31</v>
      </c>
      <c r="E245" s="39" t="s">
        <v>186</v>
      </c>
      <c r="F245" s="39" t="s">
        <v>187</v>
      </c>
      <c r="G245" s="39" t="s">
        <v>188</v>
      </c>
      <c r="H245" s="39" t="s">
        <v>88</v>
      </c>
      <c r="I245" s="39" t="s">
        <v>56</v>
      </c>
      <c r="J245" s="38" t="s">
        <v>57</v>
      </c>
      <c r="K245" s="54" t="s">
        <v>58</v>
      </c>
      <c r="L245" s="54" t="s">
        <v>59</v>
      </c>
      <c r="M245" s="54" t="s">
        <v>60</v>
      </c>
      <c r="N245" s="54" t="s">
        <v>61</v>
      </c>
      <c r="O245" s="54" t="s">
        <v>62</v>
      </c>
    </row>
    <row r="246" spans="3:20" outlineLevel="1">
      <c r="C246" s="20"/>
      <c r="D246" s="20"/>
      <c r="E246" s="20"/>
      <c r="F246" s="20"/>
      <c r="G246" s="20"/>
      <c r="H246" s="20"/>
      <c r="I246" s="20"/>
      <c r="J246" s="20"/>
      <c r="K246" s="20"/>
      <c r="L246" s="20"/>
      <c r="M246" s="20"/>
      <c r="N246" s="20"/>
      <c r="O246" s="20"/>
    </row>
    <row r="247" spans="3:20" outlineLevel="1">
      <c r="C247" s="51" t="s">
        <v>189</v>
      </c>
      <c r="D247" s="51"/>
      <c r="E247" s="51"/>
      <c r="F247" s="51"/>
      <c r="G247" s="62" t="s">
        <v>121</v>
      </c>
      <c r="H247" s="62"/>
      <c r="I247" s="20"/>
      <c r="J247" s="20"/>
      <c r="K247" s="20"/>
      <c r="L247" s="20"/>
      <c r="M247" s="20"/>
      <c r="N247" s="20"/>
      <c r="O247" s="20"/>
    </row>
    <row r="248" spans="3:20" outlineLevel="1">
      <c r="C248" s="20" t="s">
        <v>155</v>
      </c>
      <c r="D248" s="75" t="str">
        <f>Calc_TU_values!$D$235</f>
        <v>VDO 2022-23 - Final</v>
      </c>
      <c r="E248" s="20" t="s">
        <v>190</v>
      </c>
      <c r="F248" s="75" t="str">
        <f>INDEX(Inputs!$C$10:$Y$10,1,MATCH($D248,Inputs!$C$8:$Y$8,0))</f>
        <v>F-CurrentVDO_Input</v>
      </c>
      <c r="G248" s="52"/>
      <c r="H248" s="20" t="s">
        <v>103</v>
      </c>
      <c r="I248" s="20" t="s">
        <v>150</v>
      </c>
      <c r="J248" s="53" t="s">
        <v>91</v>
      </c>
      <c r="K248" s="59">
        <f>IFERROR(INDEX(Input_TUEnv_Actual[],MATCH($C248,Input_TUEnv_Actual[Cost item],0),MATCH($F248,Input_TUEnv_Actual[#Headers],0)),"-")</f>
        <v>34.44</v>
      </c>
      <c r="L248" s="59">
        <f>IFERROR(INDEX(Input_TUEnv_Actual[],MATCH($C248,Input_TUEnv_Actual[Cost item],0),MATCH($F248,Input_TUEnv_Actual[#Headers],0)),"-")</f>
        <v>34.44</v>
      </c>
      <c r="M248" s="59">
        <f>IFERROR(INDEX(Input_TUEnv_Actual[],MATCH($C248,Input_TUEnv_Actual[Cost item],0),MATCH($F248,Input_TUEnv_Actual[#Headers],0)),"-")</f>
        <v>34.44</v>
      </c>
      <c r="N248" s="59">
        <f>IFERROR(INDEX(Input_TUEnv_Actual[],MATCH($C248,Input_TUEnv_Actual[Cost item],0),MATCH($F248,Input_TUEnv_Actual[#Headers],0)),"-")</f>
        <v>34.44</v>
      </c>
      <c r="O248" s="59">
        <f>IFERROR(INDEX(Input_TUEnv_Actual[],MATCH($C248,Input_TUEnv_Actual[Cost item],0),MATCH($F248,Input_TUEnv_Actual[#Headers],0)),"-")</f>
        <v>34.44</v>
      </c>
    </row>
    <row r="249" spans="3:20" outlineLevel="1">
      <c r="C249" s="20" t="s">
        <v>156</v>
      </c>
      <c r="D249" s="75" t="str">
        <f>Calc_TU_values!$D$235</f>
        <v>VDO 2022-23 - Final</v>
      </c>
      <c r="E249" s="20" t="s">
        <v>190</v>
      </c>
      <c r="F249" s="75" t="str">
        <f>INDEX(Inputs!$C$10:$Y$10,1,MATCH($D249,Inputs!$C$8:$Y$8,0))</f>
        <v>F-CurrentVDO_Input</v>
      </c>
      <c r="G249" s="52"/>
      <c r="H249" s="20" t="s">
        <v>103</v>
      </c>
      <c r="I249" s="20" t="s">
        <v>152</v>
      </c>
      <c r="J249" s="53" t="s">
        <v>91</v>
      </c>
      <c r="K249" s="61">
        <f>IFERROR(INDEX(Input_TUEnv_Actual[],MATCH($C249,Input_TUEnv_Actual[Cost item],0),MATCH($F249,Input_TUEnv_Actual[#Headers],0)),"-")</f>
        <v>0.18640000000000001</v>
      </c>
      <c r="L249" s="61">
        <f>IFERROR(INDEX(Input_TUEnv_Actual[],MATCH($C249,Input_TUEnv_Actual[Cost item],0),MATCH($F249,Input_TUEnv_Actual[#Headers],0)),"-")</f>
        <v>0.18640000000000001</v>
      </c>
      <c r="M249" s="61">
        <f>IFERROR(INDEX(Input_TUEnv_Actual[],MATCH($C249,Input_TUEnv_Actual[Cost item],0),MATCH($F249,Input_TUEnv_Actual[#Headers],0)),"-")</f>
        <v>0.18640000000000001</v>
      </c>
      <c r="N249" s="61">
        <f>IFERROR(INDEX(Input_TUEnv_Actual[],MATCH($C249,Input_TUEnv_Actual[Cost item],0),MATCH($F249,Input_TUEnv_Actual[#Headers],0)),"-")</f>
        <v>0.18640000000000001</v>
      </c>
      <c r="O249" s="61">
        <f>IFERROR(INDEX(Input_TUEnv_Actual[],MATCH($C249,Input_TUEnv_Actual[Cost item],0),MATCH($F249,Input_TUEnv_Actual[#Headers],0)),"-")</f>
        <v>0.18640000000000001</v>
      </c>
    </row>
    <row r="250" spans="3:20" outlineLevel="1">
      <c r="C250" s="20" t="s">
        <v>191</v>
      </c>
      <c r="D250" s="75" t="str">
        <f>Calc_TU_values!$D$235</f>
        <v>VDO 2022-23 - Final</v>
      </c>
      <c r="E250" s="20" t="s">
        <v>190</v>
      </c>
      <c r="F250" s="75" t="str">
        <f>INDEX(Inputs!$C$10:$Y$10,1,MATCH($D250,Inputs!$C$8:$Y$8,0))</f>
        <v>F-CurrentVDO_Input</v>
      </c>
      <c r="G250" s="52"/>
      <c r="H250" s="20" t="s">
        <v>103</v>
      </c>
      <c r="I250" s="20" t="s">
        <v>68</v>
      </c>
      <c r="J250" s="53" t="s">
        <v>91</v>
      </c>
      <c r="K250" s="58">
        <f>IFERROR(K248*K249/1000,"-")</f>
        <v>6.4196159999999995E-3</v>
      </c>
      <c r="L250" s="58">
        <f t="shared" ref="L250:O250" si="70">IFERROR(L248*L249/1000,"-")</f>
        <v>6.4196159999999995E-3</v>
      </c>
      <c r="M250" s="58">
        <f t="shared" si="70"/>
        <v>6.4196159999999995E-3</v>
      </c>
      <c r="N250" s="58">
        <f t="shared" si="70"/>
        <v>6.4196159999999995E-3</v>
      </c>
      <c r="O250" s="58">
        <f t="shared" si="70"/>
        <v>6.4196159999999995E-3</v>
      </c>
    </row>
    <row r="251" spans="3:20" outlineLevel="1">
      <c r="C251" s="20" t="s">
        <v>155</v>
      </c>
      <c r="D251" s="75" t="str">
        <f>INDEX(Input_DecisionActual[[Decision]:[Decision]],MATCH(Calc_TU_values!$D$235,Input_DecisionActual[[VDO period]:[VDO period]],0),1)</f>
        <v>VDO 2022 - Final</v>
      </c>
      <c r="E251" s="20" t="s">
        <v>192</v>
      </c>
      <c r="F251" s="75" t="str">
        <f>IF($D251="-","-",INDEX(Inputs!$C$10:$Y$10,1,MATCH($D251,Inputs!$C$8:$Y$8,0)))</f>
        <v>F-PreviousVDO_Input2</v>
      </c>
      <c r="G251" s="52"/>
      <c r="H251" s="20" t="s">
        <v>103</v>
      </c>
      <c r="I251" s="20" t="s">
        <v>150</v>
      </c>
      <c r="J251" s="53" t="s">
        <v>91</v>
      </c>
      <c r="K251" s="60">
        <f>IFERROR(INDEX(Input_ForRateCalc[],MATCH($C251,Input_ForRateCalc[Cost item],0),MATCH($F251,Inputs!$C$10:$Y$10,0)),"-")</f>
        <v>34.44</v>
      </c>
      <c r="L251" s="60">
        <f>IFERROR(INDEX(Input_ForRateCalc[],MATCH($C251,Input_ForRateCalc[Cost item],0),MATCH($F251,Inputs!$C$10:$Y$10,0)),"-")</f>
        <v>34.44</v>
      </c>
      <c r="M251" s="60">
        <f>IFERROR(INDEX(Input_ForRateCalc[],MATCH($C251,Input_ForRateCalc[Cost item],0),MATCH($F251,Inputs!$C$10:$Y$10,0)),"-")</f>
        <v>34.44</v>
      </c>
      <c r="N251" s="60">
        <f>IFERROR(INDEX(Input_ForRateCalc[],MATCH($C251,Input_ForRateCalc[Cost item],0),MATCH($F251,Inputs!$C$10:$Y$10,0)),"-")</f>
        <v>34.44</v>
      </c>
      <c r="O251" s="60">
        <f>IFERROR(INDEX(Input_ForRateCalc[],MATCH($C251,Input_ForRateCalc[Cost item],0),MATCH($F251,Inputs!$C$10:$Y$10,0)),"-")</f>
        <v>34.44</v>
      </c>
    </row>
    <row r="252" spans="3:20" outlineLevel="1">
      <c r="C252" s="20" t="s">
        <v>156</v>
      </c>
      <c r="D252" s="75" t="str">
        <f>INDEX(Input_DecisionActual[[Decision]:[Decision]],MATCH(Calc_TU_values!$D$235,Input_DecisionActual[[VDO period]:[VDO period]],0),1)</f>
        <v>VDO 2022 - Final</v>
      </c>
      <c r="E252" s="20" t="s">
        <v>192</v>
      </c>
      <c r="F252" s="75" t="str">
        <f>IF($D252="-","-",INDEX(Inputs!$C$10:$Y$10,1,MATCH($D252,Inputs!$C$8:$Y$8,0)))</f>
        <v>F-PreviousVDO_Input2</v>
      </c>
      <c r="G252" s="52"/>
      <c r="H252" s="20" t="s">
        <v>103</v>
      </c>
      <c r="I252" s="20" t="s">
        <v>152</v>
      </c>
      <c r="J252" s="53" t="s">
        <v>91</v>
      </c>
      <c r="K252" s="61">
        <f>IFERROR(INDEX(Input_ForRateCalc[],MATCH($C252,Input_ForRateCalc[Cost item],0),MATCH($F252,Inputs!$C$10:$Y$10,0)),"-")</f>
        <v>0.18540000000000001</v>
      </c>
      <c r="L252" s="61">
        <f>IFERROR(INDEX(Input_ForRateCalc[],MATCH($C252,Input_ForRateCalc[Cost item],0),MATCH($F252,Inputs!$C$10:$Y$10,0)),"-")</f>
        <v>0.18540000000000001</v>
      </c>
      <c r="M252" s="61">
        <f>IFERROR(INDEX(Input_ForRateCalc[],MATCH($C252,Input_ForRateCalc[Cost item],0),MATCH($F252,Inputs!$C$10:$Y$10,0)),"-")</f>
        <v>0.18540000000000001</v>
      </c>
      <c r="N252" s="61">
        <f>IFERROR(INDEX(Input_ForRateCalc[],MATCH($C252,Input_ForRateCalc[Cost item],0),MATCH($F252,Inputs!$C$10:$Y$10,0)),"-")</f>
        <v>0.18540000000000001</v>
      </c>
      <c r="O252" s="61">
        <f>IFERROR(INDEX(Input_ForRateCalc[],MATCH($C252,Input_ForRateCalc[Cost item],0),MATCH($F252,Inputs!$C$10:$Y$10,0)),"-")</f>
        <v>0.18540000000000001</v>
      </c>
      <c r="T252" s="101"/>
    </row>
    <row r="253" spans="3:20" outlineLevel="1">
      <c r="C253" s="20" t="s">
        <v>191</v>
      </c>
      <c r="D253" s="75" t="str">
        <f>INDEX(Input_DecisionActual[[Decision]:[Decision]],MATCH(Calc_TU_values!$D$235,Input_DecisionActual[[VDO period]:[VDO period]],0),1)</f>
        <v>VDO 2022 - Final</v>
      </c>
      <c r="E253" s="20" t="s">
        <v>192</v>
      </c>
      <c r="F253" s="75" t="str">
        <f>IF($D253="-","-",INDEX(Inputs!$C$10:$Y$10,1,MATCH($D253,Inputs!$C$8:$Y$8,0)))</f>
        <v>F-PreviousVDO_Input2</v>
      </c>
      <c r="G253" s="52"/>
      <c r="H253" s="20" t="s">
        <v>103</v>
      </c>
      <c r="I253" s="20" t="s">
        <v>68</v>
      </c>
      <c r="J253" s="53" t="s">
        <v>91</v>
      </c>
      <c r="K253" s="58">
        <f>IFERROR(K251*K252/1000,"-")</f>
        <v>6.3851759999999994E-3</v>
      </c>
      <c r="L253" s="58">
        <f t="shared" ref="L253" si="71">IFERROR(L251*L252/1000,"-")</f>
        <v>6.3851759999999994E-3</v>
      </c>
      <c r="M253" s="58">
        <f t="shared" ref="M253" si="72">IFERROR(M251*M252/1000,"-")</f>
        <v>6.3851759999999994E-3</v>
      </c>
      <c r="N253" s="58">
        <f t="shared" ref="N253" si="73">IFERROR(N251*N252/1000,"-")</f>
        <v>6.3851759999999994E-3</v>
      </c>
      <c r="O253" s="58">
        <f t="shared" ref="O253" si="74">IFERROR(O251*O252/1000,"-")</f>
        <v>6.3851759999999994E-3</v>
      </c>
    </row>
    <row r="254" spans="3:20" outlineLevel="1">
      <c r="C254" s="20" t="s">
        <v>193</v>
      </c>
      <c r="D254" s="20"/>
      <c r="E254" s="20"/>
      <c r="F254" s="20"/>
      <c r="G254" s="20"/>
      <c r="H254" s="20" t="s">
        <v>103</v>
      </c>
      <c r="I254" s="20" t="s">
        <v>68</v>
      </c>
      <c r="J254" s="20" t="s">
        <v>91</v>
      </c>
      <c r="K254" s="105">
        <f>IFERROR(K250-K253,"-")</f>
        <v>3.4440000000000165E-5</v>
      </c>
      <c r="L254" s="105">
        <f t="shared" ref="L254" si="75">IFERROR(L250-L253,"-")</f>
        <v>3.4440000000000165E-5</v>
      </c>
      <c r="M254" s="105">
        <f t="shared" ref="M254" si="76">IFERROR(M250-M253,"-")</f>
        <v>3.4440000000000165E-5</v>
      </c>
      <c r="N254" s="105">
        <f t="shared" ref="N254" si="77">IFERROR(N250-N253,"-")</f>
        <v>3.4440000000000165E-5</v>
      </c>
      <c r="O254" s="105">
        <f t="shared" ref="O254" si="78">IFERROR(O250-O253,"-")</f>
        <v>3.4440000000000165E-5</v>
      </c>
      <c r="Q254" s="115"/>
    </row>
    <row r="255" spans="3:20" outlineLevel="1">
      <c r="C255" s="20" t="s">
        <v>194</v>
      </c>
      <c r="D255" s="75" t="str">
        <f>INDEX(Input_DecisionActual[[Decision]:[Decision]],MATCH(Calc_TU_values!$D$235,Input_DecisionActual[[VDO period]:[VDO period]],0),1)</f>
        <v>VDO 2022 - Final</v>
      </c>
      <c r="E255" s="20" t="s">
        <v>192</v>
      </c>
      <c r="F255" s="75" t="str">
        <f>IF($D255="-","-",INDEX(Inputs!$C$10:$Y$10,1,MATCH($D255,Inputs!$C$8:$Y$8,0)))</f>
        <v>F-PreviousVDO_Input2</v>
      </c>
      <c r="G255" s="20"/>
      <c r="H255" s="20" t="s">
        <v>103</v>
      </c>
      <c r="I255" s="20" t="s">
        <v>68</v>
      </c>
      <c r="J255" s="20" t="s">
        <v>91</v>
      </c>
      <c r="K255" s="106">
        <f>IFERROR(K254*(INDEX(Inputs!$C$11:$Y$134,MATCH("Marginal loss factor - "&amp;K$15,Input_ForRateCalc[Cost item],0),MATCH($F255,Inputs!$C$10:$Y$10,0))*INDEX(Inputs!$C$11:$Y$134,MATCH("Distribution loss factor - "&amp;K$15,Input_ForRateCalc[Cost item],0),MATCH($F255,Inputs!$C$10:$Y$10,0))-1),"-")</f>
        <v>2.7363569784864783E-6</v>
      </c>
      <c r="L255" s="106">
        <f>IFERROR(L254*(INDEX(Inputs!$C$11:$Y$134,MATCH("Marginal loss factor - "&amp;L$15,Input_ForRateCalc[Cost item],0),MATCH($F255,Inputs!$C$10:$Y$10,0))*INDEX(Inputs!$C$11:$Y$134,MATCH("Distribution loss factor - "&amp;L$15,Input_ForRateCalc[Cost item],0),MATCH($F255,Inputs!$C$10:$Y$10,0))-1),"-")</f>
        <v>1.6452562000000113E-6</v>
      </c>
      <c r="M255" s="106">
        <f>IFERROR(M254*(INDEX(Inputs!$C$11:$Y$134,MATCH("Marginal loss factor - "&amp;M$15,Input_ForRateCalc[Cost item],0),MATCH($F255,Inputs!$C$10:$Y$10,0))*INDEX(Inputs!$C$11:$Y$134,MATCH("Distribution loss factor - "&amp;M$15,Input_ForRateCalc[Cost item],0),MATCH($F255,Inputs!$C$10:$Y$10,0))-1),"-")</f>
        <v>1.4566733790000083E-6</v>
      </c>
      <c r="N255" s="106">
        <f>IFERROR(N254*(INDEX(Inputs!$C$11:$Y$134,MATCH("Marginal loss factor - "&amp;N$15,Input_ForRateCalc[Cost item],0),MATCH($F255,Inputs!$C$10:$Y$10,0))*INDEX(Inputs!$C$11:$Y$134,MATCH("Distribution loss factor - "&amp;N$15,Input_ForRateCalc[Cost item],0),MATCH($F255,Inputs!$C$10:$Y$10,0))-1),"-")</f>
        <v>2.4634108479812915E-6</v>
      </c>
      <c r="O255" s="106">
        <f>IFERROR(O254*(INDEX(Inputs!$C$11:$Y$134,MATCH("Marginal loss factor - "&amp;O$15,Input_ForRateCalc[Cost item],0),MATCH($F255,Inputs!$C$10:$Y$10,0))*INDEX(Inputs!$C$11:$Y$134,MATCH("Distribution loss factor - "&amp;O$15,Input_ForRateCalc[Cost item],0),MATCH($F255,Inputs!$C$10:$Y$10,0))-1),"-")</f>
        <v>1.6509150572727343E-6</v>
      </c>
      <c r="T255" s="93"/>
    </row>
    <row r="256" spans="3:20" outlineLevel="1">
      <c r="C256" s="20" t="s">
        <v>195</v>
      </c>
      <c r="D256" s="75" t="str">
        <f>INDEX(Input_DecisionActual[[Decision]:[Decision]],MATCH(Calc_TU_values!$D$235,Input_DecisionActual[[VDO period]:[VDO period]],0),1)</f>
        <v>VDO 2022 - Final</v>
      </c>
      <c r="E256" s="20" t="s">
        <v>192</v>
      </c>
      <c r="F256" s="75" t="str">
        <f>IF($D256="-","-",INDEX(Inputs!$C$10:$Y$10,1,MATCH($D256,Inputs!$C$8:$Y$8,0)))</f>
        <v>F-PreviousVDO_Input2</v>
      </c>
      <c r="G256" s="20"/>
      <c r="H256" s="20" t="s">
        <v>103</v>
      </c>
      <c r="I256" s="20" t="s">
        <v>68</v>
      </c>
      <c r="J256" s="20" t="s">
        <v>91</v>
      </c>
      <c r="K256" s="106">
        <f>IFERROR(SUM(K254:K255)*(INDEX(Inputs!$C$11:$Y$134,MATCH("Retail operating margin",Input_ForRateCalc[Cost item],0),MATCH($F256,Inputs!$C$10:$Y$10,0))),"-")</f>
        <v>2.2454519615005936E-6</v>
      </c>
      <c r="L256" s="106">
        <f>IFERROR(SUM(L254:L255)*(INDEX(Inputs!$C$11:$Y$134,MATCH("Retail operating margin",Input_ForRateCalc[Cost item],0),MATCH($F256,Inputs!$C$10:$Y$10,0))),"-")</f>
        <v>2.1795494744800108E-6</v>
      </c>
      <c r="M256" s="106">
        <f>IFERROR(SUM(M254:M255)*(INDEX(Inputs!$C$11:$Y$134,MATCH("Retail operating margin",Input_ForRateCalc[Cost item],0),MATCH($F256,Inputs!$C$10:$Y$10,0))),"-")</f>
        <v>2.1681590720916105E-6</v>
      </c>
      <c r="N256" s="106">
        <f>IFERROR(SUM(N254:N255)*(INDEX(Inputs!$C$11:$Y$134,MATCH("Retail operating margin",Input_ForRateCalc[Cost item],0),MATCH($F256,Inputs!$C$10:$Y$10,0))),"-")</f>
        <v>2.2289660152180803E-6</v>
      </c>
      <c r="O256" s="106">
        <f>IFERROR(SUM(O254:O255)*(INDEX(Inputs!$C$11:$Y$134,MATCH("Retail operating margin",Input_ForRateCalc[Cost item],0),MATCH($F256,Inputs!$C$10:$Y$10,0))),"-")</f>
        <v>2.1798912694592829E-6</v>
      </c>
    </row>
    <row r="257" spans="3:15" outlineLevel="1">
      <c r="C257" s="20" t="s">
        <v>196</v>
      </c>
      <c r="D257" s="20"/>
      <c r="E257" s="20"/>
      <c r="F257" s="20"/>
      <c r="G257" s="20"/>
      <c r="H257" s="20" t="s">
        <v>103</v>
      </c>
      <c r="I257" s="20" t="s">
        <v>68</v>
      </c>
      <c r="J257" s="20" t="s">
        <v>91</v>
      </c>
      <c r="K257" s="106">
        <f>SUM(K254:K256)*GST</f>
        <v>3.942180893998724E-6</v>
      </c>
      <c r="L257" s="106">
        <f>SUM(L254:L256)*GST</f>
        <v>3.8264805674480186E-6</v>
      </c>
      <c r="M257" s="106">
        <f>SUM(M254:M256)*GST</f>
        <v>3.8064832451091783E-6</v>
      </c>
      <c r="N257" s="106">
        <f>SUM(N254:N256)*GST</f>
        <v>3.9132376863199538E-6</v>
      </c>
      <c r="O257" s="106">
        <f>SUM(O254:O256)*GST</f>
        <v>3.8270806326732186E-6</v>
      </c>
    </row>
    <row r="258" spans="3:15" outlineLevel="1">
      <c r="C258" s="53" t="s">
        <v>178</v>
      </c>
      <c r="D258" s="53"/>
      <c r="E258" s="53"/>
      <c r="F258" s="53"/>
      <c r="H258" s="53" t="s">
        <v>103</v>
      </c>
      <c r="I258" s="53" t="s">
        <v>68</v>
      </c>
      <c r="J258" s="53" t="s">
        <v>91</v>
      </c>
      <c r="K258" s="106">
        <f>SUM(K254:K257)</f>
        <v>4.336398983398596E-5</v>
      </c>
      <c r="L258" s="106">
        <f>SUM(L254:L257)</f>
        <v>4.2091286241928205E-5</v>
      </c>
      <c r="M258" s="106">
        <f>SUM(M254:M257)</f>
        <v>4.1871315696200958E-5</v>
      </c>
      <c r="N258" s="106">
        <f>SUM(N254:N257)</f>
        <v>4.3045614549519494E-5</v>
      </c>
      <c r="O258" s="106">
        <f>SUM(O254:O257)</f>
        <v>4.2097886959405397E-5</v>
      </c>
    </row>
    <row r="259" spans="3:15" outlineLevel="1">
      <c r="C259" s="20"/>
      <c r="D259" s="20"/>
      <c r="E259" s="20"/>
      <c r="F259" s="20"/>
      <c r="G259" s="20"/>
      <c r="H259" s="20"/>
      <c r="I259" s="20"/>
      <c r="J259" s="20"/>
      <c r="K259" s="106"/>
      <c r="L259" s="106"/>
      <c r="M259" s="106"/>
      <c r="N259" s="106"/>
      <c r="O259" s="106"/>
    </row>
    <row r="260" spans="3:15" outlineLevel="1">
      <c r="C260" s="51" t="s">
        <v>197</v>
      </c>
      <c r="D260" s="51"/>
      <c r="E260" s="51"/>
      <c r="F260" s="51"/>
      <c r="G260" s="62" t="s">
        <v>121</v>
      </c>
      <c r="H260" s="62"/>
      <c r="I260" s="20"/>
      <c r="J260" s="20"/>
      <c r="K260" s="20"/>
      <c r="L260" s="20"/>
      <c r="M260" s="20"/>
      <c r="N260" s="20"/>
      <c r="O260" s="20"/>
    </row>
    <row r="261" spans="3:15" outlineLevel="1">
      <c r="C261" s="20" t="s">
        <v>159</v>
      </c>
      <c r="D261" s="75" t="str">
        <f>Calc_TU_values!$D$235</f>
        <v>VDO 2022-23 - Final</v>
      </c>
      <c r="E261" s="20" t="s">
        <v>190</v>
      </c>
      <c r="F261" s="75" t="str">
        <f>INDEX(Inputs!$C$10:$Y$10,1,MATCH($D261,Inputs!$C$8:$Y$8,0))</f>
        <v>F-CurrentVDO_Input</v>
      </c>
      <c r="G261" s="52"/>
      <c r="H261" s="20" t="s">
        <v>103</v>
      </c>
      <c r="I261" s="20" t="s">
        <v>150</v>
      </c>
      <c r="J261" s="53" t="s">
        <v>91</v>
      </c>
      <c r="K261" s="59">
        <f>IFERROR(INDEX(Input_TUEnv_Actual[],MATCH($C261,Input_TUEnv_Actual[Cost item],0),MATCH($F261,Input_TUEnv_Actual[#Headers],0)),"-")</f>
        <v>40</v>
      </c>
      <c r="L261" s="59">
        <f>IFERROR(INDEX(Input_TUEnv_Actual[],MATCH($C261,Input_TUEnv_Actual[Cost item],0),MATCH($F261,Input_TUEnv_Actual[#Headers],0)),"-")</f>
        <v>40</v>
      </c>
      <c r="M261" s="59">
        <f>IFERROR(INDEX(Input_TUEnv_Actual[],MATCH($C261,Input_TUEnv_Actual[Cost item],0),MATCH($F261,Input_TUEnv_Actual[#Headers],0)),"-")</f>
        <v>40</v>
      </c>
      <c r="N261" s="59">
        <f>IFERROR(INDEX(Input_TUEnv_Actual[],MATCH($C261,Input_TUEnv_Actual[Cost item],0),MATCH($F261,Input_TUEnv_Actual[#Headers],0)),"-")</f>
        <v>40</v>
      </c>
      <c r="O261" s="59">
        <f>IFERROR(INDEX(Input_TUEnv_Actual[],MATCH($C261,Input_TUEnv_Actual[Cost item],0),MATCH($F261,Input_TUEnv_Actual[#Headers],0)),"-")</f>
        <v>40</v>
      </c>
    </row>
    <row r="262" spans="3:15" outlineLevel="1">
      <c r="C262" s="53" t="s">
        <v>160</v>
      </c>
      <c r="D262" s="75" t="str">
        <f>Calc_TU_values!$D$235</f>
        <v>VDO 2022-23 - Final</v>
      </c>
      <c r="E262" s="20" t="s">
        <v>190</v>
      </c>
      <c r="F262" s="75" t="str">
        <f>INDEX(Inputs!$C$10:$Y$10,1,MATCH($D262,Inputs!$C$8:$Y$8,0))</f>
        <v>F-CurrentVDO_Input</v>
      </c>
      <c r="G262" s="52"/>
      <c r="H262" s="20" t="s">
        <v>103</v>
      </c>
      <c r="I262" s="20" t="s">
        <v>152</v>
      </c>
      <c r="J262" s="53" t="s">
        <v>91</v>
      </c>
      <c r="K262" s="61">
        <f>IFERROR(INDEX(Input_TUEnv_Actual[],MATCH($C262,Input_TUEnv_Actual[Cost item],0),MATCH($F262,Input_TUEnv_Actual[#Headers],0)),"-")</f>
        <v>0.27260000000000001</v>
      </c>
      <c r="L262" s="61">
        <f>IFERROR(INDEX(Input_TUEnv_Actual[],MATCH($C262,Input_TUEnv_Actual[Cost item],0),MATCH($F262,Input_TUEnv_Actual[#Headers],0)),"-")</f>
        <v>0.27260000000000001</v>
      </c>
      <c r="M262" s="61">
        <f>IFERROR(INDEX(Input_TUEnv_Actual[],MATCH($C262,Input_TUEnv_Actual[Cost item],0),MATCH($F262,Input_TUEnv_Actual[#Headers],0)),"-")</f>
        <v>0.27260000000000001</v>
      </c>
      <c r="N262" s="61">
        <f>IFERROR(INDEX(Input_TUEnv_Actual[],MATCH($C262,Input_TUEnv_Actual[Cost item],0),MATCH($F262,Input_TUEnv_Actual[#Headers],0)),"-")</f>
        <v>0.27260000000000001</v>
      </c>
      <c r="O262" s="61">
        <f>IFERROR(INDEX(Input_TUEnv_Actual[],MATCH($C262,Input_TUEnv_Actual[Cost item],0),MATCH($F262,Input_TUEnv_Actual[#Headers],0)),"-")</f>
        <v>0.27260000000000001</v>
      </c>
    </row>
    <row r="263" spans="3:15" outlineLevel="1">
      <c r="C263" s="20" t="s">
        <v>191</v>
      </c>
      <c r="D263" s="75" t="str">
        <f>Calc_TU_values!$D$235</f>
        <v>VDO 2022-23 - Final</v>
      </c>
      <c r="E263" s="20" t="s">
        <v>190</v>
      </c>
      <c r="F263" s="75" t="str">
        <f>INDEX(Inputs!$C$10:$Y$10,1,MATCH($D263,Inputs!$C$8:$Y$8,0))</f>
        <v>F-CurrentVDO_Input</v>
      </c>
      <c r="G263" s="52"/>
      <c r="H263" s="20" t="s">
        <v>103</v>
      </c>
      <c r="I263" s="20" t="s">
        <v>68</v>
      </c>
      <c r="J263" s="53" t="s">
        <v>91</v>
      </c>
      <c r="K263" s="58">
        <f>IFERROR(K261*K262/1000,"-")</f>
        <v>1.0904E-2</v>
      </c>
      <c r="L263" s="58">
        <f t="shared" ref="L263" si="79">IFERROR(L261*L262/1000,"-")</f>
        <v>1.0904E-2</v>
      </c>
      <c r="M263" s="58">
        <f t="shared" ref="M263" si="80">IFERROR(M261*M262/1000,"-")</f>
        <v>1.0904E-2</v>
      </c>
      <c r="N263" s="58">
        <f t="shared" ref="N263" si="81">IFERROR(N261*N262/1000,"-")</f>
        <v>1.0904E-2</v>
      </c>
      <c r="O263" s="58">
        <f t="shared" ref="O263" si="82">IFERROR(O261*O262/1000,"-")</f>
        <v>1.0904E-2</v>
      </c>
    </row>
    <row r="264" spans="3:15" outlineLevel="1">
      <c r="C264" s="20" t="s">
        <v>159</v>
      </c>
      <c r="D264" s="75" t="str">
        <f>INDEX(Input_DecisionActual[[Decision]:[Decision]],MATCH(Calc_TU_values!$D$235,Input_DecisionActual[[VDO period]:[VDO period]],0),1)</f>
        <v>VDO 2022 - Final</v>
      </c>
      <c r="E264" s="20" t="s">
        <v>192</v>
      </c>
      <c r="F264" s="75" t="str">
        <f>IF($D264="-","-",INDEX(Inputs!$C$10:$Y$10,1,MATCH($D264,Inputs!$C$8:$Y$8,0)))</f>
        <v>F-PreviousVDO_Input2</v>
      </c>
      <c r="G264" s="52"/>
      <c r="H264" s="20" t="s">
        <v>103</v>
      </c>
      <c r="I264" s="20" t="s">
        <v>150</v>
      </c>
      <c r="J264" s="53" t="s">
        <v>91</v>
      </c>
      <c r="K264" s="60">
        <f>IFERROR(INDEX(Input_ForRateCalc[],MATCH($C264,Input_ForRateCalc[Cost item],0),MATCH($F264,Inputs!$C$10:$Y$10,0)),"-")</f>
        <v>40</v>
      </c>
      <c r="L264" s="60">
        <f>IFERROR(INDEX(Input_ForRateCalc[],MATCH($C264,Input_ForRateCalc[Cost item],0),MATCH($F264,Inputs!$C$10:$Y$10,0)),"-")</f>
        <v>40</v>
      </c>
      <c r="M264" s="60">
        <f>IFERROR(INDEX(Input_ForRateCalc[],MATCH($C264,Input_ForRateCalc[Cost item],0),MATCH($F264,Inputs!$C$10:$Y$10,0)),"-")</f>
        <v>40</v>
      </c>
      <c r="N264" s="60">
        <f>IFERROR(INDEX(Input_ForRateCalc[],MATCH($C264,Input_ForRateCalc[Cost item],0),MATCH($F264,Inputs!$C$10:$Y$10,0)),"-")</f>
        <v>40</v>
      </c>
      <c r="O264" s="60">
        <f>IFERROR(INDEX(Input_ForRateCalc[],MATCH($C264,Input_ForRateCalc[Cost item],0),MATCH($F264,Inputs!$C$10:$Y$10,0)),"-")</f>
        <v>40</v>
      </c>
    </row>
    <row r="265" spans="3:15" outlineLevel="1">
      <c r="C265" s="53" t="s">
        <v>160</v>
      </c>
      <c r="D265" s="75" t="str">
        <f>INDEX(Input_DecisionActual[[Decision]:[Decision]],MATCH(Calc_TU_values!$D$235,Input_DecisionActual[[VDO period]:[VDO period]],0),1)</f>
        <v>VDO 2022 - Final</v>
      </c>
      <c r="E265" s="20" t="s">
        <v>192</v>
      </c>
      <c r="F265" s="75" t="str">
        <f>IF($D265="-","-",INDEX(Inputs!$C$10:$Y$10,1,MATCH($D265,Inputs!$C$8:$Y$8,0)))</f>
        <v>F-PreviousVDO_Input2</v>
      </c>
      <c r="G265" s="52"/>
      <c r="H265" s="20" t="s">
        <v>103</v>
      </c>
      <c r="I265" s="20" t="s">
        <v>152</v>
      </c>
      <c r="J265" s="53" t="s">
        <v>91</v>
      </c>
      <c r="K265" s="61">
        <f>IFERROR(INDEX(Input_ForRateCalc[],MATCH($C265,Input_ForRateCalc[Cost item],0),MATCH($F265,Inputs!$C$10:$Y$10,0)),"-")</f>
        <v>0.25600000000000001</v>
      </c>
      <c r="L265" s="61">
        <f>IFERROR(INDEX(Input_ForRateCalc[],MATCH($C265,Input_ForRateCalc[Cost item],0),MATCH($F265,Inputs!$C$10:$Y$10,0)),"-")</f>
        <v>0.25600000000000001</v>
      </c>
      <c r="M265" s="61">
        <f>IFERROR(INDEX(Input_ForRateCalc[],MATCH($C265,Input_ForRateCalc[Cost item],0),MATCH($F265,Inputs!$C$10:$Y$10,0)),"-")</f>
        <v>0.25600000000000001</v>
      </c>
      <c r="N265" s="61">
        <f>IFERROR(INDEX(Input_ForRateCalc[],MATCH($C265,Input_ForRateCalc[Cost item],0),MATCH($F265,Inputs!$C$10:$Y$10,0)),"-")</f>
        <v>0.25600000000000001</v>
      </c>
      <c r="O265" s="61">
        <f>IFERROR(INDEX(Input_ForRateCalc[],MATCH($C265,Input_ForRateCalc[Cost item],0),MATCH($F265,Inputs!$C$10:$Y$10,0)),"-")</f>
        <v>0.25600000000000001</v>
      </c>
    </row>
    <row r="266" spans="3:15" outlineLevel="1">
      <c r="C266" s="20" t="s">
        <v>191</v>
      </c>
      <c r="D266" s="75" t="str">
        <f>INDEX(Input_DecisionActual[[Decision]:[Decision]],MATCH(Calc_TU_values!$D$235,Input_DecisionActual[[VDO period]:[VDO period]],0),1)</f>
        <v>VDO 2022 - Final</v>
      </c>
      <c r="E266" s="20" t="s">
        <v>192</v>
      </c>
      <c r="F266" s="75" t="str">
        <f>IF($D266="-","-",INDEX(Inputs!$C$10:$Y$10,1,MATCH($D266,Inputs!$C$8:$Y$8,0)))</f>
        <v>F-PreviousVDO_Input2</v>
      </c>
      <c r="G266" s="52"/>
      <c r="H266" s="20" t="s">
        <v>103</v>
      </c>
      <c r="I266" s="20" t="s">
        <v>68</v>
      </c>
      <c r="J266" s="53" t="s">
        <v>91</v>
      </c>
      <c r="K266" s="58">
        <f>IFERROR(K264*K265/1000,"-")</f>
        <v>1.0240000000000001E-2</v>
      </c>
      <c r="L266" s="58">
        <f t="shared" ref="L266" si="83">IFERROR(L264*L265/1000,"-")</f>
        <v>1.0240000000000001E-2</v>
      </c>
      <c r="M266" s="58">
        <f t="shared" ref="M266" si="84">IFERROR(M264*M265/1000,"-")</f>
        <v>1.0240000000000001E-2</v>
      </c>
      <c r="N266" s="58">
        <f t="shared" ref="N266" si="85">IFERROR(N264*N265/1000,"-")</f>
        <v>1.0240000000000001E-2</v>
      </c>
      <c r="O266" s="58">
        <f t="shared" ref="O266" si="86">IFERROR(O264*O265/1000,"-")</f>
        <v>1.0240000000000001E-2</v>
      </c>
    </row>
    <row r="267" spans="3:15" outlineLevel="1">
      <c r="C267" s="20" t="s">
        <v>193</v>
      </c>
      <c r="D267" s="20"/>
      <c r="E267" s="20"/>
      <c r="F267" s="20"/>
      <c r="G267" s="20"/>
      <c r="H267" s="20" t="s">
        <v>103</v>
      </c>
      <c r="I267" s="20" t="s">
        <v>68</v>
      </c>
      <c r="J267" s="20" t="s">
        <v>91</v>
      </c>
      <c r="K267" s="105">
        <f>IFERROR(K263-K266,"-")</f>
        <v>6.6399999999999966E-4</v>
      </c>
      <c r="L267" s="105">
        <f t="shared" ref="L267" si="87">IFERROR(L263-L266,"-")</f>
        <v>6.6399999999999966E-4</v>
      </c>
      <c r="M267" s="105">
        <f t="shared" ref="M267" si="88">IFERROR(M263-M266,"-")</f>
        <v>6.6399999999999966E-4</v>
      </c>
      <c r="N267" s="105">
        <f t="shared" ref="N267" si="89">IFERROR(N263-N266,"-")</f>
        <v>6.6399999999999966E-4</v>
      </c>
      <c r="O267" s="105">
        <f t="shared" ref="O267" si="90">IFERROR(O263-O266,"-")</f>
        <v>6.6399999999999966E-4</v>
      </c>
    </row>
    <row r="268" spans="3:15" outlineLevel="1">
      <c r="C268" s="20" t="s">
        <v>194</v>
      </c>
      <c r="D268" s="75" t="str">
        <f>INDEX(Input_DecisionActual[[Decision]:[Decision]],MATCH(Calc_TU_values!$D$235,Input_DecisionActual[[VDO period]:[VDO period]],0),1)</f>
        <v>VDO 2022 - Final</v>
      </c>
      <c r="E268" s="20" t="s">
        <v>192</v>
      </c>
      <c r="F268" s="75" t="str">
        <f>IF($D268="-","-",INDEX(Inputs!$C$10:$Y$10,1,MATCH($D268,Inputs!$C$8:$Y$8,0)))</f>
        <v>F-PreviousVDO_Input2</v>
      </c>
      <c r="G268" s="20"/>
      <c r="H268" s="20" t="s">
        <v>103</v>
      </c>
      <c r="I268" s="20" t="s">
        <v>68</v>
      </c>
      <c r="J268" s="20" t="s">
        <v>91</v>
      </c>
      <c r="K268" s="106">
        <f>IFERROR(K267*(INDEX(Inputs!$C$11:$Y$134,MATCH("Marginal loss factor - "&amp;K$15,Input_ForRateCalc[Cost item],0),MATCH($F268,Inputs!$C$10:$Y$10,0))*INDEX(Inputs!$C$11:$Y$134,MATCH("Distribution loss factor - "&amp;K$15,Input_ForRateCalc[Cost item],0),MATCH($F268,Inputs!$C$10:$Y$10,0))-1),"-")</f>
        <v>5.2756708296022414E-5</v>
      </c>
      <c r="L268" s="106">
        <f>IFERROR(L267*(INDEX(Inputs!$C$11:$Y$134,MATCH("Marginal loss factor - "&amp;L$15,Input_ForRateCalc[Cost item],0),MATCH($F268,Inputs!$C$10:$Y$10,0))*INDEX(Inputs!$C$11:$Y$134,MATCH("Distribution loss factor - "&amp;L$15,Input_ForRateCalc[Cost item],0),MATCH($F268,Inputs!$C$10:$Y$10,0))-1),"-")</f>
        <v>3.1720386666666718E-5</v>
      </c>
      <c r="M268" s="106">
        <f>IFERROR(M267*(INDEX(Inputs!$C$11:$Y$134,MATCH("Marginal loss factor - "&amp;M$15,Input_ForRateCalc[Cost item],0),MATCH($F268,Inputs!$C$10:$Y$10,0))*INDEX(Inputs!$C$11:$Y$134,MATCH("Distribution loss factor - "&amp;M$15,Input_ForRateCalc[Cost item],0),MATCH($F268,Inputs!$C$10:$Y$10,0))-1),"-")</f>
        <v>2.8084527400000012E-5</v>
      </c>
      <c r="N268" s="106">
        <f>IFERROR(N267*(INDEX(Inputs!$C$11:$Y$134,MATCH("Marginal loss factor - "&amp;N$15,Input_ForRateCalc[Cost item],0),MATCH($F268,Inputs!$C$10:$Y$10,0))*INDEX(Inputs!$C$11:$Y$134,MATCH("Distribution loss factor - "&amp;N$15,Input_ForRateCalc[Cost item],0),MATCH($F268,Inputs!$C$10:$Y$10,0))-1),"-")</f>
        <v>4.7494332260730806E-5</v>
      </c>
      <c r="O268" s="106">
        <f>IFERROR(O267*(INDEX(Inputs!$C$11:$Y$134,MATCH("Marginal loss factor - "&amp;O$15,Input_ForRateCalc[Cost item],0),MATCH($F268,Inputs!$C$10:$Y$10,0))*INDEX(Inputs!$C$11:$Y$134,MATCH("Distribution loss factor - "&amp;O$15,Input_ForRateCalc[Cost item],0),MATCH($F268,Inputs!$C$10:$Y$10,0))-1),"-")</f>
        <v>3.1829488909090875E-5</v>
      </c>
    </row>
    <row r="269" spans="3:15" outlineLevel="1">
      <c r="C269" s="20" t="s">
        <v>195</v>
      </c>
      <c r="D269" s="75" t="str">
        <f>INDEX(Input_DecisionActual[[Decision]:[Decision]],MATCH(Calc_TU_values!$D$235,Input_DecisionActual[[VDO period]:[VDO period]],0),1)</f>
        <v>VDO 2022 - Final</v>
      </c>
      <c r="E269" s="20" t="s">
        <v>192</v>
      </c>
      <c r="F269" s="75" t="str">
        <f>IF($D269="-","-",INDEX(Inputs!$C$10:$Y$10,1,MATCH($D269,Inputs!$C$8:$Y$8,0)))</f>
        <v>F-PreviousVDO_Input2</v>
      </c>
      <c r="G269" s="20"/>
      <c r="H269" s="20" t="s">
        <v>103</v>
      </c>
      <c r="I269" s="20" t="s">
        <v>68</v>
      </c>
      <c r="J269" s="20" t="s">
        <v>91</v>
      </c>
      <c r="K269" s="106">
        <f>IFERROR(SUM(K267:K268)*(INDEX(Inputs!$C$11:$Y$134,MATCH("Retail operating margin",Input_ForRateCalc[Cost item],0),MATCH($F269,Inputs!$C$10:$Y$10,0))),"-")</f>
        <v>4.3292105181079739E-5</v>
      </c>
      <c r="L269" s="106">
        <f>IFERROR(SUM(L267:L268)*(INDEX(Inputs!$C$11:$Y$134,MATCH("Retail operating margin",Input_ForRateCalc[Cost item],0),MATCH($F269,Inputs!$C$10:$Y$10,0))),"-")</f>
        <v>4.2021511354666655E-5</v>
      </c>
      <c r="M269" s="106">
        <f>IFERROR(SUM(M267:M268)*(INDEX(Inputs!$C$11:$Y$134,MATCH("Retail operating margin",Input_ForRateCalc[Cost item],0),MATCH($F269,Inputs!$C$10:$Y$10,0))),"-")</f>
        <v>4.1801905454959981E-5</v>
      </c>
      <c r="N269" s="106">
        <f>IFERROR(SUM(N267:N268)*(INDEX(Inputs!$C$11:$Y$134,MATCH("Retail operating margin",Input_ForRateCalc[Cost item],0),MATCH($F269,Inputs!$C$10:$Y$10,0))),"-")</f>
        <v>4.2974257668548118E-5</v>
      </c>
      <c r="O269" s="106">
        <f>IFERROR(SUM(O267:O268)*(INDEX(Inputs!$C$11:$Y$134,MATCH("Retail operating margin",Input_ForRateCalc[Cost item],0),MATCH($F269,Inputs!$C$10:$Y$10,0))),"-")</f>
        <v>4.2028101130109073E-5</v>
      </c>
    </row>
    <row r="270" spans="3:15" outlineLevel="1">
      <c r="C270" s="20" t="s">
        <v>196</v>
      </c>
      <c r="D270" s="20"/>
      <c r="E270" s="20"/>
      <c r="F270" s="20"/>
      <c r="G270" s="20"/>
      <c r="H270" s="20" t="s">
        <v>103</v>
      </c>
      <c r="I270" s="20" t="s">
        <v>68</v>
      </c>
      <c r="J270" s="20" t="s">
        <v>91</v>
      </c>
      <c r="K270" s="106">
        <f>SUM(K267:K269)*GST</f>
        <v>7.6004881347710199E-5</v>
      </c>
      <c r="L270" s="106">
        <f>SUM(L267:L269)*GST</f>
        <v>7.3774189802133309E-5</v>
      </c>
      <c r="M270" s="106">
        <f>SUM(M267:M269)*GST</f>
        <v>7.3388643285495967E-5</v>
      </c>
      <c r="N270" s="106">
        <f>SUM(N267:N269)*GST</f>
        <v>7.5446858992927863E-5</v>
      </c>
      <c r="O270" s="106">
        <f>SUM(O267:O269)*GST</f>
        <v>7.3785759003919976E-5</v>
      </c>
    </row>
    <row r="271" spans="3:15" outlineLevel="1">
      <c r="C271" s="53" t="s">
        <v>182</v>
      </c>
      <c r="D271" s="53"/>
      <c r="E271" s="53"/>
      <c r="F271" s="53"/>
      <c r="H271" s="53" t="s">
        <v>103</v>
      </c>
      <c r="I271" s="53" t="s">
        <v>68</v>
      </c>
      <c r="J271" s="53" t="s">
        <v>91</v>
      </c>
      <c r="K271" s="106">
        <f>SUM(K267:K270)</f>
        <v>8.3605369482481207E-4</v>
      </c>
      <c r="L271" s="106">
        <f>SUM(L267:L270)</f>
        <v>8.1151608782346635E-4</v>
      </c>
      <c r="M271" s="106">
        <f>SUM(M267:M270)</f>
        <v>8.0727507614045558E-4</v>
      </c>
      <c r="N271" s="106">
        <f>SUM(N267:N270)</f>
        <v>8.2991544892220645E-4</v>
      </c>
      <c r="O271" s="106">
        <f>SUM(O267:O270)</f>
        <v>8.1164334904311962E-4</v>
      </c>
    </row>
    <row r="272" spans="3:15" outlineLevel="1">
      <c r="C272" s="20"/>
      <c r="D272" s="20"/>
      <c r="E272" s="20"/>
      <c r="F272" s="20"/>
      <c r="G272" s="20"/>
      <c r="H272" s="20"/>
      <c r="I272" s="20"/>
      <c r="J272" s="20"/>
      <c r="K272" s="59"/>
      <c r="L272" s="59"/>
      <c r="M272" s="59"/>
      <c r="N272" s="59"/>
      <c r="O272" s="59"/>
    </row>
    <row r="273" spans="2:15" outlineLevel="1">
      <c r="C273" s="51" t="s">
        <v>198</v>
      </c>
      <c r="D273" s="51"/>
      <c r="E273" s="51"/>
      <c r="F273" s="51"/>
      <c r="G273" s="62" t="s">
        <v>181</v>
      </c>
      <c r="H273" s="62"/>
      <c r="I273" s="20"/>
      <c r="J273" s="20"/>
      <c r="K273" s="20"/>
      <c r="L273" s="20"/>
      <c r="M273" s="20"/>
      <c r="N273" s="20"/>
      <c r="O273" s="20"/>
    </row>
    <row r="274" spans="2:15" outlineLevel="1">
      <c r="C274" s="20" t="s">
        <v>149</v>
      </c>
      <c r="D274" s="75" t="str">
        <f>Calc_TU_values!$D$235</f>
        <v>VDO 2022-23 - Final</v>
      </c>
      <c r="E274" s="20" t="s">
        <v>190</v>
      </c>
      <c r="F274" s="75" t="str">
        <f>INDEX(Inputs!$C$10:$Y$10,1,MATCH($D274,Inputs!$C$8:$Y$8,0))</f>
        <v>F-CurrentVDO_Input</v>
      </c>
      <c r="G274" s="52"/>
      <c r="H274" s="20" t="s">
        <v>103</v>
      </c>
      <c r="I274" s="20" t="s">
        <v>150</v>
      </c>
      <c r="J274" s="53" t="s">
        <v>91</v>
      </c>
      <c r="K274" s="59">
        <f>IFERROR(INDEX(Input_TUEnv_Actual[],MATCH($C274,Input_TUEnv_Actual[Cost item],0),MATCH($F274,Input_TUEnv_Actual[#Headers],0)),"-")</f>
        <v>56.939318273848677</v>
      </c>
      <c r="L274" s="59">
        <f>IFERROR(INDEX(Input_TUEnv_Actual[],MATCH($C274,Input_TUEnv_Actual[Cost item],0),MATCH($F274,Input_TUEnv_Actual[#Headers],0)),"-")</f>
        <v>56.939318273848677</v>
      </c>
      <c r="M274" s="59">
        <f>IFERROR(INDEX(Input_TUEnv_Actual[],MATCH($C274,Input_TUEnv_Actual[Cost item],0),MATCH($F274,Input_TUEnv_Actual[#Headers],0)),"-")</f>
        <v>56.939318273848677</v>
      </c>
      <c r="N274" s="59">
        <f>IFERROR(INDEX(Input_TUEnv_Actual[],MATCH($C274,Input_TUEnv_Actual[Cost item],0),MATCH($F274,Input_TUEnv_Actual[#Headers],0)),"-")</f>
        <v>56.939318273848677</v>
      </c>
      <c r="O274" s="59">
        <f>IFERROR(INDEX(Input_TUEnv_Actual[],MATCH($C274,Input_TUEnv_Actual[Cost item],0),MATCH($F274,Input_TUEnv_Actual[#Headers],0)),"-")</f>
        <v>56.939318273848677</v>
      </c>
    </row>
    <row r="275" spans="2:15" outlineLevel="1">
      <c r="C275" s="20" t="s">
        <v>151</v>
      </c>
      <c r="D275" s="75" t="str">
        <f>Calc_TU_values!$D$235</f>
        <v>VDO 2022-23 - Final</v>
      </c>
      <c r="E275" s="20" t="s">
        <v>190</v>
      </c>
      <c r="F275" s="75" t="str">
        <f>INDEX(Inputs!$C$10:$Y$10,1,MATCH($D275,Inputs!$C$8:$Y$8,0))</f>
        <v>F-CurrentVDO_Input</v>
      </c>
      <c r="G275" s="52"/>
      <c r="H275" s="20" t="s">
        <v>103</v>
      </c>
      <c r="I275" s="20" t="s">
        <v>152</v>
      </c>
      <c r="J275" s="53" t="s">
        <v>91</v>
      </c>
      <c r="K275" s="61">
        <f>IFERROR(INDEX(Input_TUEnv_Actual[],MATCH($C275,Input_TUEnv_Actual[Cost item],0),MATCH($F275,Input_TUEnv_Actual[#Headers],0)),"-")</f>
        <v>0.17255000000000001</v>
      </c>
      <c r="L275" s="61">
        <f>IFERROR(INDEX(Input_TUEnv_Actual[],MATCH($C275,Input_TUEnv_Actual[Cost item],0),MATCH($F275,Input_TUEnv_Actual[#Headers],0)),"-")</f>
        <v>0.17255000000000001</v>
      </c>
      <c r="M275" s="61">
        <f>IFERROR(INDEX(Input_TUEnv_Actual[],MATCH($C275,Input_TUEnv_Actual[Cost item],0),MATCH($F275,Input_TUEnv_Actual[#Headers],0)),"-")</f>
        <v>0.17255000000000001</v>
      </c>
      <c r="N275" s="61">
        <f>IFERROR(INDEX(Input_TUEnv_Actual[],MATCH($C275,Input_TUEnv_Actual[Cost item],0),MATCH($F275,Input_TUEnv_Actual[#Headers],0)),"-")</f>
        <v>0.17255000000000001</v>
      </c>
      <c r="O275" s="61">
        <f>IFERROR(INDEX(Input_TUEnv_Actual[],MATCH($C275,Input_TUEnv_Actual[Cost item],0),MATCH($F275,Input_TUEnv_Actual[#Headers],0)),"-")</f>
        <v>0.17255000000000001</v>
      </c>
    </row>
    <row r="276" spans="2:15" outlineLevel="1">
      <c r="C276" s="20" t="s">
        <v>191</v>
      </c>
      <c r="D276" s="75" t="str">
        <f>Calc_TU_values!$D$235</f>
        <v>VDO 2022-23 - Final</v>
      </c>
      <c r="E276" s="20" t="s">
        <v>190</v>
      </c>
      <c r="F276" s="75" t="str">
        <f>INDEX(Inputs!$C$10:$Y$10,1,MATCH($D276,Inputs!$C$8:$Y$8,0))</f>
        <v>F-CurrentVDO_Input</v>
      </c>
      <c r="G276" s="52"/>
      <c r="H276" s="20" t="s">
        <v>103</v>
      </c>
      <c r="I276" s="20" t="s">
        <v>68</v>
      </c>
      <c r="J276" s="53" t="s">
        <v>91</v>
      </c>
      <c r="K276" s="58">
        <f>IFERROR(K274*K275/1000,"-")</f>
        <v>9.8248793681525899E-3</v>
      </c>
      <c r="L276" s="58">
        <f t="shared" ref="L276" si="91">IFERROR(L274*L275/1000,"-")</f>
        <v>9.8248793681525899E-3</v>
      </c>
      <c r="M276" s="58">
        <f t="shared" ref="M276" si="92">IFERROR(M274*M275/1000,"-")</f>
        <v>9.8248793681525899E-3</v>
      </c>
      <c r="N276" s="58">
        <f t="shared" ref="N276" si="93">IFERROR(N274*N275/1000,"-")</f>
        <v>9.8248793681525899E-3</v>
      </c>
      <c r="O276" s="58">
        <f t="shared" ref="O276" si="94">IFERROR(O274*O275/1000,"-")</f>
        <v>9.8248793681525899E-3</v>
      </c>
    </row>
    <row r="277" spans="2:15" outlineLevel="1">
      <c r="C277" s="20" t="s">
        <v>149</v>
      </c>
      <c r="D277" s="75" t="str">
        <f>INDEX(Input_DecisionActual[[Decision]:[Decision]],MATCH(Calc_TU_values!$D$235,Input_DecisionActual[[VDO period]:[VDO period]],0),1)</f>
        <v>VDO 2022 - Final</v>
      </c>
      <c r="E277" s="20" t="s">
        <v>192</v>
      </c>
      <c r="F277" s="75" t="str">
        <f>IF($D277="-","-",INDEX(Inputs!$C$10:$Y$10,1,MATCH($D277,Inputs!$C$8:$Y$8,0)))</f>
        <v>F-PreviousVDO_Input2</v>
      </c>
      <c r="G277" s="52"/>
      <c r="H277" s="20" t="s">
        <v>103</v>
      </c>
      <c r="I277" s="20" t="s">
        <v>150</v>
      </c>
      <c r="J277" s="53" t="s">
        <v>91</v>
      </c>
      <c r="K277" s="60">
        <f>IFERROR(INDEX(Input_ForRateCalc[],MATCH($C277,Input_ForRateCalc[Cost item],0),MATCH($F277,Inputs!$C$10:$Y$10,0)),"-")</f>
        <v>56.939318273848677</v>
      </c>
      <c r="L277" s="60">
        <f>IFERROR(INDEX(Input_ForRateCalc[],MATCH($C277,Input_ForRateCalc[Cost item],0),MATCH($F277,Inputs!$C$10:$Y$10,0)),"-")</f>
        <v>56.939318273848677</v>
      </c>
      <c r="M277" s="60">
        <f>IFERROR(INDEX(Input_ForRateCalc[],MATCH($C277,Input_ForRateCalc[Cost item],0),MATCH($F277,Inputs!$C$10:$Y$10,0)),"-")</f>
        <v>56.939318273848677</v>
      </c>
      <c r="N277" s="60">
        <f>IFERROR(INDEX(Input_ForRateCalc[],MATCH($C277,Input_ForRateCalc[Cost item],0),MATCH($F277,Inputs!$C$10:$Y$10,0)),"-")</f>
        <v>56.939318273848677</v>
      </c>
      <c r="O277" s="60">
        <f>IFERROR(INDEX(Input_ForRateCalc[],MATCH($C277,Input_ForRateCalc[Cost item],0),MATCH($F277,Inputs!$C$10:$Y$10,0)),"-")</f>
        <v>56.939318273848677</v>
      </c>
    </row>
    <row r="278" spans="2:15" outlineLevel="1">
      <c r="C278" s="20" t="s">
        <v>151</v>
      </c>
      <c r="D278" s="75" t="str">
        <f>INDEX(Input_DecisionActual[[Decision]:[Decision]],MATCH(Calc_TU_values!$D$235,Input_DecisionActual[[VDO period]:[VDO period]],0),1)</f>
        <v>VDO 2022 - Final</v>
      </c>
      <c r="E278" s="20" t="s">
        <v>192</v>
      </c>
      <c r="F278" s="75" t="str">
        <f>IF($D278="-","-",INDEX(Inputs!$C$10:$Y$10,1,MATCH($D278,Inputs!$C$8:$Y$8,0)))</f>
        <v>F-PreviousVDO_Input2</v>
      </c>
      <c r="G278" s="52"/>
      <c r="H278" s="20" t="s">
        <v>103</v>
      </c>
      <c r="I278" s="20" t="s">
        <v>152</v>
      </c>
      <c r="J278" s="53" t="s">
        <v>91</v>
      </c>
      <c r="K278" s="61">
        <f>IFERROR(INDEX(Input_ForRateCalc[],MATCH($C278,Input_ForRateCalc[Cost item],0),MATCH($F278,Inputs!$C$10:$Y$10,0)),"-")</f>
        <v>0.17255000000000001</v>
      </c>
      <c r="L278" s="61">
        <f>IFERROR(INDEX(Input_ForRateCalc[],MATCH($C278,Input_ForRateCalc[Cost item],0),MATCH($F278,Inputs!$C$10:$Y$10,0)),"-")</f>
        <v>0.17255000000000001</v>
      </c>
      <c r="M278" s="61">
        <f>IFERROR(INDEX(Input_ForRateCalc[],MATCH($C278,Input_ForRateCalc[Cost item],0),MATCH($F278,Inputs!$C$10:$Y$10,0)),"-")</f>
        <v>0.17255000000000001</v>
      </c>
      <c r="N278" s="61">
        <f>IFERROR(INDEX(Input_ForRateCalc[],MATCH($C278,Input_ForRateCalc[Cost item],0),MATCH($F278,Inputs!$C$10:$Y$10,0)),"-")</f>
        <v>0.17255000000000001</v>
      </c>
      <c r="O278" s="61">
        <f>IFERROR(INDEX(Input_ForRateCalc[],MATCH($C278,Input_ForRateCalc[Cost item],0),MATCH($F278,Inputs!$C$10:$Y$10,0)),"-")</f>
        <v>0.17255000000000001</v>
      </c>
    </row>
    <row r="279" spans="2:15" outlineLevel="1">
      <c r="C279" s="20" t="s">
        <v>191</v>
      </c>
      <c r="D279" s="75" t="str">
        <f>INDEX(Input_DecisionActual[[Decision]:[Decision]],MATCH(Calc_TU_values!$D$235,Input_DecisionActual[[VDO period]:[VDO period]],0),1)</f>
        <v>VDO 2022 - Final</v>
      </c>
      <c r="E279" s="20" t="s">
        <v>192</v>
      </c>
      <c r="F279" s="75" t="str">
        <f>IF($D279="-","-",INDEX(Inputs!$C$10:$Y$10,1,MATCH($D279,Inputs!$C$8:$Y$8,0)))</f>
        <v>F-PreviousVDO_Input2</v>
      </c>
      <c r="G279" s="52"/>
      <c r="H279" s="20" t="s">
        <v>103</v>
      </c>
      <c r="I279" s="20" t="s">
        <v>68</v>
      </c>
      <c r="J279" s="53" t="s">
        <v>91</v>
      </c>
      <c r="K279" s="58">
        <f>IFERROR(K277*K278/1000,"-")</f>
        <v>9.8248793681525899E-3</v>
      </c>
      <c r="L279" s="58">
        <f t="shared" ref="L279" si="95">IFERROR(L277*L278/1000,"-")</f>
        <v>9.8248793681525899E-3</v>
      </c>
      <c r="M279" s="58">
        <f t="shared" ref="M279" si="96">IFERROR(M277*M278/1000,"-")</f>
        <v>9.8248793681525899E-3</v>
      </c>
      <c r="N279" s="58">
        <f t="shared" ref="N279" si="97">IFERROR(N277*N278/1000,"-")</f>
        <v>9.8248793681525899E-3</v>
      </c>
      <c r="O279" s="58">
        <f t="shared" ref="O279" si="98">IFERROR(O277*O278/1000,"-")</f>
        <v>9.8248793681525899E-3</v>
      </c>
    </row>
    <row r="280" spans="2:15" outlineLevel="1">
      <c r="B280"/>
      <c r="C280" s="20" t="s">
        <v>193</v>
      </c>
      <c r="D280" s="20"/>
      <c r="E280" s="20"/>
      <c r="F280" s="20"/>
      <c r="G280" s="20"/>
      <c r="H280" s="20" t="s">
        <v>103</v>
      </c>
      <c r="I280" s="20" t="s">
        <v>68</v>
      </c>
      <c r="J280" s="20" t="s">
        <v>91</v>
      </c>
      <c r="K280" s="105">
        <f>IFERROR(K276-K279,"-")</f>
        <v>0</v>
      </c>
      <c r="L280" s="105">
        <f t="shared" ref="L280" si="99">IFERROR(L276-L279,"-")</f>
        <v>0</v>
      </c>
      <c r="M280" s="105">
        <f t="shared" ref="M280" si="100">IFERROR(M276-M279,"-")</f>
        <v>0</v>
      </c>
      <c r="N280" s="105">
        <f t="shared" ref="N280" si="101">IFERROR(N276-N279,"-")</f>
        <v>0</v>
      </c>
      <c r="O280" s="105">
        <f t="shared" ref="O280" si="102">IFERROR(O276-O279,"-")</f>
        <v>0</v>
      </c>
    </row>
    <row r="281" spans="2:15" outlineLevel="1">
      <c r="B281"/>
      <c r="C281" s="20" t="s">
        <v>194</v>
      </c>
      <c r="D281" s="75" t="str">
        <f>INDEX(Input_DecisionActual[[Decision]:[Decision]],MATCH(Calc_TU_values!$D$235,Input_DecisionActual[[VDO period]:[VDO period]],0),1)</f>
        <v>VDO 2022 - Final</v>
      </c>
      <c r="E281" s="20" t="s">
        <v>192</v>
      </c>
      <c r="F281" s="75" t="str">
        <f>IF($D281="-","-",INDEX(Inputs!$C$10:$Y$10,1,MATCH($D281,Inputs!$C$8:$Y$8,0)))</f>
        <v>F-PreviousVDO_Input2</v>
      </c>
      <c r="G281" s="20"/>
      <c r="H281" s="20" t="s">
        <v>103</v>
      </c>
      <c r="I281" s="20" t="s">
        <v>68</v>
      </c>
      <c r="J281" s="20" t="s">
        <v>91</v>
      </c>
      <c r="K281" s="106">
        <f>IFERROR(K280*(INDEX(Inputs!$C$11:$Y$134,MATCH("Marginal loss factor - "&amp;K$15,Input_ForRateCalc[Cost item],0),MATCH($F281,Inputs!$C$10:$Y$10,0))*INDEX(Inputs!$C$11:$Y$134,MATCH("Distribution loss factor - "&amp;K$15,Input_ForRateCalc[Cost item],0),MATCH($F281,Inputs!$C$10:$Y$10,0))-1),"-")</f>
        <v>0</v>
      </c>
      <c r="L281" s="106">
        <f>IFERROR(L280*(INDEX(Inputs!$C$11:$Y$134,MATCH("Marginal loss factor - "&amp;L$15,Input_ForRateCalc[Cost item],0),MATCH($F281,Inputs!$C$10:$Y$10,0))*INDEX(Inputs!$C$11:$Y$134,MATCH("Distribution loss factor - "&amp;L$15,Input_ForRateCalc[Cost item],0),MATCH($F281,Inputs!$C$10:$Y$10,0))-1),"-")</f>
        <v>0</v>
      </c>
      <c r="M281" s="106">
        <f>IFERROR(M280*(INDEX(Inputs!$C$11:$Y$134,MATCH("Marginal loss factor - "&amp;M$15,Input_ForRateCalc[Cost item],0),MATCH($F281,Inputs!$C$10:$Y$10,0))*INDEX(Inputs!$C$11:$Y$134,MATCH("Distribution loss factor - "&amp;M$15,Input_ForRateCalc[Cost item],0),MATCH($F281,Inputs!$C$10:$Y$10,0))-1),"-")</f>
        <v>0</v>
      </c>
      <c r="N281" s="106">
        <f>IFERROR(N280*(INDEX(Inputs!$C$11:$Y$134,MATCH("Marginal loss factor - "&amp;N$15,Input_ForRateCalc[Cost item],0),MATCH($F281,Inputs!$C$10:$Y$10,0))*INDEX(Inputs!$C$11:$Y$134,MATCH("Distribution loss factor - "&amp;N$15,Input_ForRateCalc[Cost item],0),MATCH($F281,Inputs!$C$10:$Y$10,0))-1),"-")</f>
        <v>0</v>
      </c>
      <c r="O281" s="106">
        <f>IFERROR(O280*(INDEX(Inputs!$C$11:$Y$134,MATCH("Marginal loss factor - "&amp;O$15,Input_ForRateCalc[Cost item],0),MATCH($F281,Inputs!$C$10:$Y$10,0))*INDEX(Inputs!$C$11:$Y$134,MATCH("Distribution loss factor - "&amp;O$15,Input_ForRateCalc[Cost item],0),MATCH($F281,Inputs!$C$10:$Y$10,0))-1),"-")</f>
        <v>0</v>
      </c>
    </row>
    <row r="282" spans="2:15" outlineLevel="1">
      <c r="C282" s="20" t="s">
        <v>195</v>
      </c>
      <c r="D282" s="75" t="str">
        <f>INDEX(Input_DecisionActual[[Decision]:[Decision]],MATCH(Calc_TU_values!$D$235,Input_DecisionActual[[VDO period]:[VDO period]],0),1)</f>
        <v>VDO 2022 - Final</v>
      </c>
      <c r="E282" s="20" t="s">
        <v>192</v>
      </c>
      <c r="F282" s="75" t="str">
        <f>IF($D282="-","-",INDEX(Inputs!$C$10:$Y$10,1,MATCH($D282,Inputs!$C$8:$Y$8,0)))</f>
        <v>F-PreviousVDO_Input2</v>
      </c>
      <c r="G282" s="20"/>
      <c r="H282" s="20" t="s">
        <v>103</v>
      </c>
      <c r="I282" s="20" t="s">
        <v>68</v>
      </c>
      <c r="J282" s="20" t="s">
        <v>91</v>
      </c>
      <c r="K282" s="106">
        <f>IFERROR(SUM(K280:K281)*(INDEX(Inputs!$C$11:$Y$134,MATCH("Retail operating margin",Input_ForRateCalc[Cost item],0),MATCH($F282,Inputs!$C$10:$Y$10,0))),"-")</f>
        <v>0</v>
      </c>
      <c r="L282" s="106">
        <f>IFERROR(SUM(L280:L281)*(INDEX(Inputs!$C$11:$Y$134,MATCH("Retail operating margin",Input_ForRateCalc[Cost item],0),MATCH($F282,Inputs!$C$10:$Y$10,0))),"-")</f>
        <v>0</v>
      </c>
      <c r="M282" s="106">
        <f>IFERROR(SUM(M280:M281)*(INDEX(Inputs!$C$11:$Y$134,MATCH("Retail operating margin",Input_ForRateCalc[Cost item],0),MATCH($F282,Inputs!$C$10:$Y$10,0))),"-")</f>
        <v>0</v>
      </c>
      <c r="N282" s="106">
        <f>IFERROR(SUM(N280:N281)*(INDEX(Inputs!$C$11:$Y$134,MATCH("Retail operating margin",Input_ForRateCalc[Cost item],0),MATCH($F282,Inputs!$C$10:$Y$10,0))),"-")</f>
        <v>0</v>
      </c>
      <c r="O282" s="106">
        <f>IFERROR(SUM(O280:O281)*(INDEX(Inputs!$C$11:$Y$134,MATCH("Retail operating margin",Input_ForRateCalc[Cost item],0),MATCH($F282,Inputs!$C$10:$Y$10,0))),"-")</f>
        <v>0</v>
      </c>
    </row>
    <row r="283" spans="2:15" outlineLevel="1">
      <c r="C283" s="20" t="s">
        <v>196</v>
      </c>
      <c r="D283" s="20"/>
      <c r="E283" s="20"/>
      <c r="F283" s="20"/>
      <c r="G283" s="20"/>
      <c r="H283" s="20" t="s">
        <v>103</v>
      </c>
      <c r="I283" s="20" t="s">
        <v>68</v>
      </c>
      <c r="J283" s="20" t="s">
        <v>91</v>
      </c>
      <c r="K283" s="106">
        <f>SUM(K280:K282)*GST</f>
        <v>0</v>
      </c>
      <c r="L283" s="106">
        <f>SUM(L280:L282)*GST</f>
        <v>0</v>
      </c>
      <c r="M283" s="106">
        <f>SUM(M280:M282)*GST</f>
        <v>0</v>
      </c>
      <c r="N283" s="106">
        <f>SUM(N280:N282)*GST</f>
        <v>0</v>
      </c>
      <c r="O283" s="106">
        <f>SUM(O280:O282)*GST</f>
        <v>0</v>
      </c>
    </row>
    <row r="284" spans="2:15" outlineLevel="1">
      <c r="B284"/>
      <c r="C284" s="40" t="s">
        <v>184</v>
      </c>
      <c r="D284" s="40"/>
      <c r="E284" s="40"/>
      <c r="F284" s="40"/>
      <c r="G284" s="64"/>
      <c r="H284" s="20" t="s">
        <v>103</v>
      </c>
      <c r="I284" s="20" t="s">
        <v>68</v>
      </c>
      <c r="J284" s="53" t="s">
        <v>91</v>
      </c>
      <c r="K284" s="106">
        <f>SUM(K280:K283)</f>
        <v>0</v>
      </c>
      <c r="L284" s="106">
        <f>SUM(L280:L283)</f>
        <v>0</v>
      </c>
      <c r="M284" s="106">
        <f>SUM(M280:M283)</f>
        <v>0</v>
      </c>
      <c r="N284" s="106">
        <f>SUM(N280:N283)</f>
        <v>0</v>
      </c>
      <c r="O284" s="106">
        <f>SUM(O280:O283)</f>
        <v>0</v>
      </c>
    </row>
    <row r="285" spans="2:15" outlineLevel="1">
      <c r="B285"/>
      <c r="H285" s="93"/>
      <c r="I285" s="93"/>
      <c r="J285" s="93"/>
      <c r="K285" s="93"/>
      <c r="L285" s="93"/>
    </row>
    <row r="286" spans="2:15">
      <c r="B286"/>
    </row>
    <row r="287" spans="2:15" ht="16" collapsed="1" thickBot="1">
      <c r="B287" s="7"/>
      <c r="C287" s="25" t="s">
        <v>199</v>
      </c>
      <c r="D287" s="25"/>
      <c r="E287" s="25"/>
      <c r="F287" s="25"/>
      <c r="G287" s="25"/>
      <c r="H287" s="25"/>
      <c r="I287" s="25"/>
      <c r="J287" s="25"/>
      <c r="K287" s="25"/>
      <c r="L287" s="25"/>
      <c r="M287" s="25"/>
      <c r="N287" s="25"/>
      <c r="O287" s="25"/>
    </row>
    <row r="288" spans="2:15" hidden="1" outlineLevel="1"/>
    <row r="289" spans="2:17" ht="15.5" hidden="1" outlineLevel="1">
      <c r="C289" s="38" t="s">
        <v>33</v>
      </c>
      <c r="D289" s="38" t="s">
        <v>200</v>
      </c>
      <c r="G289" s="38" t="s">
        <v>188</v>
      </c>
      <c r="H289" s="38" t="s">
        <v>88</v>
      </c>
      <c r="I289" s="38" t="s">
        <v>56</v>
      </c>
      <c r="J289" s="38" t="s">
        <v>57</v>
      </c>
      <c r="K289" s="45" t="s">
        <v>58</v>
      </c>
      <c r="L289" s="45" t="s">
        <v>59</v>
      </c>
      <c r="M289" s="45" t="s">
        <v>60</v>
      </c>
      <c r="N289" s="45" t="s">
        <v>61</v>
      </c>
      <c r="O289" s="45" t="s">
        <v>62</v>
      </c>
    </row>
    <row r="290" spans="2:17" ht="16" hidden="1" outlineLevel="1" thickBot="1">
      <c r="B290" s="216">
        <f ca="1">MAX(B$3:B289)+0.01</f>
        <v>14.04</v>
      </c>
      <c r="C290" s="51" t="s">
        <v>202</v>
      </c>
      <c r="D290" s="51"/>
      <c r="G290" s="51"/>
      <c r="H290" s="51"/>
      <c r="I290" s="51"/>
      <c r="J290" s="53" t="s">
        <v>65</v>
      </c>
      <c r="K290" s="119">
        <f>SUM(K291:K292)</f>
        <v>0</v>
      </c>
      <c r="L290" s="119">
        <f>SUM(L291:L292)</f>
        <v>0</v>
      </c>
      <c r="M290" s="119">
        <f>SUM(M291:M292)</f>
        <v>0</v>
      </c>
      <c r="N290" s="119">
        <f>SUM(N291:N292)</f>
        <v>0</v>
      </c>
      <c r="O290" s="119">
        <f>SUM(O291:O292)</f>
        <v>0</v>
      </c>
      <c r="P290" s="25"/>
      <c r="Q290" s="25"/>
    </row>
    <row r="291" spans="2:17" hidden="1" outlineLevel="1">
      <c r="C291" s="118" t="s">
        <v>90</v>
      </c>
      <c r="D291" s="53"/>
      <c r="G291" s="53"/>
      <c r="H291" s="53"/>
      <c r="I291" s="53"/>
      <c r="J291" s="53"/>
      <c r="K291" s="60" t="str">
        <f>K345</f>
        <v>-</v>
      </c>
      <c r="L291" s="60" t="str">
        <f>L345</f>
        <v>-</v>
      </c>
      <c r="M291" s="60" t="str">
        <f>M345</f>
        <v>-</v>
      </c>
      <c r="N291" s="60" t="str">
        <f>N345</f>
        <v>-</v>
      </c>
      <c r="O291" s="60" t="str">
        <f>O345</f>
        <v>-</v>
      </c>
    </row>
    <row r="292" spans="2:17" ht="15.5" hidden="1" outlineLevel="1">
      <c r="C292" s="118" t="s">
        <v>103</v>
      </c>
      <c r="D292" s="53"/>
      <c r="G292" s="53"/>
      <c r="H292" s="53"/>
      <c r="I292" s="53"/>
      <c r="J292" s="53"/>
      <c r="K292" s="60" t="str">
        <f>K360</f>
        <v>-</v>
      </c>
      <c r="L292" s="60" t="str">
        <f>L360</f>
        <v>-</v>
      </c>
      <c r="M292" s="60" t="str">
        <f>M360</f>
        <v>-</v>
      </c>
      <c r="N292" s="60" t="str">
        <f>N360</f>
        <v>-</v>
      </c>
      <c r="O292" s="60" t="str">
        <f>O360</f>
        <v>-</v>
      </c>
      <c r="P292" s="45" t="s">
        <v>176</v>
      </c>
      <c r="Q292" s="38" t="s">
        <v>201</v>
      </c>
    </row>
    <row r="293" spans="2:17" hidden="1" outlineLevel="1">
      <c r="C293" s="51" t="s">
        <v>203</v>
      </c>
      <c r="D293" s="51"/>
      <c r="G293" s="51"/>
      <c r="H293" s="51"/>
      <c r="I293" s="51"/>
      <c r="J293" s="53" t="s">
        <v>66</v>
      </c>
      <c r="K293" s="119">
        <f>SUM(K294:K295)</f>
        <v>0</v>
      </c>
      <c r="L293" s="119">
        <f>SUM(L294:L295)</f>
        <v>0</v>
      </c>
      <c r="M293" s="119">
        <f>SUM(M294:M295)</f>
        <v>0</v>
      </c>
      <c r="N293" s="119">
        <f>SUM(N294:N295)</f>
        <v>0</v>
      </c>
      <c r="O293" s="119">
        <f>SUM(O294:O295)</f>
        <v>0</v>
      </c>
      <c r="P293" s="132">
        <f t="shared" ref="P293:P304" si="103">IFERROR(AVERAGE(K290:O290),"-")</f>
        <v>0</v>
      </c>
      <c r="Q293" s="132" t="str">
        <f>IFERROR(P293/ROUND($D$306/30,0),"-")</f>
        <v>-</v>
      </c>
    </row>
    <row r="294" spans="2:17" hidden="1" outlineLevel="1">
      <c r="C294" s="118" t="s">
        <v>90</v>
      </c>
      <c r="D294" s="53"/>
      <c r="G294" s="53"/>
      <c r="H294" s="53"/>
      <c r="I294" s="53"/>
      <c r="J294" s="53"/>
      <c r="K294" s="60" t="str">
        <f>K385</f>
        <v>-</v>
      </c>
      <c r="L294" s="60" t="str">
        <f>L385</f>
        <v>-</v>
      </c>
      <c r="M294" s="60" t="str">
        <f>M385</f>
        <v>-</v>
      </c>
      <c r="N294" s="60" t="str">
        <f>N385</f>
        <v>-</v>
      </c>
      <c r="O294" s="60" t="str">
        <f>O385</f>
        <v>-</v>
      </c>
      <c r="P294" s="112" t="str">
        <f t="shared" si="103"/>
        <v>-</v>
      </c>
      <c r="Q294" s="132" t="str">
        <f t="shared" ref="Q294:Q304" si="104">IFERROR(P294/ROUND($D$306/30,0),"-")</f>
        <v>-</v>
      </c>
    </row>
    <row r="295" spans="2:17" hidden="1" outlineLevel="1">
      <c r="C295" s="118" t="s">
        <v>103</v>
      </c>
      <c r="D295" s="53"/>
      <c r="G295" s="53"/>
      <c r="H295" s="53"/>
      <c r="I295" s="53"/>
      <c r="J295" s="53"/>
      <c r="K295" s="60" t="str">
        <f>K400</f>
        <v>-</v>
      </c>
      <c r="L295" s="60" t="str">
        <f>L400</f>
        <v>-</v>
      </c>
      <c r="M295" s="60" t="str">
        <f>M400</f>
        <v>-</v>
      </c>
      <c r="N295" s="60" t="str">
        <f>N400</f>
        <v>-</v>
      </c>
      <c r="O295" s="60" t="str">
        <f>O400</f>
        <v>-</v>
      </c>
      <c r="P295" s="112" t="str">
        <f t="shared" si="103"/>
        <v>-</v>
      </c>
      <c r="Q295" s="132" t="str">
        <f t="shared" si="104"/>
        <v>-</v>
      </c>
    </row>
    <row r="296" spans="2:17" hidden="1" outlineLevel="1">
      <c r="C296" s="51" t="s">
        <v>204</v>
      </c>
      <c r="D296" s="51"/>
      <c r="G296" s="51"/>
      <c r="H296" s="51"/>
      <c r="I296" s="51"/>
      <c r="J296" s="53" t="s">
        <v>65</v>
      </c>
      <c r="K296" s="119">
        <f>SUM(K297:K298)</f>
        <v>0</v>
      </c>
      <c r="L296" s="119">
        <f>SUM(L297:L298)</f>
        <v>0</v>
      </c>
      <c r="M296" s="119">
        <f>SUM(M297:M298)</f>
        <v>0</v>
      </c>
      <c r="N296" s="119">
        <f>SUM(N297:N298)</f>
        <v>0</v>
      </c>
      <c r="O296" s="119">
        <f>SUM(O297:O298)</f>
        <v>0</v>
      </c>
      <c r="P296" s="132">
        <f t="shared" si="103"/>
        <v>0</v>
      </c>
      <c r="Q296" s="132" t="str">
        <f t="shared" si="104"/>
        <v>-</v>
      </c>
    </row>
    <row r="297" spans="2:17" hidden="1" outlineLevel="1">
      <c r="C297" s="118" t="s">
        <v>90</v>
      </c>
      <c r="D297" s="53"/>
      <c r="G297" s="53"/>
      <c r="H297" s="53"/>
      <c r="I297" s="53"/>
      <c r="J297" s="53"/>
      <c r="K297" s="60" t="str">
        <f>K415</f>
        <v>-</v>
      </c>
      <c r="L297" s="60" t="str">
        <f>L415</f>
        <v>-</v>
      </c>
      <c r="M297" s="60" t="str">
        <f>M415</f>
        <v>-</v>
      </c>
      <c r="N297" s="60" t="str">
        <f>N415</f>
        <v>-</v>
      </c>
      <c r="O297" s="60" t="str">
        <f>O415</f>
        <v>-</v>
      </c>
      <c r="P297" s="112" t="str">
        <f t="shared" si="103"/>
        <v>-</v>
      </c>
      <c r="Q297" s="132" t="str">
        <f t="shared" si="104"/>
        <v>-</v>
      </c>
    </row>
    <row r="298" spans="2:17" hidden="1" outlineLevel="1">
      <c r="C298" s="118" t="s">
        <v>103</v>
      </c>
      <c r="D298" s="53"/>
      <c r="G298" s="53"/>
      <c r="H298" s="53"/>
      <c r="I298" s="53"/>
      <c r="J298" s="53"/>
      <c r="K298" s="60" t="str">
        <f>K429</f>
        <v>-</v>
      </c>
      <c r="L298" s="60" t="str">
        <f>L429</f>
        <v>-</v>
      </c>
      <c r="M298" s="60" t="str">
        <f>M429</f>
        <v>-</v>
      </c>
      <c r="N298" s="60" t="str">
        <f>N429</f>
        <v>-</v>
      </c>
      <c r="O298" s="60" t="str">
        <f>O429</f>
        <v>-</v>
      </c>
      <c r="P298" s="112" t="str">
        <f t="shared" si="103"/>
        <v>-</v>
      </c>
      <c r="Q298" s="132" t="str">
        <f t="shared" si="104"/>
        <v>-</v>
      </c>
    </row>
    <row r="299" spans="2:17" hidden="1" outlineLevel="1">
      <c r="C299" s="51" t="s">
        <v>205</v>
      </c>
      <c r="D299" s="51"/>
      <c r="G299" s="51"/>
      <c r="H299" s="51"/>
      <c r="I299" s="51"/>
      <c r="J299" s="53" t="s">
        <v>66</v>
      </c>
      <c r="K299" s="119">
        <f>SUM(K300:K301)</f>
        <v>0</v>
      </c>
      <c r="L299" s="119">
        <f>SUM(L300:L301)</f>
        <v>0</v>
      </c>
      <c r="M299" s="119">
        <f>SUM(M300:M301)</f>
        <v>0</v>
      </c>
      <c r="N299" s="119">
        <f>SUM(N300:N301)</f>
        <v>0</v>
      </c>
      <c r="O299" s="119">
        <f>SUM(O300:O301)</f>
        <v>0</v>
      </c>
      <c r="P299" s="132">
        <f t="shared" si="103"/>
        <v>0</v>
      </c>
      <c r="Q299" s="132" t="str">
        <f t="shared" si="104"/>
        <v>-</v>
      </c>
    </row>
    <row r="300" spans="2:17" hidden="1" outlineLevel="1">
      <c r="C300" s="118" t="s">
        <v>90</v>
      </c>
      <c r="D300" s="53"/>
      <c r="G300" s="53"/>
      <c r="H300" s="53"/>
      <c r="I300" s="53"/>
      <c r="J300" s="53"/>
      <c r="K300" s="60" t="str">
        <f>K443</f>
        <v>-</v>
      </c>
      <c r="L300" s="60" t="str">
        <f>L443</f>
        <v>-</v>
      </c>
      <c r="M300" s="60" t="str">
        <f>M443</f>
        <v>-</v>
      </c>
      <c r="N300" s="60" t="str">
        <f>N443</f>
        <v>-</v>
      </c>
      <c r="O300" s="60" t="str">
        <f>O443</f>
        <v>-</v>
      </c>
      <c r="P300" s="112" t="str">
        <f t="shared" si="103"/>
        <v>-</v>
      </c>
      <c r="Q300" s="132" t="str">
        <f t="shared" si="104"/>
        <v>-</v>
      </c>
    </row>
    <row r="301" spans="2:17" hidden="1" outlineLevel="1">
      <c r="C301" s="118" t="s">
        <v>103</v>
      </c>
      <c r="D301" s="53"/>
      <c r="G301" s="53"/>
      <c r="H301" s="53"/>
      <c r="I301" s="53"/>
      <c r="J301" s="53"/>
      <c r="K301" s="60" t="str">
        <f>K457</f>
        <v>-</v>
      </c>
      <c r="L301" s="60" t="str">
        <f>L457</f>
        <v>-</v>
      </c>
      <c r="M301" s="60" t="str">
        <f>M457</f>
        <v>-</v>
      </c>
      <c r="N301" s="60" t="str">
        <f>N457</f>
        <v>-</v>
      </c>
      <c r="O301" s="60" t="str">
        <f>O457</f>
        <v>-</v>
      </c>
      <c r="P301" s="112" t="str">
        <f t="shared" si="103"/>
        <v>-</v>
      </c>
      <c r="Q301" s="132" t="str">
        <f t="shared" si="104"/>
        <v>-</v>
      </c>
    </row>
    <row r="302" spans="2:17" hidden="1" outlineLevel="1">
      <c r="P302" s="132">
        <f t="shared" si="103"/>
        <v>0</v>
      </c>
      <c r="Q302" s="132" t="str">
        <f t="shared" si="104"/>
        <v>-</v>
      </c>
    </row>
    <row r="303" spans="2:17" hidden="1" outlineLevel="1">
      <c r="I303" t="s">
        <v>206</v>
      </c>
      <c r="J303" s="53" t="s">
        <v>65</v>
      </c>
      <c r="K303" s="100" t="str">
        <f>IFERROR(K296/ROUND($D$306/30,0),"-")</f>
        <v>-</v>
      </c>
      <c r="L303" s="100" t="str">
        <f t="shared" ref="L303:O303" si="105">IFERROR(L296/ROUND($D$306/30,0),"-")</f>
        <v>-</v>
      </c>
      <c r="M303" s="100" t="str">
        <f t="shared" si="105"/>
        <v>-</v>
      </c>
      <c r="N303" s="100" t="str">
        <f t="shared" si="105"/>
        <v>-</v>
      </c>
      <c r="O303" s="100" t="str">
        <f t="shared" si="105"/>
        <v>-</v>
      </c>
      <c r="P303" s="112" t="str">
        <f t="shared" si="103"/>
        <v>-</v>
      </c>
      <c r="Q303" s="132" t="str">
        <f t="shared" si="104"/>
        <v>-</v>
      </c>
    </row>
    <row r="304" spans="2:17" ht="15.5" hidden="1" outlineLevel="1">
      <c r="C304" s="49" t="s">
        <v>207</v>
      </c>
      <c r="D304" s="75" t="str">
        <f>IFERROR(INDEX(Inputs!$H$10:$U$10,1,MATCH($D$235,Inputs!$H$8:$U$8,0)),"-")</f>
        <v>F-CurrentVDO_Input</v>
      </c>
      <c r="E304" s="149" t="str">
        <f>IFERROR(INDEX(Input_TUNet_Dates[[F-PreviousVDO_Input]:[F-PreviousVDO_Input2]],MATCH($C304,Input_TUNet_Dates[Item],0),MATCH($D304,Input_TUNet_Dates[[#Headers],[F-PreviousVDO_Input]:[F-PreviousVDO_Input2]],0)),"-")</f>
        <v>-</v>
      </c>
      <c r="I304" t="s">
        <v>206</v>
      </c>
      <c r="J304" s="53" t="s">
        <v>66</v>
      </c>
      <c r="K304" s="100" t="str">
        <f>IFERROR(K299/ROUND($D$306/30,0),"-")</f>
        <v>-</v>
      </c>
      <c r="L304" s="100" t="str">
        <f t="shared" ref="L304:O304" si="106">IFERROR(L299/ROUND($D$306/30,0),"-")</f>
        <v>-</v>
      </c>
      <c r="M304" s="100" t="str">
        <f t="shared" si="106"/>
        <v>-</v>
      </c>
      <c r="N304" s="100" t="str">
        <f t="shared" si="106"/>
        <v>-</v>
      </c>
      <c r="O304" s="100" t="str">
        <f t="shared" si="106"/>
        <v>-</v>
      </c>
      <c r="P304" s="112" t="str">
        <f t="shared" si="103"/>
        <v>-</v>
      </c>
      <c r="Q304" s="132" t="str">
        <f t="shared" si="104"/>
        <v>-</v>
      </c>
    </row>
    <row r="305" spans="2:18" ht="15.5" hidden="1" outlineLevel="1">
      <c r="C305" s="49" t="s">
        <v>208</v>
      </c>
      <c r="D305" s="75" t="str">
        <f>IFERROR(INDEX(Inputs!$H$10:$U$10,1,MATCH($D$235,Inputs!$H$8:$U$8,0)),"-")</f>
        <v>F-CurrentVDO_Input</v>
      </c>
      <c r="E305" s="149" t="str">
        <f>IFERROR(INDEX(Input_TUNet_Dates[[F-PreviousVDO_Input]:[F-PreviousVDO_Input2]],MATCH($C305,Input_TUNet_Dates[Item],0),MATCH($D305,Input_TUNet_Dates[[#Headers],[F-PreviousVDO_Input]:[F-PreviousVDO_Input2]],0)),"-")</f>
        <v>-</v>
      </c>
      <c r="K305" s="100"/>
      <c r="L305" s="100"/>
      <c r="M305" s="100"/>
      <c r="N305" s="100"/>
      <c r="O305" s="100"/>
    </row>
    <row r="306" spans="2:18" ht="15.5" hidden="1" outlineLevel="1">
      <c r="C306" s="49" t="s">
        <v>209</v>
      </c>
      <c r="D306" t="str">
        <f>IFERROR(_xlfn.DAYS(E305,E304)+1,"-")</f>
        <v>-</v>
      </c>
      <c r="K306" s="100"/>
      <c r="L306" s="100"/>
      <c r="M306" s="100"/>
      <c r="N306" s="100"/>
      <c r="O306" s="100"/>
      <c r="P306" s="115"/>
      <c r="Q306" s="115"/>
    </row>
    <row r="307" spans="2:18" ht="15.5" hidden="1" outlineLevel="1">
      <c r="C307" s="49" t="s">
        <v>177</v>
      </c>
      <c r="D307" s="124" t="str">
        <f>IFERROR(D306/DiY,"-")</f>
        <v>-</v>
      </c>
      <c r="G307" s="115"/>
      <c r="P307" s="115"/>
      <c r="Q307" s="115"/>
    </row>
    <row r="308" spans="2:18" ht="15.5" hidden="1" outlineLevel="1">
      <c r="C308" s="49" t="s">
        <v>180</v>
      </c>
      <c r="D308" s="123" t="s">
        <v>181</v>
      </c>
      <c r="P308" s="115"/>
      <c r="Q308" s="115"/>
      <c r="R308" s="78"/>
    </row>
    <row r="309" spans="2:18" ht="15.5" hidden="1" outlineLevel="1">
      <c r="C309" s="49" t="s">
        <v>183</v>
      </c>
      <c r="D309" s="124">
        <f>(1+WACC)^(1/2)-1</f>
        <v>3.2230594392551382E-2</v>
      </c>
      <c r="P309" s="115"/>
      <c r="Q309" s="115"/>
      <c r="R309" s="78"/>
    </row>
    <row r="310" spans="2:18" hidden="1" outlineLevel="1">
      <c r="B310"/>
    </row>
    <row r="311" spans="2:18" ht="15.5" hidden="1" outlineLevel="1">
      <c r="B311"/>
      <c r="C311" s="26" t="s">
        <v>252</v>
      </c>
    </row>
    <row r="312" spans="2:18" ht="15.5" hidden="1" outlineLevel="1">
      <c r="B312"/>
      <c r="C312" s="39" t="s">
        <v>6</v>
      </c>
      <c r="D312" s="39" t="s">
        <v>31</v>
      </c>
      <c r="E312" s="39" t="s">
        <v>57</v>
      </c>
      <c r="F312" s="39" t="s">
        <v>211</v>
      </c>
    </row>
    <row r="313" spans="2:18" hidden="1" outlineLevel="1">
      <c r="B313"/>
      <c r="C313" s="53" t="s">
        <v>212</v>
      </c>
      <c r="D313" s="75" t="str">
        <f>INDEX(Inputs!$H$10:$U$10,1,MATCH($D$235,Inputs!$H$8:$U$8,0))</f>
        <v>F-CurrentVDO_Input</v>
      </c>
      <c r="E313" s="53" t="s">
        <v>65</v>
      </c>
      <c r="F313" s="144" t="str">
        <f>IFERROR(SUMIFS(
INDEX(Input_TUNet_Actual[[F-PreviousVDO_Input]:[F-PreviousVDO_Input2]],0,MATCH(TUNet_Usage_Actual_2[[#This Row],[VDO decision]],Input_TUNet_Actual[[#Headers],[F-PreviousVDO_Input]:[F-PreviousVDO_Input2]],0)),
Input_TUNet_Actual[Customer type],Calc_TU_values!E313,Input_TUNet_Actual[Item],Calc_TU_values!C313),"-")</f>
        <v>-</v>
      </c>
    </row>
    <row r="314" spans="2:18" hidden="1" outlineLevel="1">
      <c r="B314"/>
      <c r="C314" s="20" t="s">
        <v>213</v>
      </c>
      <c r="D314" s="75" t="str">
        <f>INDEX(Inputs!$H$10:$U$10,1,MATCH($D$235,Inputs!$H$8:$U$8,0))</f>
        <v>F-CurrentVDO_Input</v>
      </c>
      <c r="E314" s="53" t="s">
        <v>65</v>
      </c>
      <c r="F314" s="144" t="str">
        <f>IFERROR(SUMIFS(
INDEX(Input_TUNet_Actual[[F-PreviousVDO_Input]:[F-PreviousVDO_Input2]],0,MATCH(TUNet_Usage_Actual_2[[#This Row],[VDO decision]],Input_TUNet_Actual[[#Headers],[F-PreviousVDO_Input]:[F-PreviousVDO_Input2]],0)),
Input_TUNet_Actual[Customer type],Calc_TU_values!E314,Input_TUNet_Actual[Item],Calc_TU_values!C314),"-")</f>
        <v>-</v>
      </c>
    </row>
    <row r="315" spans="2:18" hidden="1" outlineLevel="1">
      <c r="B315"/>
      <c r="C315" s="53" t="s">
        <v>214</v>
      </c>
      <c r="D315" s="75" t="str">
        <f>INDEX(Inputs!$H$10:$U$10,1,MATCH($D$235,Inputs!$H$8:$U$8,0))</f>
        <v>F-CurrentVDO_Input</v>
      </c>
      <c r="E315" s="53" t="s">
        <v>65</v>
      </c>
      <c r="F315" s="145" t="str">
        <f>IFERROR(F313/F314,"-")</f>
        <v>-</v>
      </c>
    </row>
    <row r="316" spans="2:18" hidden="1" outlineLevel="1">
      <c r="B316"/>
      <c r="C316" s="53" t="s">
        <v>212</v>
      </c>
      <c r="D316" s="75" t="str">
        <f>INDEX(Inputs!$H$10:$U$10,1,MATCH($D$235,Inputs!$H$8:$U$8,0))</f>
        <v>F-CurrentVDO_Input</v>
      </c>
      <c r="E316" s="53" t="s">
        <v>66</v>
      </c>
      <c r="F316" s="144" t="str">
        <f>IFERROR(SUMIFS(
INDEX(Input_TUNet_Actual[[F-PreviousVDO_Input]:[F-PreviousVDO_Input2]],0,MATCH(TUNet_Usage_Actual_2[[#This Row],[VDO decision]],Input_TUNet_Actual[[#Headers],[F-PreviousVDO_Input]:[F-PreviousVDO_Input2]],0)),
Input_TUNet_Actual[Customer type],Calc_TU_values!E316,Input_TUNet_Actual[Item],Calc_TU_values!C316),"-")</f>
        <v>-</v>
      </c>
    </row>
    <row r="317" spans="2:18" hidden="1" outlineLevel="1">
      <c r="B317"/>
      <c r="C317" s="20" t="s">
        <v>213</v>
      </c>
      <c r="D317" s="75" t="str">
        <f>INDEX(Inputs!$H$10:$U$10,1,MATCH($D$235,Inputs!$H$8:$U$8,0))</f>
        <v>F-CurrentVDO_Input</v>
      </c>
      <c r="E317" s="53" t="s">
        <v>66</v>
      </c>
      <c r="F317" s="144" t="str">
        <f>IFERROR(SUMIFS(
INDEX(Input_TUNet_Actual[[F-PreviousVDO_Input]:[F-PreviousVDO_Input2]],0,MATCH(TUNet_Usage_Actual_2[[#This Row],[VDO decision]],Input_TUNet_Actual[[#Headers],[F-PreviousVDO_Input]:[F-PreviousVDO_Input2]],0)),
Input_TUNet_Actual[Customer type],Calc_TU_values!E317,Input_TUNet_Actual[Item],Calc_TU_values!C317),"-")</f>
        <v>-</v>
      </c>
    </row>
    <row r="318" spans="2:18" hidden="1" outlineLevel="1">
      <c r="B318"/>
      <c r="C318" s="53" t="s">
        <v>214</v>
      </c>
      <c r="D318" s="75" t="str">
        <f>INDEX(Inputs!$H$10:$U$10,1,MATCH($D$235,Inputs!$H$8:$U$8,0))</f>
        <v>F-CurrentVDO_Input</v>
      </c>
      <c r="E318" s="146" t="s">
        <v>66</v>
      </c>
      <c r="F318" s="145" t="str">
        <f>IFERROR(F316/F317,"-")</f>
        <v>-</v>
      </c>
    </row>
    <row r="319" spans="2:18" hidden="1" outlineLevel="1">
      <c r="B319"/>
      <c r="C319" s="146" t="s">
        <v>215</v>
      </c>
      <c r="D319" s="75" t="str">
        <f>INDEX(Inputs!$H$10:$U$10,1,MATCH($D$235,Inputs!$H$8:$U$8,0))</f>
        <v>F-CurrentVDO_Input</v>
      </c>
      <c r="E319" s="53" t="s">
        <v>65</v>
      </c>
      <c r="F319" s="202" t="str">
        <f>IFERROR(SUMIFS(
INDEX(Input_TUNet_Actual[[F-PreviousVDO_Input]:[F-PreviousVDO_Input2]],0,MATCH(TUNet_Usage_Actual_2[[#This Row],[VDO decision]],Input_TUNet_Actual[[#Headers],[F-PreviousVDO_Input]:[F-PreviousVDO_Input2]],0)),
Input_TUNet_Actual[Item],"Total usage - Controlled load",Input_TUNet_Actual[Customer type],TUNet_Usage_Actual_2[[#This Row],[Customer type]],Input_TUNet_Actual[Month],"July 2020 to August 2020")
/SUMIFS(
INDEX(Input_TUNet_Actual[[F-PreviousVDO_Input]:[F-PreviousVDO_Input2]],0,MATCH(TUNet_Usage_Actual_2[[#This Row],[VDO decision]],Input_TUNet_Actual[[#Headers],[F-PreviousVDO_Input]:[F-PreviousVDO_Input2]],0)),
Input_TUNet_Actual[Item],"Total usage - Controlled load",Input_TUNet_Actual[Customer type],TUNet_Usage_Actual_2[[#This Row],[Customer type]],Input_TUNet_Actual[Month],"July 2020 to June 2021"),"-")</f>
        <v>-</v>
      </c>
    </row>
    <row r="320" spans="2:18" hidden="1" outlineLevel="1">
      <c r="B320"/>
    </row>
    <row r="321" spans="2:15" ht="15.5" hidden="1" outlineLevel="1">
      <c r="B321"/>
      <c r="C321" s="26" t="s">
        <v>253</v>
      </c>
    </row>
    <row r="322" spans="2:15" ht="15.5" hidden="1" outlineLevel="1">
      <c r="B322"/>
      <c r="C322" s="39" t="s">
        <v>6</v>
      </c>
      <c r="D322" s="39" t="s">
        <v>31</v>
      </c>
      <c r="E322" s="39" t="s">
        <v>57</v>
      </c>
      <c r="F322" s="39" t="s">
        <v>58</v>
      </c>
      <c r="G322" s="54" t="s">
        <v>59</v>
      </c>
      <c r="H322" s="54" t="s">
        <v>60</v>
      </c>
      <c r="I322" s="54" t="s">
        <v>61</v>
      </c>
      <c r="J322" s="54" t="s">
        <v>62</v>
      </c>
    </row>
    <row r="323" spans="2:15" hidden="1" outlineLevel="1">
      <c r="B323"/>
      <c r="C323" s="53" t="s">
        <v>217</v>
      </c>
      <c r="D323" s="75" t="str">
        <f>INDEX(Inputs!$H$10:$U$10,1,MATCH($D$235,Inputs!$H$8:$U$8,0))</f>
        <v>F-CurrentVDO_Input</v>
      </c>
      <c r="E323" s="53" t="s">
        <v>65</v>
      </c>
      <c r="F323" s="148" t="str">
        <f>IFERROR(IF(SUMIFS(
INDEX(Input_TUNet_Actual[[F-PreviousVDO_Input]:[F-PreviousVDO_Input2]],0,MATCH(TUNet_Usage_PerRate_2[[#This Row],[VDO decision]],Input_TUNet_Actual[[#Headers],[F-PreviousVDO_Input]:[F-PreviousVDO_Input2]],0)),
Input_TUNet_Actual[Customer type],$E323,Input_TUNet_Actual[Item],$C323&amp;" - "&amp;F$322)=0,"-",MIN(SUMIFS(TUNet_Usage_Actual_2[Value],TUNet_Usage_Actual_2[Customer type],$E323,TUNet_Usage_Actual_2[Description],"Usage per customer"),SUMIFS(
INDEX(Input_TUNet_Actual[[F-PreviousVDO_Input]:[F-PreviousVDO_Input2]],0,MATCH(TUNet_Usage_PerRate_2[[#This Row],[VDO decision]],Input_TUNet_Actual[[#Headers],[F-PreviousVDO_Input]:[F-PreviousVDO_Input2]],0)),
Input_TUNet_Actual[Customer type],$E323,Input_TUNet_Actual[Item],$C323&amp;" - "&amp;F$322))),"-")</f>
        <v>-</v>
      </c>
      <c r="G323" s="148" t="str">
        <f>IFERROR(IF(SUMIFS(
INDEX(Input_TUNet_Actual[[F-PreviousVDO_Input]:[F-PreviousVDO_Input2]],0,MATCH(TUNet_Usage_PerRate_2[[#This Row],[Customer type]],Input_TUNet_Actual[[#Headers],[F-PreviousVDO_Input]:[F-PreviousVDO_Input2]],0)),
Input_TUNet_Actual[Unit],$E323,Input_TUNet_Actual[Month],$C323&amp;" - "&amp;G$322)=0,"-",MIN(SUMIFS(TUNet_Usage_Actual_2[Description],TUNet_Usage_Actual_2[Value],$E323,TUNet_Usage_Actual_2[VDO decision],"Usage per customer"),SUMIFS(
INDEX(Input_TUNet_Actual[[F-PreviousVDO_Input]:[F-PreviousVDO_Input2]],0,MATCH(TUNet_Usage_PerRate_2[[#This Row],[Customer type]],Input_TUNet_Actual[[#Headers],[F-PreviousVDO_Input]:[F-PreviousVDO_Input2]],0)),
Input_TUNet_Actual[Unit],$E323,Input_TUNet_Actual[Month],$C323&amp;" - "&amp;G$322))),"-")</f>
        <v>-</v>
      </c>
      <c r="H323" s="148" t="str">
        <f>IFERROR(IF(SUMIFS(
INDEX(Input_TUNet_Actual[[F-PreviousVDO_Input]:[F-PreviousVDO_Input2]],0,MATCH(TUNet_Usage_PerRate_2[[#This Row],[Ausnet]],Input_TUNet_Actual[[#Headers],[F-PreviousVDO_Input]:[F-PreviousVDO_Input2]],0)),
Input_TUNet_Actual[F-PreviousVDO_Input],$E323,Input_TUNet_Actual[Customer type],$C323&amp;" - "&amp;H$322)=0,"-",MIN(SUMIFS(TUNet_Usage_Actual_2[VDO decision],TUNet_Usage_Actual_2[Description],$E323,TUNet_Usage_Actual_2[Customer type],"Usage per customer"),SUMIFS(
INDEX(Input_TUNet_Actual[[F-PreviousVDO_Input]:[F-PreviousVDO_Input2]],0,MATCH(TUNet_Usage_PerRate_2[[#This Row],[Ausnet]],Input_TUNet_Actual[[#Headers],[F-PreviousVDO_Input]:[F-PreviousVDO_Input2]],0)),
Input_TUNet_Actual[F-PreviousVDO_Input],$E323,Input_TUNet_Actual[Customer type],$C323&amp;" - "&amp;H$322))),"-")</f>
        <v>-</v>
      </c>
      <c r="I323" s="148" t="str">
        <f>IFERROR(IF(SUMIFS(
INDEX(Input_TUNet_Actual[[F-PreviousVDO_Input]:[F-PreviousVDO_Input2]],0,MATCH(TUNet_Usage_PerRate_2[[#This Row],[Citipower]],Input_TUNet_Actual[[#Headers],[F-PreviousVDO_Input]:[F-PreviousVDO_Input2]],0)),
Input_TUNet_Actual[VD-PreviousVDO_Input],$E323,Input_TUNet_Actual[Unit],$C323&amp;" - "&amp;I$322)=0,"-",MIN(SUMIFS(TUNet_Usage_Actual_2[Customer type],TUNet_Usage_Actual_2[VDO decision],$E323,TUNet_Usage_Actual_2[Value],"Usage per customer"),SUMIFS(
INDEX(Input_TUNet_Actual[[F-PreviousVDO_Input]:[F-PreviousVDO_Input2]],0,MATCH(TUNet_Usage_PerRate_2[[#This Row],[Citipower]],Input_TUNet_Actual[[#Headers],[F-PreviousVDO_Input]:[F-PreviousVDO_Input2]],0)),
Input_TUNet_Actual[VD-PreviousVDO_Input],$E323,Input_TUNet_Actual[Unit],$C323&amp;" - "&amp;I$322))),"-")</f>
        <v>-</v>
      </c>
      <c r="J323" s="148" t="str">
        <f>IFERROR(IF(SUMIFS(
INDEX(Input_TUNet_Actual[[F-PreviousVDO_Input]:[F-PreviousVDO_Input2]],0,MATCH(TUNet_Usage_PerRate_2[[#This Row],[Jemena]],Input_TUNet_Actual[[#Headers],[F-PreviousVDO_Input]:[F-PreviousVDO_Input2]],0)),
Input_TUNet_Actual[VF-PreviousVDO_Input],$E323,Input_TUNet_Actual[F-PreviousVDO_Input],$C323&amp;" - "&amp;J$322)=0,"-",MIN(SUMIFS(TUNet_Usage_Actual_2[Value],TUNet_Usage_Actual_2[Customer type],$E323,TUNet_Usage_Actual_2[Description],"Usage per customer"),SUMIFS(
INDEX(Input_TUNet_Actual[[F-PreviousVDO_Input]:[F-PreviousVDO_Input2]],0,MATCH(TUNet_Usage_PerRate_2[[#This Row],[Jemena]],Input_TUNet_Actual[[#Headers],[F-PreviousVDO_Input]:[F-PreviousVDO_Input2]],0)),
Input_TUNet_Actual[VF-PreviousVDO_Input],$E323,Input_TUNet_Actual[F-PreviousVDO_Input],$C323&amp;" - "&amp;J$322))),"-")</f>
        <v>-</v>
      </c>
    </row>
    <row r="324" spans="2:15" hidden="1" outlineLevel="1">
      <c r="B324"/>
      <c r="C324" s="53" t="s">
        <v>217</v>
      </c>
      <c r="D324" s="75" t="str">
        <f>INDEX(Inputs!$H$10:$U$10,1,MATCH($D$235,Inputs!$H$8:$U$8,0))</f>
        <v>F-CurrentVDO_Input</v>
      </c>
      <c r="E324" s="53" t="s">
        <v>66</v>
      </c>
      <c r="F324" s="148" t="str">
        <f>IFERROR(IF(SUMIFS(
INDEX(Input_TUNet_Actual[[F-PreviousVDO_Input]:[F-PreviousVDO_Input2]],0,MATCH(TUNet_Usage_PerRate_2[[#This Row],[VDO decision]],Input_TUNet_Actual[[#Headers],[F-PreviousVDO_Input]:[F-PreviousVDO_Input2]],0)),
Input_TUNet_Actual[Customer type],$E324,Input_TUNet_Actual[Item],$C324&amp;" - "&amp;F$322)=0,"-",MIN(SUMIFS(TUNet_Usage_Actual_2[Value],TUNet_Usage_Actual_2[Customer type],$E324,TUNet_Usage_Actual_2[Description],"Usage per customer"),SUMIFS(
INDEX(Input_TUNet_Actual[[F-PreviousVDO_Input]:[F-PreviousVDO_Input2]],0,MATCH(TUNet_Usage_PerRate_2[[#This Row],[VDO decision]],Input_TUNet_Actual[[#Headers],[F-PreviousVDO_Input]:[F-PreviousVDO_Input2]],0)),
Input_TUNet_Actual[Customer type],$E324,Input_TUNet_Actual[Item],$C324&amp;" - "&amp;F$322))),"-")</f>
        <v>-</v>
      </c>
      <c r="G324" s="148" t="str">
        <f>IFERROR(IF(SUMIFS(
INDEX(Input_TUNet_Actual[[F-PreviousVDO_Input]:[F-PreviousVDO_Input2]],0,MATCH(TUNet_Usage_PerRate_2[[#This Row],[Customer type]],Input_TUNet_Actual[[#Headers],[F-PreviousVDO_Input]:[F-PreviousVDO_Input2]],0)),
Input_TUNet_Actual[Unit],$E324,Input_TUNet_Actual[Month],$C324&amp;" - "&amp;G$322)=0,"-",MIN(SUMIFS(TUNet_Usage_Actual_2[Description],TUNet_Usage_Actual_2[Value],$E324,TUNet_Usage_Actual_2[VDO decision],"Usage per customer"),SUMIFS(
INDEX(Input_TUNet_Actual[[F-PreviousVDO_Input]:[F-PreviousVDO_Input2]],0,MATCH(TUNet_Usage_PerRate_2[[#This Row],[Customer type]],Input_TUNet_Actual[[#Headers],[F-PreviousVDO_Input]:[F-PreviousVDO_Input2]],0)),
Input_TUNet_Actual[Unit],$E324,Input_TUNet_Actual[Month],$C324&amp;" - "&amp;G$322))),"-")</f>
        <v>-</v>
      </c>
      <c r="H324" s="148" t="str">
        <f>IFERROR(IF(SUMIFS(
INDEX(Input_TUNet_Actual[[F-PreviousVDO_Input]:[F-PreviousVDO_Input2]],0,MATCH(TUNet_Usage_PerRate_2[[#This Row],[Ausnet]],Input_TUNet_Actual[[#Headers],[F-PreviousVDO_Input]:[F-PreviousVDO_Input2]],0)),
Input_TUNet_Actual[F-PreviousVDO_Input],$E324,Input_TUNet_Actual[Customer type],$C324&amp;" - "&amp;H$322)=0,"-",MIN(SUMIFS(TUNet_Usage_Actual_2[VDO decision],TUNet_Usage_Actual_2[Description],$E324,TUNet_Usage_Actual_2[Customer type],"Usage per customer"),SUMIFS(
INDEX(Input_TUNet_Actual[[F-PreviousVDO_Input]:[F-PreviousVDO_Input2]],0,MATCH(TUNet_Usage_PerRate_2[[#This Row],[Ausnet]],Input_TUNet_Actual[[#Headers],[F-PreviousVDO_Input]:[F-PreviousVDO_Input2]],0)),
Input_TUNet_Actual[F-PreviousVDO_Input],$E324,Input_TUNet_Actual[Customer type],$C324&amp;" - "&amp;H$322))),"-")</f>
        <v>-</v>
      </c>
      <c r="I324" s="148" t="str">
        <f>IFERROR(IF(SUMIFS(
INDEX(Input_TUNet_Actual[[F-PreviousVDO_Input]:[F-PreviousVDO_Input2]],0,MATCH(TUNet_Usage_PerRate_2[[#This Row],[Citipower]],Input_TUNet_Actual[[#Headers],[F-PreviousVDO_Input]:[F-PreviousVDO_Input2]],0)),
Input_TUNet_Actual[VD-PreviousVDO_Input],$E324,Input_TUNet_Actual[Unit],$C324&amp;" - "&amp;I$322)=0,"-",MIN(SUMIFS(TUNet_Usage_Actual_2[Customer type],TUNet_Usage_Actual_2[VDO decision],$E324,TUNet_Usage_Actual_2[Value],"Usage per customer"),SUMIFS(
INDEX(Input_TUNet_Actual[[F-PreviousVDO_Input]:[F-PreviousVDO_Input2]],0,MATCH(TUNet_Usage_PerRate_2[[#This Row],[Citipower]],Input_TUNet_Actual[[#Headers],[F-PreviousVDO_Input]:[F-PreviousVDO_Input2]],0)),
Input_TUNet_Actual[VD-PreviousVDO_Input],$E324,Input_TUNet_Actual[Unit],$C324&amp;" - "&amp;I$322))),"-")</f>
        <v>-</v>
      </c>
      <c r="J324" s="148" t="str">
        <f>IFERROR(IF(SUMIFS(
INDEX(Input_TUNet_Actual[[F-PreviousVDO_Input]:[F-PreviousVDO_Input2]],0,MATCH(TUNet_Usage_PerRate_2[[#This Row],[Jemena]],Input_TUNet_Actual[[#Headers],[F-PreviousVDO_Input]:[F-PreviousVDO_Input2]],0)),
Input_TUNet_Actual[VF-PreviousVDO_Input],$E324,Input_TUNet_Actual[F-PreviousVDO_Input],$C324&amp;" - "&amp;J$322)=0,"-",MIN(SUMIFS(TUNet_Usage_Actual_2[Value],TUNet_Usage_Actual_2[Customer type],$E324,TUNet_Usage_Actual_2[Description],"Usage per customer"),SUMIFS(
INDEX(Input_TUNet_Actual[[F-PreviousVDO_Input]:[F-PreviousVDO_Input2]],0,MATCH(TUNet_Usage_PerRate_2[[#This Row],[Jemena]],Input_TUNet_Actual[[#Headers],[F-PreviousVDO_Input]:[F-PreviousVDO_Input2]],0)),
Input_TUNet_Actual[VF-PreviousVDO_Input],$E324,Input_TUNet_Actual[F-PreviousVDO_Input],$C324&amp;" - "&amp;J$322))),"-")</f>
        <v>-</v>
      </c>
    </row>
    <row r="325" spans="2:15" hidden="1" outlineLevel="1">
      <c r="B325"/>
      <c r="C325" s="146" t="s">
        <v>218</v>
      </c>
      <c r="D325" s="147" t="str">
        <f>INDEX(Inputs!$H$10:$U$10,1,MATCH($D$235,Inputs!$H$8:$U$8,0))</f>
        <v>F-CurrentVDO_Input</v>
      </c>
      <c r="E325" s="53" t="s">
        <v>65</v>
      </c>
      <c r="F325" s="148" t="str">
        <f>IFERROR(IF(SUMIFS(F$323:F$324,$E$323:$E$324,$E325,$C$323:$C$324,"Usage per customer - Block 1")=0,"-",SUMIFS(TUNet_Usage_Actual_2[Value],TUNet_Usage_Actual_2[Customer type],$E325,TUNet_Usage_Actual_2[Description],"Usage per customer")-SUMIFS(F$323:F$324,$E$323:$E$324,$E325,$C$323:$C$324,"Usage per customer - Block 1")),"-")</f>
        <v>-</v>
      </c>
      <c r="G325" s="148" t="str">
        <f>IFERROR(IF(SUMIFS(G$323:G$324,$E$323:$E$324,$E325,$C$323:$C$324,"Usage per customer - Block 1")=0,"-",SUMIFS(TUNet_Usage_Actual_2[Description],TUNet_Usage_Actual_2[Value],$E325,TUNet_Usage_Actual_2[VDO decision],"Usage per customer")-SUMIFS(G$323:G$324,$E$323:$E$324,$E325,$C$323:$C$324,"Usage per customer - Block 1")),"-")</f>
        <v>-</v>
      </c>
      <c r="H325" s="148" t="str">
        <f>IFERROR(IF(SUMIFS(H$323:H$324,$E$323:$E$324,$E325,$C$323:$C$324,"Usage per customer - Block 1")=0,"-",SUMIFS(TUNet_Usage_Actual_2[VDO decision],TUNet_Usage_Actual_2[Description],$E325,TUNet_Usage_Actual_2[Customer type],"Usage per customer")-SUMIFS(H$323:H$324,$E$323:$E$324,$E325,$C$323:$C$324,"Usage per customer - Block 1")),"-")</f>
        <v>-</v>
      </c>
      <c r="I325" s="148" t="str">
        <f>IFERROR(IF(SUMIFS(I$323:I$324,$E$323:$E$324,$E325,$C$323:$C$324,"Usage per customer - Block 1")=0,"-",SUMIFS(TUNet_Usage_Actual_2[Customer type],TUNet_Usage_Actual_2[VDO decision],$E325,TUNet_Usage_Actual_2[Value],"Usage per customer")-SUMIFS(I$323:I$324,$E$323:$E$324,$E325,$C$323:$C$324,"Usage per customer - Block 1")),"-")</f>
        <v>-</v>
      </c>
      <c r="J325" s="148" t="str">
        <f>IFERROR(IF(SUMIFS(J$323:J$324,$E$323:$E$324,$E325,$C$323:$C$324,"Usage per customer - Block 1")=0,"-",SUMIFS(TUNet_Usage_Actual_2[Value],TUNet_Usage_Actual_2[Customer type],$E325,TUNet_Usage_Actual_2[Description],"Usage per customer")-SUMIFS(J$323:J$324,$E$323:$E$324,$E325,$C$323:$C$324,"Usage per customer - Block 1")),"-")</f>
        <v>-</v>
      </c>
    </row>
    <row r="326" spans="2:15" hidden="1" outlineLevel="1">
      <c r="B326"/>
      <c r="C326" s="146" t="s">
        <v>218</v>
      </c>
      <c r="D326" s="147" t="str">
        <f>INDEX(Inputs!$H$10:$U$10,1,MATCH($D$235,Inputs!$H$8:$U$8,0))</f>
        <v>F-CurrentVDO_Input</v>
      </c>
      <c r="E326" s="53" t="s">
        <v>66</v>
      </c>
      <c r="F326" s="148" t="str">
        <f>IFERROR(IF(SUMIFS(F$323:F$324,$E$323:$E$324,$E326,$C$323:$C$327,"Usage per customer - Block 1")=0,"-",SUMIFS(TUNet_Usage_Actual_2[Value],TUNet_Usage_Actual_2[Customer type],$E326,TUNet_Usage_Actual_2[Description],"Usage per customer")-SUMIFS(F$323:F$324,$E$323:$E$324,$E326,$C$323:$C$324,"Usage per customer - Block 1")),"-")</f>
        <v>-</v>
      </c>
      <c r="G326" s="148" t="str">
        <f>IFERROR(IF(SUMIFS(G$323:G$324,$E$323:$E$324,$E326,$C$323:$C$324,"Usage per customer - Block 1")=0,"-",SUMIFS(TUNet_Usage_Actual_2[Description],TUNet_Usage_Actual_2[Value],$E326,TUNet_Usage_Actual_2[VDO decision],"Usage per customer")-SUMIFS(G$323:G$324,$E$323:$E$324,$E326,$C$323:$C$324,"Usage per customer - Block 1")),"-")</f>
        <v>-</v>
      </c>
      <c r="H326" s="148" t="str">
        <f>IFERROR(IF(SUMIFS(H$323:H$324,$E$323:$E$324,$E326,$C$323:$C$324,"Usage per customer - Block 1")=0,"-",SUMIFS(TUNet_Usage_Actual_2[VDO decision],TUNet_Usage_Actual_2[Description],$E326,TUNet_Usage_Actual_2[Customer type],"Usage per customer")-SUMIFS(H$323:H$324,$E$323:$E$324,$E326,$C$323:$C$324,"Usage per customer - Block 1")),"-")</f>
        <v>-</v>
      </c>
      <c r="I326" s="148" t="str">
        <f>IFERROR(IF(SUMIFS(I$323:I$324,$E$323:$E$324,$E326,$C$323:$C$324,"Usage per customer - Block 1")=0,"-",SUMIFS(TUNet_Usage_Actual_2[Customer type],TUNet_Usage_Actual_2[VDO decision],$E326,TUNet_Usage_Actual_2[Value],"Usage per customer")-SUMIFS(I$323:I$324,$E$323:$E$324,$E326,$C$323:$C$324,"Usage per customer - Block 1")),"-")</f>
        <v>-</v>
      </c>
      <c r="J326" s="148" t="str">
        <f>IFERROR(IF(SUMIFS(J$323:J$324,$E$323:$E$324,$E326,$C$323:$C$324,"Usage per customer - Block 1")=0,"-",SUMIFS(TUNet_Usage_Actual_2[Value],TUNet_Usage_Actual_2[Customer type],$E326,TUNet_Usage_Actual_2[Description],"Usage per customer")-SUMIFS(J$323:J$324,$E$323:$E$324,$E326,$C$323:$C$324,"Usage per customer - Block 1")),"-")</f>
        <v>-</v>
      </c>
    </row>
    <row r="327" spans="2:15" hidden="1" outlineLevel="1">
      <c r="B327"/>
      <c r="C327" s="146" t="s">
        <v>219</v>
      </c>
      <c r="D327" s="147" t="str">
        <f>INDEX(Inputs!$H$10:$U$10,1,MATCH($D$235,Inputs!$H$8:$U$8,0))</f>
        <v>F-CurrentVDO_Input</v>
      </c>
      <c r="E327" s="53" t="s">
        <v>65</v>
      </c>
      <c r="F327" s="148" t="str">
        <f>IFERROR(IF(SUMIFS(
INDEX(Input_TUNet_Actual[[F-PreviousVDO_Input]:[F-PreviousVDO_Input2]],0,MATCH(TUNet_Usage_PerRate_2[[#This Row],[VDO decision]],Input_TUNet_Actual[[#Headers],[F-PreviousVDO_Input]:[F-PreviousVDO_Input2]],0)),
Input_TUNet_Actual[Customer type],$E327,Input_TUNet_Actual[Item],"Usage per customer - Block 1 - "&amp;F$322)=0,SUMIFS(TUNet_Usage_Actual_2[Value],TUNet_Usage_Actual_2[Customer type],$E327,TUNet_Usage_Actual_2[Description],"Usage per customer"),"-"),"-")</f>
        <v>-</v>
      </c>
      <c r="G327" s="148" t="str">
        <f>IFERROR(IF(SUMIFS(
INDEX(Input_TUNet_Actual[[F-PreviousVDO_Input]:[F-PreviousVDO_Input2]],0,MATCH(TUNet_Usage_PerRate_2[[#This Row],[VDO decision]],Input_TUNet_Actual[[#Headers],[F-PreviousVDO_Input]:[F-PreviousVDO_Input2]],0)),
Input_TUNet_Actual[Customer type],$E327,Input_TUNet_Actual[Item],"Usage per customer - Block 1 - "&amp;G$322)=0,SUMIFS(TUNet_Usage_Actual_2[Value],TUNet_Usage_Actual_2[Customer type],$E327,TUNet_Usage_Actual_2[Description],"Usage per customer"),"-"),"-")</f>
        <v>-</v>
      </c>
      <c r="H327" s="148" t="str">
        <f>IFERROR(IF(SUMIFS(
INDEX(Input_TUNet_Actual[[F-PreviousVDO_Input]:[F-PreviousVDO_Input2]],0,MATCH(TUNet_Usage_PerRate_2[[#This Row],[VDO decision]],Input_TUNet_Actual[[#Headers],[F-PreviousVDO_Input]:[F-PreviousVDO_Input2]],0)),
Input_TUNet_Actual[Customer type],$E327,Input_TUNet_Actual[Item],"Usage per customer - Block 1 - "&amp;H$322)=0,SUMIFS(TUNet_Usage_Actual_2[Value],TUNet_Usage_Actual_2[Customer type],$E327,TUNet_Usage_Actual_2[Description],"Usage per customer"),"-"),"-")</f>
        <v>-</v>
      </c>
      <c r="I327" s="148" t="str">
        <f>IFERROR(IF(SUMIFS(
INDEX(Input_TUNet_Actual[[F-PreviousVDO_Input]:[F-PreviousVDO_Input2]],0,MATCH(TUNet_Usage_PerRate_2[[#This Row],[VDO decision]],Input_TUNet_Actual[[#Headers],[F-PreviousVDO_Input]:[F-PreviousVDO_Input2]],0)),
Input_TUNet_Actual[Customer type],$E327,Input_TUNet_Actual[Item],"Usage per customer - Block 1 - "&amp;I$322)=0,SUMIFS(TUNet_Usage_Actual_2[Value],TUNet_Usage_Actual_2[Customer type],$E327,TUNet_Usage_Actual_2[Description],"Usage per customer"),"-"),"-")</f>
        <v>-</v>
      </c>
      <c r="J327" s="148" t="str">
        <f>IFERROR(IF(SUMIFS(
INDEX(Input_TUNet_Actual[[F-PreviousVDO_Input]:[F-PreviousVDO_Input2]],0,MATCH(TUNet_Usage_PerRate_2[[#This Row],[VDO decision]],Input_TUNet_Actual[[#Headers],[F-PreviousVDO_Input]:[F-PreviousVDO_Input2]],0)),
Input_TUNet_Actual[Customer type],$E327,Input_TUNet_Actual[Item],"Usage per customer - Block 1 - "&amp;J$322)=0,SUMIFS(TUNet_Usage_Actual_2[Value],TUNet_Usage_Actual_2[Customer type],$E327,TUNet_Usage_Actual_2[Description],"Usage per customer"),"-"),"-")</f>
        <v>-</v>
      </c>
    </row>
    <row r="328" spans="2:15" hidden="1" outlineLevel="1">
      <c r="B328"/>
      <c r="C328" s="53" t="s">
        <v>219</v>
      </c>
      <c r="D328" s="147" t="str">
        <f>INDEX(Inputs!$H$10:$U$10,1,MATCH($D$235,Inputs!$H$8:$U$8,0))</f>
        <v>F-CurrentVDO_Input</v>
      </c>
      <c r="E328" s="53" t="s">
        <v>66</v>
      </c>
      <c r="F328" s="148" t="str">
        <f>IFERROR(IF(SUMIFS(
INDEX(Input_TUNet_Actual[[F-PreviousVDO_Input]:[F-PreviousVDO_Input2]],0,MATCH(TUNet_Usage_PerRate_2[[#This Row],[VDO decision]],Input_TUNet_Actual[[#Headers],[F-PreviousVDO_Input]:[F-PreviousVDO_Input2]],0)),
Input_TUNet_Actual[Customer type],$E328,Input_TUNet_Actual[Item],"Usage per customer - Block 1 - "&amp;F$322)=0,SUMIFS(TUNet_Usage_Actual_2[Value],TUNet_Usage_Actual_2[Customer type],$E328,TUNet_Usage_Actual_2[Description],"Usage per customer"),"-"),"-")</f>
        <v>-</v>
      </c>
      <c r="G328" s="148" t="str">
        <f>IFERROR(IF(SUMIFS(
INDEX(Input_TUNet_Actual[[F-PreviousVDO_Input]:[F-PreviousVDO_Input2]],0,MATCH(TUNet_Usage_PerRate_2[[#This Row],[VDO decision]],Input_TUNet_Actual[[#Headers],[F-PreviousVDO_Input]:[F-PreviousVDO_Input2]],0)),
Input_TUNet_Actual[Customer type],$E328,Input_TUNet_Actual[Item],"Usage per customer - Block 1 - "&amp;G$322)=0,SUMIFS(TUNet_Usage_Actual_2[Value],TUNet_Usage_Actual_2[Customer type],$E328,TUNet_Usage_Actual_2[Description],"Usage per customer"),"-"),"-")</f>
        <v>-</v>
      </c>
      <c r="H328" s="148" t="str">
        <f>IFERROR(IF(SUMIFS(
INDEX(Input_TUNet_Actual[[F-PreviousVDO_Input]:[F-PreviousVDO_Input2]],0,MATCH(TUNet_Usage_PerRate_2[[#This Row],[VDO decision]],Input_TUNet_Actual[[#Headers],[F-PreviousVDO_Input]:[F-PreviousVDO_Input2]],0)),
Input_TUNet_Actual[Customer type],$E328,Input_TUNet_Actual[Item],"Usage per customer - Block 1 - "&amp;H$322)=0,SUMIFS(TUNet_Usage_Actual_2[Value],TUNet_Usage_Actual_2[Customer type],$E328,TUNet_Usage_Actual_2[Description],"Usage per customer"),"-"),"-")</f>
        <v>-</v>
      </c>
      <c r="I328" s="148" t="str">
        <f>IFERROR(IF(SUMIFS(
INDEX(Input_TUNet_Actual[[F-PreviousVDO_Input]:[F-PreviousVDO_Input2]],0,MATCH(TUNet_Usage_PerRate_2[[#This Row],[VDO decision]],Input_TUNet_Actual[[#Headers],[F-PreviousVDO_Input]:[F-PreviousVDO_Input2]],0)),
Input_TUNet_Actual[Customer type],$E328,Input_TUNet_Actual[Item],"Usage per customer - Block 1 - "&amp;I$322)=0,SUMIFS(TUNet_Usage_Actual_2[Value],TUNet_Usage_Actual_2[Customer type],$E328,TUNet_Usage_Actual_2[Description],"Usage per customer"),"-"),"-")</f>
        <v>-</v>
      </c>
      <c r="J328" s="148" t="str">
        <f>IFERROR(IF(SUMIFS(
INDEX(Input_TUNet_Actual[[F-PreviousVDO_Input]:[F-PreviousVDO_Input2]],0,MATCH(TUNet_Usage_PerRate_2[[#This Row],[VDO decision]],Input_TUNet_Actual[[#Headers],[F-PreviousVDO_Input]:[F-PreviousVDO_Input2]],0)),
Input_TUNet_Actual[Customer type],$E328,Input_TUNet_Actual[Item],"Usage per customer - Block 1 - "&amp;J$322)=0,SUMIFS(TUNet_Usage_Actual_2[Value],TUNet_Usage_Actual_2[Customer type],$E328,TUNet_Usage_Actual_2[Description],"Usage per customer"),"-"),"-")</f>
        <v>-</v>
      </c>
    </row>
    <row r="329" spans="2:15" hidden="1" outlineLevel="1">
      <c r="B329"/>
      <c r="C329" s="117"/>
      <c r="F329" s="150"/>
    </row>
    <row r="330" spans="2:15" ht="15.5" hidden="1" outlineLevel="1">
      <c r="B330"/>
      <c r="C330" s="26" t="s">
        <v>254</v>
      </c>
    </row>
    <row r="331" spans="2:15" ht="15.5" hidden="1" outlineLevel="1">
      <c r="B331"/>
      <c r="C331" s="39" t="s">
        <v>33</v>
      </c>
      <c r="D331" s="39" t="s">
        <v>31</v>
      </c>
      <c r="E331" s="39" t="s">
        <v>186</v>
      </c>
      <c r="F331" s="39" t="s">
        <v>187</v>
      </c>
      <c r="G331" s="39" t="s">
        <v>188</v>
      </c>
      <c r="H331" s="39" t="s">
        <v>88</v>
      </c>
      <c r="I331" s="39" t="s">
        <v>56</v>
      </c>
      <c r="J331" s="38" t="s">
        <v>57</v>
      </c>
      <c r="K331" s="54" t="s">
        <v>58</v>
      </c>
      <c r="L331" s="54" t="s">
        <v>59</v>
      </c>
      <c r="M331" s="54" t="s">
        <v>60</v>
      </c>
      <c r="N331" s="54" t="s">
        <v>61</v>
      </c>
      <c r="O331" s="54" t="s">
        <v>62</v>
      </c>
    </row>
    <row r="332" spans="2:15" hidden="1" outlineLevel="1">
      <c r="B332"/>
      <c r="C332" s="53"/>
      <c r="D332" s="53"/>
      <c r="E332" s="53"/>
      <c r="F332" s="53"/>
      <c r="G332" s="53"/>
      <c r="H332" s="53"/>
      <c r="I332" s="53"/>
      <c r="J332" s="53"/>
      <c r="K332" s="60"/>
      <c r="L332" s="53"/>
      <c r="M332" s="53"/>
      <c r="N332" s="53"/>
      <c r="O332" s="53"/>
    </row>
    <row r="333" spans="2:15" ht="15.5" hidden="1" outlineLevel="1">
      <c r="B333"/>
      <c r="C333" s="1" t="s">
        <v>202</v>
      </c>
      <c r="D333" s="53"/>
      <c r="E333" s="53"/>
      <c r="F333" s="53"/>
      <c r="G333" s="62" t="s">
        <v>121</v>
      </c>
      <c r="H333" s="53"/>
      <c r="I333" s="53"/>
      <c r="J333" s="53"/>
      <c r="K333" s="60"/>
      <c r="L333" s="53"/>
      <c r="M333" s="53"/>
      <c r="N333" s="53"/>
      <c r="O333" s="53"/>
    </row>
    <row r="334" spans="2:15" hidden="1" outlineLevel="1">
      <c r="C334" s="51" t="s">
        <v>221</v>
      </c>
      <c r="D334" s="51"/>
      <c r="E334" s="51"/>
      <c r="F334" s="51"/>
      <c r="G334" s="62"/>
      <c r="H334" s="62"/>
      <c r="I334" s="20"/>
      <c r="J334" s="20"/>
      <c r="K334" s="59"/>
      <c r="L334" s="20"/>
      <c r="M334" s="20"/>
      <c r="N334" s="20"/>
      <c r="O334" s="20"/>
    </row>
    <row r="335" spans="2:15" hidden="1" outlineLevel="1">
      <c r="C335" s="53" t="s">
        <v>222</v>
      </c>
      <c r="D335" s="75" t="str">
        <f>Calc_TU_values!$D$235</f>
        <v>VDO 2022-23 - Final</v>
      </c>
      <c r="E335" s="20" t="s">
        <v>190</v>
      </c>
      <c r="F335" s="75" t="str">
        <f>INDEX(Inputs!$H$10:$U$10,1,MATCH($D335,Inputs!$H$8:$U$8,0))</f>
        <v>F-CurrentVDO_Input</v>
      </c>
      <c r="G335" s="52"/>
      <c r="H335" s="20" t="s">
        <v>90</v>
      </c>
      <c r="I335" s="20" t="s">
        <v>64</v>
      </c>
      <c r="J335" s="53" t="s">
        <v>65</v>
      </c>
      <c r="K335" s="60" t="str" cm="1">
        <f t="array" ref="K335">IFERROR(INDEX(Input_ForRateCalc[],MATCH($C335&amp;" - "&amp;K$331,Input_ForRateCalc[[Cost item]:[Cost item]],0),MATCH(Calc_TUV_Net_2[[#This Row],[Decision ref]:[Decision ref]],Input_ForRateCalc[#Headers],0))*TUProp_Days_2,"-")</f>
        <v>-</v>
      </c>
      <c r="L335" s="60" t="str" cm="1">
        <f t="array" ref="L335">IFERROR(INDEX(Input_ForRateCalc[],MATCH($C335&amp;" - "&amp;L$331,Input_ForRateCalc[[Cost item]:[Cost item]],0),MATCH(Calc_TUV_Net_2[[#This Row],[Decision ref]:[Decision ref]],Input_ForRateCalc[#Headers],0))*TUProp_Days_2,"-")</f>
        <v>-</v>
      </c>
      <c r="M335" s="60" t="str" cm="1">
        <f t="array" ref="M335">IFERROR(INDEX(Input_ForRateCalc[],MATCH($C335&amp;" - "&amp;M$331,Input_ForRateCalc[[Cost item]:[Cost item]],0),MATCH(Calc_TUV_Net_2[[#This Row],[Decision ref]:[Decision ref]],Input_ForRateCalc[#Headers],0))*TUProp_Days_2,"-")</f>
        <v>-</v>
      </c>
      <c r="N335" s="60" t="str" cm="1">
        <f t="array" ref="N335">IFERROR(INDEX(Input_ForRateCalc[],MATCH($C335&amp;" - "&amp;N$331,Input_ForRateCalc[[Cost item]:[Cost item]],0),MATCH(Calc_TUV_Net_2[[#This Row],[Decision ref]:[Decision ref]],Input_ForRateCalc[#Headers],0))*TUProp_Days_2,"-")</f>
        <v>-</v>
      </c>
      <c r="O335" s="60" t="str" cm="1">
        <f t="array" ref="O335">IFERROR(INDEX(Input_ForRateCalc[],MATCH($C335&amp;" - "&amp;O$331,Input_ForRateCalc[[Cost item]:[Cost item]],0),MATCH(Calc_TUV_Net_2[[#This Row],[Decision ref]:[Decision ref]],Input_ForRateCalc[#Headers],0))*TUProp_Days_2,"-")</f>
        <v>-</v>
      </c>
    </row>
    <row r="336" spans="2:15" hidden="1" outlineLevel="1">
      <c r="C336" s="53" t="s">
        <v>94</v>
      </c>
      <c r="D336" s="75" t="str">
        <f>Calc_TU_values!$D$235</f>
        <v>VDO 2022-23 - Final</v>
      </c>
      <c r="E336" s="20" t="s">
        <v>190</v>
      </c>
      <c r="F336" s="75" t="str">
        <f>INDEX(Inputs!$H$10:$U$10,1,MATCH($D336,Inputs!$H$8:$U$8,0))</f>
        <v>F-CurrentVDO_Input</v>
      </c>
      <c r="G336" s="52"/>
      <c r="H336" s="20" t="s">
        <v>90</v>
      </c>
      <c r="I336" s="20" t="s">
        <v>64</v>
      </c>
      <c r="J336" s="53" t="s">
        <v>65</v>
      </c>
      <c r="K336" s="60" t="str" cm="1">
        <f t="array" ref="K336">IFERROR(INDEX(Input_ForRateCalc[],MATCH($C336&amp;" - "&amp;K$331,Input_ForRateCalc[[Cost item]:[Cost item]],0),MATCH(Calc_TUV_Net_2[[#This Row],[Decision ref]:[Decision ref]],Input_ForRateCalc[#Headers],0))*TUProp_Days_2,"-")</f>
        <v>-</v>
      </c>
      <c r="L336" s="60" t="str" cm="1">
        <f t="array" ref="L336">IFERROR(INDEX(Input_ForRateCalc[],MATCH($C336&amp;" - "&amp;L$331,Input_ForRateCalc[[Cost item]:[Cost item]],0),MATCH(Calc_TUV_Net_2[[#This Row],[Decision ref]:[Decision ref]],Input_ForRateCalc[#Headers],0))*TUProp_Days_2,"-")</f>
        <v>-</v>
      </c>
      <c r="M336" s="60" t="str" cm="1">
        <f t="array" ref="M336">IFERROR(INDEX(Input_ForRateCalc[],MATCH($C336&amp;" - "&amp;M$331,Input_ForRateCalc[[Cost item]:[Cost item]],0),MATCH(Calc_TUV_Net_2[[#This Row],[Decision ref]:[Decision ref]],Input_ForRateCalc[#Headers],0))*TUProp_Days_2,"-")</f>
        <v>-</v>
      </c>
      <c r="N336" s="60" t="str" cm="1">
        <f t="array" ref="N336">IFERROR(INDEX(Input_ForRateCalc[],MATCH($C336&amp;" - "&amp;N$331,Input_ForRateCalc[[Cost item]:[Cost item]],0),MATCH(Calc_TUV_Net_2[[#This Row],[Decision ref]:[Decision ref]],Input_ForRateCalc[#Headers],0))*TUProp_Days_2,"-")</f>
        <v>-</v>
      </c>
      <c r="O336" s="60" t="str" cm="1">
        <f t="array" ref="O336">IFERROR(INDEX(Input_ForRateCalc[],MATCH($C336&amp;" - "&amp;O$331,Input_ForRateCalc[[Cost item]:[Cost item]],0),MATCH(Calc_TUV_Net_2[[#This Row],[Decision ref]:[Decision ref]],Input_ForRateCalc[#Headers],0))*TUProp_Days_2,"-")</f>
        <v>-</v>
      </c>
    </row>
    <row r="337" spans="3:15" hidden="1" outlineLevel="1">
      <c r="C337" s="53" t="s">
        <v>191</v>
      </c>
      <c r="D337" s="75" t="str">
        <f>Calc_TU_values!$D$235</f>
        <v>VDO 2022-23 - Final</v>
      </c>
      <c r="E337" s="20" t="s">
        <v>190</v>
      </c>
      <c r="F337" s="75" t="str">
        <f>INDEX(Inputs!$H$10:$U$10,1,MATCH($D337,Inputs!$H$8:$U$8,0))</f>
        <v>F-CurrentVDO_Input</v>
      </c>
      <c r="G337" s="52"/>
      <c r="H337" s="20" t="s">
        <v>90</v>
      </c>
      <c r="I337" s="20" t="s">
        <v>64</v>
      </c>
      <c r="J337" s="53" t="s">
        <v>65</v>
      </c>
      <c r="K337" s="58">
        <f>IFERROR(SUM(K335:K336),"-")</f>
        <v>0</v>
      </c>
      <c r="L337" s="58">
        <f>IFERROR(SUM(L335:L336),"-")</f>
        <v>0</v>
      </c>
      <c r="M337" s="58">
        <f>IFERROR(SUM(M335:M336),"-")</f>
        <v>0</v>
      </c>
      <c r="N337" s="58">
        <f>IFERROR(SUM(N335:N336),"-")</f>
        <v>0</v>
      </c>
      <c r="O337" s="58">
        <f>IFERROR(SUM(O335:O336),"-")</f>
        <v>0</v>
      </c>
    </row>
    <row r="338" spans="3:15" hidden="1" outlineLevel="1">
      <c r="C338" s="53" t="s">
        <v>222</v>
      </c>
      <c r="D338" s="75" t="str">
        <f>INDEX(Input_DecisionActual[[Decision]:[Decision]],MATCH(Calc_TU_values!$D$235,Input_DecisionActual[[VDO period]:[VDO period]],0),1)</f>
        <v>VDO 2022 - Final</v>
      </c>
      <c r="E338" s="20" t="s">
        <v>192</v>
      </c>
      <c r="F338" s="75" t="str">
        <f>IF($D338="-","-",INDEX(Inputs!$H$10:$U$10,1,MATCH($D338,Inputs!$H$8:$U$8,0)))</f>
        <v>F-PreviousVDO_Input2</v>
      </c>
      <c r="G338" s="52"/>
      <c r="H338" s="20" t="s">
        <v>90</v>
      </c>
      <c r="I338" s="20" t="s">
        <v>64</v>
      </c>
      <c r="J338" s="53" t="s">
        <v>65</v>
      </c>
      <c r="K338" s="60" t="str" cm="1">
        <f t="array" ref="K338">IFERROR(INDEX(Input_ForRateCalc[],MATCH($C338&amp;" - "&amp;K$331,Input_ForRateCalc[[Cost item]:[Cost item]],0),MATCH(Calc_TUV_Net_2[[#This Row],[Decision ref]:[Decision ref]],Input_ForRateCalc[#Headers],0))*TUProp_Days_2,"-")</f>
        <v>-</v>
      </c>
      <c r="L338" s="60" t="str" cm="1">
        <f t="array" ref="L338">IFERROR(INDEX(Input_ForRateCalc[],MATCH($C338&amp;" - "&amp;L$331,Input_ForRateCalc[[Cost item]:[Cost item]],0),MATCH(Calc_TUV_Net_2[[#This Row],[Decision ref]:[Decision ref]],Input_ForRateCalc[#Headers],0))*TUProp_Days_2,"-")</f>
        <v>-</v>
      </c>
      <c r="M338" s="60" t="str" cm="1">
        <f t="array" ref="M338">IFERROR(INDEX(Input_ForRateCalc[],MATCH($C338&amp;" - "&amp;M$331,Input_ForRateCalc[[Cost item]:[Cost item]],0),MATCH(Calc_TUV_Net_2[[#This Row],[Decision ref]:[Decision ref]],Input_ForRateCalc[#Headers],0))*TUProp_Days_2,"-")</f>
        <v>-</v>
      </c>
      <c r="N338" s="60" t="str" cm="1">
        <f t="array" ref="N338">IFERROR(INDEX(Input_ForRateCalc[],MATCH($C338&amp;" - "&amp;N$331,Input_ForRateCalc[[Cost item]:[Cost item]],0),MATCH(Calc_TUV_Net_2[[#This Row],[Decision ref]:[Decision ref]],Input_ForRateCalc[#Headers],0))*TUProp_Days_2,"-")</f>
        <v>-</v>
      </c>
      <c r="O338" s="60" t="str" cm="1">
        <f t="array" ref="O338">IFERROR(INDEX(Input_ForRateCalc[],MATCH($C338&amp;" - "&amp;O$331,Input_ForRateCalc[[Cost item]:[Cost item]],0),MATCH(Calc_TUV_Net_2[[#This Row],[Decision ref]:[Decision ref]],Input_ForRateCalc[#Headers],0))*TUProp_Days_2,"-")</f>
        <v>-</v>
      </c>
    </row>
    <row r="339" spans="3:15" hidden="1" outlineLevel="1">
      <c r="C339" s="53" t="s">
        <v>94</v>
      </c>
      <c r="D339" s="75" t="str">
        <f>INDEX(Input_DecisionActual[[Decision]:[Decision]],MATCH(Calc_TU_values!$D$235,Input_DecisionActual[[VDO period]:[VDO period]],0),1)</f>
        <v>VDO 2022 - Final</v>
      </c>
      <c r="E339" s="20" t="s">
        <v>192</v>
      </c>
      <c r="F339" s="75" t="str">
        <f>IF($D339="-","-",INDEX(Inputs!$H$10:$U$10,1,MATCH($D339,Inputs!$H$8:$U$8,0)))</f>
        <v>F-PreviousVDO_Input2</v>
      </c>
      <c r="G339" s="52"/>
      <c r="H339" s="20" t="s">
        <v>90</v>
      </c>
      <c r="I339" s="20" t="s">
        <v>64</v>
      </c>
      <c r="J339" s="53" t="s">
        <v>65</v>
      </c>
      <c r="K339" s="60" t="str" cm="1">
        <f t="array" ref="K339">IFERROR(INDEX(Input_ForRateCalc[],MATCH($C339&amp;" - "&amp;K$331,Input_ForRateCalc[[Cost item]:[Cost item]],0),MATCH(Calc_TUV_Net_2[[#This Row],[Decision ref]:[Decision ref]],Input_ForRateCalc[#Headers],0))*TUProp_Days_2,"-")</f>
        <v>-</v>
      </c>
      <c r="L339" s="60" t="str" cm="1">
        <f t="array" ref="L339">IFERROR(INDEX(Input_ForRateCalc[],MATCH($C339&amp;" - "&amp;L$331,Input_ForRateCalc[[Cost item]:[Cost item]],0),MATCH(Calc_TUV_Net_2[[#This Row],[Decision ref]:[Decision ref]],Input_ForRateCalc[#Headers],0))*TUProp_Days_2,"-")</f>
        <v>-</v>
      </c>
      <c r="M339" s="60" t="str" cm="1">
        <f t="array" ref="M339">IFERROR(INDEX(Input_ForRateCalc[],MATCH($C339&amp;" - "&amp;M$331,Input_ForRateCalc[[Cost item]:[Cost item]],0),MATCH(Calc_TUV_Net_2[[#This Row],[Decision ref]:[Decision ref]],Input_ForRateCalc[#Headers],0))*TUProp_Days_2,"-")</f>
        <v>-</v>
      </c>
      <c r="N339" s="60" t="str" cm="1">
        <f t="array" ref="N339">IFERROR(INDEX(Input_ForRateCalc[],MATCH($C339&amp;" - "&amp;N$331,Input_ForRateCalc[[Cost item]:[Cost item]],0),MATCH(Calc_TUV_Net_2[[#This Row],[Decision ref]:[Decision ref]],Input_ForRateCalc[#Headers],0))*TUProp_Days_2,"-")</f>
        <v>-</v>
      </c>
      <c r="O339" s="60" t="str" cm="1">
        <f t="array" ref="O339">IFERROR(INDEX(Input_ForRateCalc[],MATCH($C339&amp;" - "&amp;O$331,Input_ForRateCalc[[Cost item]:[Cost item]],0),MATCH(Calc_TUV_Net_2[[#This Row],[Decision ref]:[Decision ref]],Input_ForRateCalc[#Headers],0))*TUProp_Days_2,"-")</f>
        <v>-</v>
      </c>
    </row>
    <row r="340" spans="3:15" hidden="1" outlineLevel="1">
      <c r="C340" s="53" t="s">
        <v>191</v>
      </c>
      <c r="D340" s="75" t="str">
        <f>INDEX(Input_DecisionActual[[Decision]:[Decision]],MATCH(Calc_TU_values!$D$235,Input_DecisionActual[[VDO period]:[VDO period]],0),1)</f>
        <v>VDO 2022 - Final</v>
      </c>
      <c r="E340" s="20" t="s">
        <v>192</v>
      </c>
      <c r="F340" s="75" t="str">
        <f>IF($D340="-","-",INDEX(Inputs!$H$10:$U$10,1,MATCH($D340,Inputs!$H$8:$U$8,0)))</f>
        <v>F-PreviousVDO_Input2</v>
      </c>
      <c r="G340" s="52"/>
      <c r="H340" s="20" t="s">
        <v>90</v>
      </c>
      <c r="I340" s="20" t="s">
        <v>64</v>
      </c>
      <c r="J340" s="53" t="s">
        <v>65</v>
      </c>
      <c r="K340" s="59">
        <f>SUM(K338:K339)</f>
        <v>0</v>
      </c>
      <c r="L340" s="59">
        <f>SUM(L338:L339)</f>
        <v>0</v>
      </c>
      <c r="M340" s="59">
        <f>SUM(M338:M339)</f>
        <v>0</v>
      </c>
      <c r="N340" s="59">
        <f>SUM(N338:N339)</f>
        <v>0</v>
      </c>
      <c r="O340" s="59">
        <f>SUM(O338:O339)</f>
        <v>0</v>
      </c>
    </row>
    <row r="341" spans="3:15" hidden="1" outlineLevel="1">
      <c r="C341" s="53" t="s">
        <v>193</v>
      </c>
      <c r="D341" s="20"/>
      <c r="E341" s="20"/>
      <c r="F341" s="20"/>
      <c r="G341" s="20"/>
      <c r="H341" s="20" t="s">
        <v>90</v>
      </c>
      <c r="I341" s="20" t="s">
        <v>64</v>
      </c>
      <c r="J341" s="53" t="s">
        <v>65</v>
      </c>
      <c r="K341" s="59" t="str">
        <f>IF(K340=0,"-",K337-K340)</f>
        <v>-</v>
      </c>
      <c r="L341" s="59" t="str">
        <f t="shared" ref="L341" si="107">IF(L340=0,"-",L337-L340)</f>
        <v>-</v>
      </c>
      <c r="M341" s="59" t="str">
        <f t="shared" ref="M341" si="108">IF(M340=0,"-",M337-M340)</f>
        <v>-</v>
      </c>
      <c r="N341" s="59" t="str">
        <f t="shared" ref="N341" si="109">IF(N340=0,"-",N337-N340)</f>
        <v>-</v>
      </c>
      <c r="O341" s="59" t="str">
        <f t="shared" ref="O341" si="110">IF(O340=0,"-",O337-O340)</f>
        <v>-</v>
      </c>
    </row>
    <row r="342" spans="3:15" hidden="1" outlineLevel="1">
      <c r="C342" s="53" t="s">
        <v>180</v>
      </c>
      <c r="D342" s="20"/>
      <c r="E342" s="20"/>
      <c r="F342" s="20"/>
      <c r="G342" s="20"/>
      <c r="H342" s="20" t="s">
        <v>90</v>
      </c>
      <c r="I342" s="20" t="s">
        <v>64</v>
      </c>
      <c r="J342" s="53" t="s">
        <v>65</v>
      </c>
      <c r="K342" s="60" t="str">
        <f>IFERROR(IF($D$308="Yes",K341*(1+WACC_adj_2),""),"-")</f>
        <v/>
      </c>
      <c r="L342" s="60" t="str">
        <f>IFERROR(IF($D$308="Yes",L341*(1+WACC_adj_2),""),"-")</f>
        <v/>
      </c>
      <c r="M342" s="60" t="str">
        <f>IFERROR(IF($D$308="Yes",M341*(1+WACC_adj_2),""),"-")</f>
        <v/>
      </c>
      <c r="N342" s="60" t="str">
        <f>IFERROR(IF($D$308="Yes",N341*(1+WACC_adj_2),""),"-")</f>
        <v/>
      </c>
      <c r="O342" s="60" t="str">
        <f>IFERROR(IF($D$308="Yes",O341*(1+WACC_adj_2),""),"-")</f>
        <v/>
      </c>
    </row>
    <row r="343" spans="3:15" hidden="1" outlineLevel="1">
      <c r="C343" s="53" t="s">
        <v>195</v>
      </c>
      <c r="D343" s="75" t="str">
        <f>INDEX(Input_DecisionActual[[Decision]:[Decision]],MATCH(Calc_TU_values!$D$235,Input_DecisionActual[[VDO period]:[VDO period]],0),1)</f>
        <v>VDO 2022 - Final</v>
      </c>
      <c r="E343" s="20" t="s">
        <v>192</v>
      </c>
      <c r="F343" s="75" t="str">
        <f>IF($D343="-","-",INDEX(Inputs!$H$10:$U$10,1,MATCH($D343,Inputs!$H$8:$U$8,0)))</f>
        <v>F-PreviousVDO_Input2</v>
      </c>
      <c r="G343" s="20"/>
      <c r="H343" s="20" t="s">
        <v>90</v>
      </c>
      <c r="I343" s="20" t="s">
        <v>64</v>
      </c>
      <c r="J343" s="53" t="s">
        <v>65</v>
      </c>
      <c r="K343" s="60" cm="1">
        <f t="array" ref="K343">IFERROR(SUM(K341:K342)*(INDEX(Inputs!$H$11:$U$134,MATCH("Retail operating margin",Input_ForRateCalc[[Cost item]:[Cost item]],0),MATCH(Calc_TUV_Net_2[[#This Row],[Decision ref]:[Decision ref]],Inputs!$H$10:$U$10,0))),"-")</f>
        <v>0</v>
      </c>
      <c r="L343" s="60" cm="1">
        <f t="array" ref="L343">IFERROR(SUM(L341:L342)*(INDEX(Inputs!$H$11:$U$134,MATCH("Retail operating margin",Input_ForRateCalc[[Cost item]:[Cost item]],0),MATCH(Calc_TUV_Net_2[[#This Row],[Decision ref]:[Decision ref]],Inputs!$H$10:$U$10,0))),"-")</f>
        <v>0</v>
      </c>
      <c r="M343" s="60" cm="1">
        <f t="array" ref="M343">IFERROR(SUM(M341:M342)*(INDEX(Inputs!$H$11:$U$134,MATCH("Retail operating margin",Input_ForRateCalc[[Cost item]:[Cost item]],0),MATCH(Calc_TUV_Net_2[[#This Row],[Decision ref]:[Decision ref]],Inputs!$H$10:$U$10,0))),"-")</f>
        <v>0</v>
      </c>
      <c r="N343" s="60" cm="1">
        <f t="array" ref="N343">IFERROR(SUM(N341:N342)*(INDEX(Inputs!$H$11:$U$134,MATCH("Retail operating margin",Input_ForRateCalc[[Cost item]:[Cost item]],0),MATCH(Calc_TUV_Net_2[[#This Row],[Decision ref]:[Decision ref]],Inputs!$H$10:$U$10,0))),"-")</f>
        <v>0</v>
      </c>
      <c r="O343" s="60" cm="1">
        <f t="array" ref="O343">IFERROR(SUM(O341:O342)*(INDEX(Inputs!$H$11:$U$134,MATCH("Retail operating margin",Input_ForRateCalc[[Cost item]:[Cost item]],0),MATCH(Calc_TUV_Net_2[[#This Row],[Decision ref]:[Decision ref]],Inputs!$H$10:$U$10,0))),"-")</f>
        <v>0</v>
      </c>
    </row>
    <row r="344" spans="3:15" hidden="1" outlineLevel="1">
      <c r="C344" s="53" t="s">
        <v>196</v>
      </c>
      <c r="D344" s="20"/>
      <c r="E344" s="20"/>
      <c r="F344" s="20"/>
      <c r="G344" s="20"/>
      <c r="H344" s="20" t="s">
        <v>90</v>
      </c>
      <c r="I344" s="20" t="s">
        <v>64</v>
      </c>
      <c r="J344" s="53" t="s">
        <v>65</v>
      </c>
      <c r="K344" s="60" t="str">
        <f>IF(K340=0,"-",SUM(K341:K343)*GST)</f>
        <v>-</v>
      </c>
      <c r="L344" s="60" t="str">
        <f>IF(L340=0,"-",SUM(L341:L343)*GST)</f>
        <v>-</v>
      </c>
      <c r="M344" s="60" t="str">
        <f>IF(M340=0,"-",SUM(M341:M343)*GST)</f>
        <v>-</v>
      </c>
      <c r="N344" s="60" t="str">
        <f>IF(N340=0,"-",SUM(N341:N343)*GST)</f>
        <v>-</v>
      </c>
      <c r="O344" s="60" t="str">
        <f>IF(O340=0,"-",SUM(O341:O343)*GST)</f>
        <v>-</v>
      </c>
    </row>
    <row r="345" spans="3:15" hidden="1" outlineLevel="1">
      <c r="C345" s="20" t="s">
        <v>223</v>
      </c>
      <c r="D345" s="20"/>
      <c r="E345" s="20"/>
      <c r="F345" s="20"/>
      <c r="G345" s="20"/>
      <c r="H345" s="20" t="s">
        <v>90</v>
      </c>
      <c r="I345" s="20" t="s">
        <v>64</v>
      </c>
      <c r="J345" s="53" t="s">
        <v>65</v>
      </c>
      <c r="K345" s="60" t="str">
        <f>IF(K340=0,"-",SUM(K341:K344))</f>
        <v>-</v>
      </c>
      <c r="L345" s="60" t="str">
        <f>IF(L340=0,"-",SUM(L341:L344))</f>
        <v>-</v>
      </c>
      <c r="M345" s="60" t="str">
        <f>IF(M340=0,"-",SUM(M341:M344))</f>
        <v>-</v>
      </c>
      <c r="N345" s="60" t="str">
        <f>IF(N340=0,"-",SUM(N341:N344))</f>
        <v>-</v>
      </c>
      <c r="O345" s="60" t="str">
        <f>IF(O340=0,"-",SUM(O341:O344))</f>
        <v>-</v>
      </c>
    </row>
    <row r="346" spans="3:15" hidden="1" outlineLevel="1">
      <c r="C346" s="53"/>
      <c r="D346" s="20"/>
      <c r="E346" s="20"/>
      <c r="F346" s="20"/>
      <c r="H346" s="20"/>
      <c r="I346" s="20"/>
      <c r="J346" s="20"/>
      <c r="K346" s="105"/>
      <c r="L346" s="105"/>
      <c r="M346" s="105"/>
      <c r="N346" s="105"/>
      <c r="O346" s="105"/>
    </row>
    <row r="347" spans="3:15" hidden="1" outlineLevel="1">
      <c r="C347" s="51" t="s">
        <v>224</v>
      </c>
      <c r="D347" s="20"/>
      <c r="E347" s="20"/>
      <c r="F347" s="20"/>
      <c r="G347" s="62"/>
      <c r="H347" s="20"/>
      <c r="I347" s="20"/>
      <c r="J347" s="20"/>
      <c r="K347" s="106"/>
      <c r="L347" s="106"/>
      <c r="M347" s="106"/>
      <c r="N347" s="106"/>
      <c r="O347" s="106"/>
    </row>
    <row r="348" spans="3:15" hidden="1" outlineLevel="1">
      <c r="C348" s="53" t="s">
        <v>225</v>
      </c>
      <c r="D348" s="75" t="str">
        <f>Calc_TU_values!$D$235</f>
        <v>VDO 2022-23 - Final</v>
      </c>
      <c r="E348" s="20" t="s">
        <v>190</v>
      </c>
      <c r="F348" s="75" t="str">
        <f>INDEX(Inputs!$H$10:$U$10,1,MATCH($D348,Inputs!$H$8:$U$8,0))</f>
        <v>F-CurrentVDO_Input</v>
      </c>
      <c r="G348" s="20"/>
      <c r="H348" s="20" t="s">
        <v>103</v>
      </c>
      <c r="I348" s="20" t="s">
        <v>226</v>
      </c>
      <c r="J348" s="53" t="s">
        <v>65</v>
      </c>
      <c r="K348" s="60" cm="1">
        <f t="array" ref="K348">IFERROR(INDEX(Input_ForRateCalc[],MATCH($C348&amp;" - "&amp;K$331,Input_ForRateCalc[[Cost item]:[Cost item]],0),MATCH(Calc_TUV_Net_2[[#This Row],[Decision ref]:[Decision ref]],Input_ForRateCalc[#Headers],0)),"-")</f>
        <v>12.7212</v>
      </c>
      <c r="L348" s="60" t="str" cm="1">
        <f t="array" ref="L348">IFERROR(INDEX(Input_ForRateCalc[],MATCH($C348&amp;" - "&amp;L$331,Input_ForRateCalc[[Cost item]:[Cost item]],0),MATCH(Calc_TUV_Net_2[[#This Row],[Decision ref]:[Decision ref]],Input_ForRateCalc[#Headers],0)),"-")</f>
        <v>-</v>
      </c>
      <c r="M348" s="60" t="str" cm="1">
        <f t="array" ref="M348">IFERROR(INDEX(Input_ForRateCalc[],MATCH($C348&amp;" - "&amp;M$331,Input_ForRateCalc[[Cost item]:[Cost item]],0),MATCH(Calc_TUV_Net_2[[#This Row],[Decision ref]:[Decision ref]],Input_ForRateCalc[#Headers],0)),"-")</f>
        <v>-</v>
      </c>
      <c r="N348" s="60" t="str" cm="1">
        <f t="array" ref="N348">IFERROR(INDEX(Input_ForRateCalc[],MATCH($C348&amp;" - "&amp;N$331,Input_ForRateCalc[[Cost item]:[Cost item]],0),MATCH(Calc_TUV_Net_2[[#This Row],[Decision ref]:[Decision ref]],Input_ForRateCalc[#Headers],0)),"-")</f>
        <v>-</v>
      </c>
      <c r="O348" s="60" t="str" cm="1">
        <f t="array" ref="O348">IFERROR(INDEX(Input_ForRateCalc[],MATCH($C348&amp;" - "&amp;O$331,Input_ForRateCalc[[Cost item]:[Cost item]],0),MATCH(Calc_TUV_Net_2[[#This Row],[Decision ref]:[Decision ref]],Input_ForRateCalc[#Headers],0)),"-")</f>
        <v>-</v>
      </c>
    </row>
    <row r="349" spans="3:15" hidden="1" outlineLevel="1">
      <c r="C349" s="53" t="s">
        <v>227</v>
      </c>
      <c r="D349" s="75" t="str">
        <f>Calc_TU_values!$D$235</f>
        <v>VDO 2022-23 - Final</v>
      </c>
      <c r="E349" s="20" t="s">
        <v>190</v>
      </c>
      <c r="F349" s="75" t="str">
        <f>INDEX(Inputs!$H$10:$U$10,1,MATCH($D349,Inputs!$H$8:$U$8,0))</f>
        <v>F-CurrentVDO_Input</v>
      </c>
      <c r="G349" s="62"/>
      <c r="H349" s="20" t="s">
        <v>103</v>
      </c>
      <c r="I349" s="20" t="s">
        <v>226</v>
      </c>
      <c r="J349" s="53" t="s">
        <v>65</v>
      </c>
      <c r="K349" s="60" cm="1">
        <f t="array" ref="K349">IFERROR(INDEX(Input_ForRateCalc[],MATCH($C349&amp;" - "&amp;K$331,Input_ForRateCalc[[Cost item]:[Cost item]],0),MATCH(Calc_TUV_Net_2[[#This Row],[Decision ref]:[Decision ref]],Input_ForRateCalc[#Headers],0)),"-")</f>
        <v>14.2392</v>
      </c>
      <c r="L349" s="60" t="str" cm="1">
        <f t="array" ref="L349">IFERROR(INDEX(Input_ForRateCalc[],MATCH($C349&amp;" - "&amp;L$331,Input_ForRateCalc[[Cost item]:[Cost item]],0),MATCH(Calc_TUV_Net_2[[#This Row],[Decision ref]:[Decision ref]],Input_ForRateCalc[#Headers],0)),"-")</f>
        <v>-</v>
      </c>
      <c r="M349" s="60" t="str" cm="1">
        <f t="array" ref="M349">IFERROR(INDEX(Input_ForRateCalc[],MATCH($C349&amp;" - "&amp;M$331,Input_ForRateCalc[[Cost item]:[Cost item]],0),MATCH(Calc_TUV_Net_2[[#This Row],[Decision ref]:[Decision ref]],Input_ForRateCalc[#Headers],0)),"-")</f>
        <v>-</v>
      </c>
      <c r="N349" s="60" t="str" cm="1">
        <f t="array" ref="N349">IFERROR(INDEX(Input_ForRateCalc[],MATCH($C349&amp;" - "&amp;N$331,Input_ForRateCalc[[Cost item]:[Cost item]],0),MATCH(Calc_TUV_Net_2[[#This Row],[Decision ref]:[Decision ref]],Input_ForRateCalc[#Headers],0)),"-")</f>
        <v>-</v>
      </c>
      <c r="O349" s="60" t="str" cm="1">
        <f t="array" ref="O349">IFERROR(INDEX(Input_ForRateCalc[],MATCH($C349&amp;" - "&amp;O$331,Input_ForRateCalc[[Cost item]:[Cost item]],0),MATCH(Calc_TUV_Net_2[[#This Row],[Decision ref]:[Decision ref]],Input_ForRateCalc[#Headers],0)),"-")</f>
        <v>-</v>
      </c>
    </row>
    <row r="350" spans="3:15" hidden="1" outlineLevel="1">
      <c r="C350" s="53" t="s">
        <v>228</v>
      </c>
      <c r="D350" s="75" t="str">
        <f>Calc_TU_values!$D$235</f>
        <v>VDO 2022-23 - Final</v>
      </c>
      <c r="E350" s="20" t="s">
        <v>190</v>
      </c>
      <c r="F350" s="75" t="str">
        <f>INDEX(Inputs!$H$10:$U$10,1,MATCH($D350,Inputs!$H$8:$U$8,0))</f>
        <v>F-CurrentVDO_Input</v>
      </c>
      <c r="G350" s="52"/>
      <c r="H350" s="20" t="s">
        <v>103</v>
      </c>
      <c r="I350" s="20" t="s">
        <v>226</v>
      </c>
      <c r="J350" s="53" t="s">
        <v>65</v>
      </c>
      <c r="K350" s="60" t="str" cm="1">
        <f t="array" ref="K350">IFERROR(INDEX(Input_ForRateCalc[],MATCH($C350&amp;" - "&amp;K$331,Input_ForRateCalc[[Cost item]:[Cost item]],0),MATCH(Calc_TUV_Net_2[[#This Row],[Decision ref]:[Decision ref]],Input_ForRateCalc[#Headers],0)),"-")</f>
        <v>-</v>
      </c>
      <c r="L350" s="60" cm="1">
        <f t="array" ref="L350">IFERROR(INDEX(Input_ForRateCalc[],MATCH($C350&amp;" - "&amp;L$331,Input_ForRateCalc[[Cost item]:[Cost item]],0),MATCH(Calc_TUV_Net_2[[#This Row],[Decision ref]:[Decision ref]],Input_ForRateCalc[#Headers],0)),"-")</f>
        <v>7.4</v>
      </c>
      <c r="M350" s="60" cm="1">
        <f t="array" ref="M350">IFERROR(INDEX(Input_ForRateCalc[],MATCH($C350&amp;" - "&amp;M$331,Input_ForRateCalc[[Cost item]:[Cost item]],0),MATCH(Calc_TUV_Net_2[[#This Row],[Decision ref]:[Decision ref]],Input_ForRateCalc[#Headers],0)),"-")</f>
        <v>8.2509999999999994</v>
      </c>
      <c r="N350" s="60" cm="1">
        <f t="array" ref="N350">IFERROR(INDEX(Input_ForRateCalc[],MATCH($C350&amp;" - "&amp;N$331,Input_ForRateCalc[[Cost item]:[Cost item]],0),MATCH(Calc_TUV_Net_2[[#This Row],[Decision ref]:[Decision ref]],Input_ForRateCalc[#Headers],0)),"-")</f>
        <v>8.15</v>
      </c>
      <c r="O350" s="60" cm="1">
        <f t="array" ref="O350">IFERROR(INDEX(Input_ForRateCalc[],MATCH($C350&amp;" - "&amp;O$331,Input_ForRateCalc[[Cost item]:[Cost item]],0),MATCH(Calc_TUV_Net_2[[#This Row],[Decision ref]:[Decision ref]],Input_ForRateCalc[#Headers],0)),"-")</f>
        <v>8.3000000000000007</v>
      </c>
    </row>
    <row r="351" spans="3:15" hidden="1" outlineLevel="1">
      <c r="C351" s="53" t="s">
        <v>191</v>
      </c>
      <c r="D351" s="75" t="str">
        <f>Calc_TU_values!$D$235</f>
        <v>VDO 2022-23 - Final</v>
      </c>
      <c r="E351" s="20" t="s">
        <v>190</v>
      </c>
      <c r="F351" s="75" t="str">
        <f>INDEX(Inputs!$H$10:$U$10,1,MATCH($D351,Inputs!$H$8:$U$8,0))</f>
        <v>F-CurrentVDO_Input</v>
      </c>
      <c r="G351" s="52"/>
      <c r="H351" s="20" t="s">
        <v>103</v>
      </c>
      <c r="I351" s="20" t="s">
        <v>64</v>
      </c>
      <c r="J351" s="53" t="s">
        <v>65</v>
      </c>
      <c r="K351" s="61">
        <f>SUM(
IFERROR(K348/100*SUMIFS(INDEX(TUNet_Usage_PerRate_2[],0,MATCH(K$331,TUNet_Usage_PerRate_2[#Headers],0)),TUNet_Usage_PerRate_2[Customer type],Calc_TUV_Net_2[[#This Row],[Customer type]],TUNet_Usage_PerRate_2[Description],"Usage per customer - Block 1"),0),
IFERROR(K349/100*SUMIFS(INDEX(TUNet_Usage_PerRate_2[],0,MATCH(K$331,TUNet_Usage_PerRate_2[#Headers],0)),TUNet_Usage_PerRate_2[Customer type],Calc_TUV_Net_2[[#This Row],[Customer type]],TUNet_Usage_PerRate_2[Description],"Usage per customer - Balance"),0),
IFERROR(K350/100*SUMIFS(INDEX(TUNet_Usage_PerRate_2[],0,MATCH(K$331,TUNet_Usage_PerRate_2[#Headers],0)),TUNet_Usage_PerRate_2[Customer type],Calc_TUV_Net_2[[#This Row],[Customer type]],TUNet_Usage_PerRate_2[Description],"Usage per customer - Single rate"),0))</f>
        <v>0</v>
      </c>
      <c r="L351" s="61">
        <f>SUM(
IFERROR(L348/100*SUMIFS(INDEX(TUNet_Usage_PerRate_2[],0,MATCH(L$331,TUNet_Usage_PerRate_2[#Headers],0)),TUNet_Usage_PerRate_2[Customer type],Calc_TUV_Net_2[[#This Row],[Customer type]],TUNet_Usage_PerRate_2[Description],"Usage per customer - Block 1"),0),
IFERROR(L349/100*SUMIFS(INDEX(TUNet_Usage_PerRate_2[],0,MATCH(L$331,TUNet_Usage_PerRate_2[#Headers],0)),TUNet_Usage_PerRate_2[Customer type],Calc_TUV_Net_2[[#This Row],[Customer type]],TUNet_Usage_PerRate_2[Description],"Usage per customer - Balance"),0),
IFERROR(L350/100*SUMIFS(INDEX(TUNet_Usage_PerRate_2[],0,MATCH(L$331,TUNet_Usage_PerRate_2[#Headers],0)),TUNet_Usage_PerRate_2[Customer type],Calc_TUV_Net_2[[#This Row],[Customer type]],TUNet_Usage_PerRate_2[Description],"Usage per customer - Single rate"),0))</f>
        <v>0</v>
      </c>
      <c r="M351" s="61">
        <f>SUM(
IFERROR(M348/100*SUMIFS(INDEX(TUNet_Usage_PerRate_2[],0,MATCH(M$331,TUNet_Usage_PerRate_2[#Headers],0)),TUNet_Usage_PerRate_2[Customer type],Calc_TUV_Net_2[[#This Row],[Customer type]],TUNet_Usage_PerRate_2[Description],"Usage per customer - Block 1"),0),
IFERROR(M349/100*SUMIFS(INDEX(TUNet_Usage_PerRate_2[],0,MATCH(M$331,TUNet_Usage_PerRate_2[#Headers],0)),TUNet_Usage_PerRate_2[Customer type],Calc_TUV_Net_2[[#This Row],[Customer type]],TUNet_Usage_PerRate_2[Description],"Usage per customer - Balance"),0),
IFERROR(M350/100*SUMIFS(INDEX(TUNet_Usage_PerRate_2[],0,MATCH(M$331,TUNet_Usage_PerRate_2[#Headers],0)),TUNet_Usage_PerRate_2[Customer type],Calc_TUV_Net_2[[#This Row],[Customer type]],TUNet_Usage_PerRate_2[Description],"Usage per customer - Single rate"),0))</f>
        <v>0</v>
      </c>
      <c r="N351" s="61">
        <f>SUM(
IFERROR(N348/100*SUMIFS(INDEX(TUNet_Usage_PerRate_2[],0,MATCH(N$331,TUNet_Usage_PerRate_2[#Headers],0)),TUNet_Usage_PerRate_2[Customer type],Calc_TUV_Net_2[[#This Row],[Customer type]],TUNet_Usage_PerRate_2[Description],"Usage per customer - Block 1"),0),
IFERROR(N349/100*SUMIFS(INDEX(TUNet_Usage_PerRate_2[],0,MATCH(N$331,TUNet_Usage_PerRate_2[#Headers],0)),TUNet_Usage_PerRate_2[Customer type],Calc_TUV_Net_2[[#This Row],[Customer type]],TUNet_Usage_PerRate_2[Description],"Usage per customer - Balance"),0),
IFERROR(N350/100*SUMIFS(INDEX(TUNet_Usage_PerRate_2[],0,MATCH(N$331,TUNet_Usage_PerRate_2[#Headers],0)),TUNet_Usage_PerRate_2[Customer type],Calc_TUV_Net_2[[#This Row],[Customer type]],TUNet_Usage_PerRate_2[Description],"Usage per customer - Single rate"),0))</f>
        <v>0</v>
      </c>
      <c r="O351" s="61">
        <f>SUM(
IFERROR(O348/100*SUMIFS(INDEX(TUNet_Usage_PerRate_2[],0,MATCH(O$331,TUNet_Usage_PerRate_2[#Headers],0)),TUNet_Usage_PerRate_2[Customer type],Calc_TUV_Net_2[[#This Row],[Customer type]],TUNet_Usage_PerRate_2[Description],"Usage per customer - Block 1"),0),
IFERROR(O349/100*SUMIFS(INDEX(TUNet_Usage_PerRate_2[],0,MATCH(O$331,TUNet_Usage_PerRate_2[#Headers],0)),TUNet_Usage_PerRate_2[Customer type],Calc_TUV_Net_2[[#This Row],[Customer type]],TUNet_Usage_PerRate_2[Description],"Usage per customer - Balance"),0),
IFERROR(O350/100*SUMIFS(INDEX(TUNet_Usage_PerRate_2[],0,MATCH(O$331,TUNet_Usage_PerRate_2[#Headers],0)),TUNet_Usage_PerRate_2[Customer type],Calc_TUV_Net_2[[#This Row],[Customer type]],TUNet_Usage_PerRate_2[Description],"Usage per customer - Single rate"),0))</f>
        <v>0</v>
      </c>
    </row>
    <row r="352" spans="3:15" hidden="1" outlineLevel="1">
      <c r="C352" s="53" t="s">
        <v>225</v>
      </c>
      <c r="D352" s="75" t="str">
        <f>INDEX(Input_DecisionActual[[Decision]:[Decision]],MATCH(Calc_TU_values!$D$235,Input_DecisionActual[[VDO period]:[VDO period]],0),1)</f>
        <v>VDO 2022 - Final</v>
      </c>
      <c r="E352" s="20" t="s">
        <v>192</v>
      </c>
      <c r="F352" s="75" t="str">
        <f>IF($D352="-","-",INDEX(Inputs!$H$10:$U$10,1,MATCH($D352,Inputs!$H$8:$U$8,0)))</f>
        <v>F-PreviousVDO_Input2</v>
      </c>
      <c r="G352" s="52"/>
      <c r="H352" s="20" t="s">
        <v>103</v>
      </c>
      <c r="I352" s="20" t="s">
        <v>226</v>
      </c>
      <c r="J352" s="53" t="s">
        <v>65</v>
      </c>
      <c r="K352" s="60" cm="1">
        <f t="array" ref="K352">IFERROR(INDEX(Input_ForRateCalc[],MATCH($C352&amp;" - "&amp;K$331,Input_ForRateCalc[[Cost item]:[Cost item]],0),MATCH(Calc_TUV_Net_2[[#This Row],[Decision ref]:[Decision ref]],Input_ForRateCalc[#Headers],0)),"-")</f>
        <v>11.4503</v>
      </c>
      <c r="L352" s="60" t="str" cm="1">
        <f t="array" ref="L352">IFERROR(INDEX(Input_ForRateCalc[],MATCH($C352&amp;" - "&amp;L$331,Input_ForRateCalc[[Cost item]:[Cost item]],0),MATCH(Calc_TUV_Net_2[[#This Row],[Decision ref]:[Decision ref]],Input_ForRateCalc[#Headers],0)),"-")</f>
        <v>-</v>
      </c>
      <c r="M352" s="60" t="str" cm="1">
        <f t="array" ref="M352">IFERROR(INDEX(Input_ForRateCalc[],MATCH($C352&amp;" - "&amp;M$331,Input_ForRateCalc[[Cost item]:[Cost item]],0),MATCH(Calc_TUV_Net_2[[#This Row],[Decision ref]:[Decision ref]],Input_ForRateCalc[#Headers],0)),"-")</f>
        <v>-</v>
      </c>
      <c r="N352" s="60" t="str" cm="1">
        <f t="array" ref="N352">IFERROR(INDEX(Input_ForRateCalc[],MATCH($C352&amp;" - "&amp;N$331,Input_ForRateCalc[[Cost item]:[Cost item]],0),MATCH(Calc_TUV_Net_2[[#This Row],[Decision ref]:[Decision ref]],Input_ForRateCalc[#Headers],0)),"-")</f>
        <v>-</v>
      </c>
      <c r="O352" s="60" t="str" cm="1">
        <f t="array" ref="O352">IFERROR(INDEX(Input_ForRateCalc[],MATCH($C352&amp;" - "&amp;O$331,Input_ForRateCalc[[Cost item]:[Cost item]],0),MATCH(Calc_TUV_Net_2[[#This Row],[Decision ref]:[Decision ref]],Input_ForRateCalc[#Headers],0)),"-")</f>
        <v>-</v>
      </c>
    </row>
    <row r="353" spans="3:15" hidden="1" outlineLevel="1">
      <c r="C353" s="53" t="s">
        <v>227</v>
      </c>
      <c r="D353" s="75" t="str">
        <f>INDEX(Input_DecisionActual[[Decision]:[Decision]],MATCH(Calc_TU_values!$D$235,Input_DecisionActual[[VDO period]:[VDO period]],0),1)</f>
        <v>VDO 2022 - Final</v>
      </c>
      <c r="E353" s="20" t="s">
        <v>192</v>
      </c>
      <c r="F353" s="75" t="str">
        <f>IF($D353="-","-",INDEX(Inputs!$H$10:$U$10,1,MATCH($D353,Inputs!$H$8:$U$8,0)))</f>
        <v>F-PreviousVDO_Input2</v>
      </c>
      <c r="G353" s="52"/>
      <c r="H353" s="20" t="s">
        <v>103</v>
      </c>
      <c r="I353" s="20" t="s">
        <v>226</v>
      </c>
      <c r="J353" s="53" t="s">
        <v>65</v>
      </c>
      <c r="K353" s="60" cm="1">
        <f t="array" ref="K353">IFERROR(INDEX(Input_ForRateCalc[],MATCH($C353&amp;" - "&amp;K$331,Input_ForRateCalc[[Cost item]:[Cost item]],0),MATCH(Calc_TUV_Net_2[[#This Row],[Decision ref]:[Decision ref]],Input_ForRateCalc[#Headers],0)),"-")</f>
        <v>12.838200000000001</v>
      </c>
      <c r="L353" s="60" t="str" cm="1">
        <f t="array" ref="L353">IFERROR(INDEX(Input_ForRateCalc[],MATCH($C353&amp;" - "&amp;L$331,Input_ForRateCalc[[Cost item]:[Cost item]],0),MATCH(Calc_TUV_Net_2[[#This Row],[Decision ref]:[Decision ref]],Input_ForRateCalc[#Headers],0)),"-")</f>
        <v>-</v>
      </c>
      <c r="M353" s="60" t="str" cm="1">
        <f t="array" ref="M353">IFERROR(INDEX(Input_ForRateCalc[],MATCH($C353&amp;" - "&amp;M$331,Input_ForRateCalc[[Cost item]:[Cost item]],0),MATCH(Calc_TUV_Net_2[[#This Row],[Decision ref]:[Decision ref]],Input_ForRateCalc[#Headers],0)),"-")</f>
        <v>-</v>
      </c>
      <c r="N353" s="60" t="str" cm="1">
        <f t="array" ref="N353">IFERROR(INDEX(Input_ForRateCalc[],MATCH($C353&amp;" - "&amp;N$331,Input_ForRateCalc[[Cost item]:[Cost item]],0),MATCH(Calc_TUV_Net_2[[#This Row],[Decision ref]:[Decision ref]],Input_ForRateCalc[#Headers],0)),"-")</f>
        <v>-</v>
      </c>
      <c r="O353" s="60" t="str" cm="1">
        <f t="array" ref="O353">IFERROR(INDEX(Input_ForRateCalc[],MATCH($C353&amp;" - "&amp;O$331,Input_ForRateCalc[[Cost item]:[Cost item]],0),MATCH(Calc_TUV_Net_2[[#This Row],[Decision ref]:[Decision ref]],Input_ForRateCalc[#Headers],0)),"-")</f>
        <v>-</v>
      </c>
    </row>
    <row r="354" spans="3:15" hidden="1" outlineLevel="1">
      <c r="C354" s="53" t="s">
        <v>228</v>
      </c>
      <c r="D354" s="75" t="str">
        <f>INDEX(Input_DecisionActual[[Decision]:[Decision]],MATCH(Calc_TU_values!$D$235,Input_DecisionActual[[VDO period]:[VDO period]],0),1)</f>
        <v>VDO 2022 - Final</v>
      </c>
      <c r="E354" s="20" t="s">
        <v>192</v>
      </c>
      <c r="F354" s="75" t="str">
        <f>IF($D354="-","-",INDEX(Inputs!$H$10:$U$10,1,MATCH($D354,Inputs!$H$8:$U$8,0)))</f>
        <v>F-PreviousVDO_Input2</v>
      </c>
      <c r="G354" s="52"/>
      <c r="H354" s="20" t="s">
        <v>103</v>
      </c>
      <c r="I354" s="20" t="s">
        <v>226</v>
      </c>
      <c r="J354" s="53" t="s">
        <v>65</v>
      </c>
      <c r="K354" s="60" t="str" cm="1">
        <f t="array" ref="K354">IFERROR(INDEX(Input_ForRateCalc[],MATCH($C354&amp;" - "&amp;K$331,Input_ForRateCalc[[Cost item]:[Cost item]],0),MATCH(Calc_TUV_Net_2[[#This Row],[Decision ref]:[Decision ref]],Input_ForRateCalc[#Headers],0)),"-")</f>
        <v>-</v>
      </c>
      <c r="L354" s="60" cm="1">
        <f t="array" ref="L354">IFERROR(INDEX(Input_ForRateCalc[],MATCH($C354&amp;" - "&amp;L$331,Input_ForRateCalc[[Cost item]:[Cost item]],0),MATCH(Calc_TUV_Net_2[[#This Row],[Decision ref]:[Decision ref]],Input_ForRateCalc[#Headers],0)),"-")</f>
        <v>8.0500000000000007</v>
      </c>
      <c r="M354" s="60" cm="1">
        <f t="array" ref="M354">IFERROR(INDEX(Input_ForRateCalc[],MATCH($C354&amp;" - "&amp;M$331,Input_ForRateCalc[[Cost item]:[Cost item]],0),MATCH(Calc_TUV_Net_2[[#This Row],[Decision ref]:[Decision ref]],Input_ForRateCalc[#Headers],0)),"-")</f>
        <v>8.67</v>
      </c>
      <c r="N354" s="60" cm="1">
        <f t="array" ref="N354">IFERROR(INDEX(Input_ForRateCalc[],MATCH($C354&amp;" - "&amp;N$331,Input_ForRateCalc[[Cost item]:[Cost item]],0),MATCH(Calc_TUV_Net_2[[#This Row],[Decision ref]:[Decision ref]],Input_ForRateCalc[#Headers],0)),"-")</f>
        <v>8.15</v>
      </c>
      <c r="O354" s="60" cm="1">
        <f t="array" ref="O354">IFERROR(INDEX(Input_ForRateCalc[],MATCH($C354&amp;" - "&amp;O$331,Input_ForRateCalc[[Cost item]:[Cost item]],0),MATCH(Calc_TUV_Net_2[[#This Row],[Decision ref]:[Decision ref]],Input_ForRateCalc[#Headers],0)),"-")</f>
        <v>7.99</v>
      </c>
    </row>
    <row r="355" spans="3:15" hidden="1" outlineLevel="1">
      <c r="C355" s="53" t="s">
        <v>191</v>
      </c>
      <c r="D355" s="75" t="str">
        <f>INDEX(Input_DecisionActual[[Decision]:[Decision]],MATCH(Calc_TU_values!$D$235,Input_DecisionActual[[VDO period]:[VDO period]],0),1)</f>
        <v>VDO 2022 - Final</v>
      </c>
      <c r="E355" s="20" t="s">
        <v>192</v>
      </c>
      <c r="F355" s="75" t="str">
        <f>IF($D355="-","-",INDEX(Inputs!$H$10:$U$10,1,MATCH($D355,Inputs!$H$8:$U$8,0)))</f>
        <v>F-PreviousVDO_Input2</v>
      </c>
      <c r="G355" s="52"/>
      <c r="H355" s="20" t="s">
        <v>103</v>
      </c>
      <c r="I355" s="20" t="s">
        <v>64</v>
      </c>
      <c r="J355" s="53" t="s">
        <v>65</v>
      </c>
      <c r="K355" s="61">
        <f>SUM(
IFERROR(K352/100*SUMIFS(INDEX(TUNet_Usage_PerRate_2[],0,MATCH(K$331,TUNet_Usage_PerRate_2[#Headers],0)),TUNet_Usage_PerRate_2[Customer type],Calc_TUV_Net_2[[#This Row],[Customer type]],TUNet_Usage_PerRate_2[Description],"Usage per customer - Block 1"),0),
IFERROR(K353/100*SUMIFS(INDEX(TUNet_Usage_PerRate_2[],0,MATCH(K$331,TUNet_Usage_PerRate_2[#Headers],0)),TUNet_Usage_PerRate_2[Customer type],Calc_TUV_Net_2[[#This Row],[Customer type]],TUNet_Usage_PerRate_2[Description],"Usage per customer - Balance"),0),
IFERROR(K354/100*SUMIFS(INDEX(TUNet_Usage_PerRate_2[],0,MATCH(K$331,TUNet_Usage_PerRate_2[#Headers],0)),TUNet_Usage_PerRate_2[Customer type],Calc_TUV_Net_2[[#This Row],[Customer type]],TUNet_Usage_PerRate_2[Description],"Usage per customer - Single rate"),0))</f>
        <v>0</v>
      </c>
      <c r="L355" s="61">
        <f>SUM(
IFERROR(L352/100*SUMIFS(INDEX(TUNet_Usage_PerRate_2[],0,MATCH(L$331,TUNet_Usage_PerRate_2[#Headers],0)),TUNet_Usage_PerRate_2[Customer type],Calc_TUV_Net_2[[#This Row],[Customer type]],TUNet_Usage_PerRate_2[Description],"Usage per customer - Block 1"),0),
IFERROR(L353/100*SUMIFS(INDEX(TUNet_Usage_PerRate_2[],0,MATCH(L$331,TUNet_Usage_PerRate_2[#Headers],0)),TUNet_Usage_PerRate_2[Customer type],Calc_TUV_Net_2[[#This Row],[Customer type]],TUNet_Usage_PerRate_2[Description],"Usage per customer - Balance"),0),
IFERROR(L354/100*SUMIFS(INDEX(TUNet_Usage_PerRate_2[],0,MATCH(L$331,TUNet_Usage_PerRate_2[#Headers],0)),TUNet_Usage_PerRate_2[Customer type],Calc_TUV_Net_2[[#This Row],[Customer type]],TUNet_Usage_PerRate_2[Description],"Usage per customer - Single rate"),0))</f>
        <v>0</v>
      </c>
      <c r="M355" s="61">
        <f>SUM(
IFERROR(M352/100*SUMIFS(INDEX(TUNet_Usage_PerRate_2[],0,MATCH(M$331,TUNet_Usage_PerRate_2[#Headers],0)),TUNet_Usage_PerRate_2[Customer type],Calc_TUV_Net_2[[#This Row],[Customer type]],TUNet_Usage_PerRate_2[Description],"Usage per customer - Block 1"),0),
IFERROR(M353/100*SUMIFS(INDEX(TUNet_Usage_PerRate_2[],0,MATCH(M$331,TUNet_Usage_PerRate_2[#Headers],0)),TUNet_Usage_PerRate_2[Customer type],Calc_TUV_Net_2[[#This Row],[Customer type]],TUNet_Usage_PerRate_2[Description],"Usage per customer - Balance"),0),
IFERROR(M354/100*SUMIFS(INDEX(TUNet_Usage_PerRate_2[],0,MATCH(M$331,TUNet_Usage_PerRate_2[#Headers],0)),TUNet_Usage_PerRate_2[Customer type],Calc_TUV_Net_2[[#This Row],[Customer type]],TUNet_Usage_PerRate_2[Description],"Usage per customer - Single rate"),0))</f>
        <v>0</v>
      </c>
      <c r="N355" s="61">
        <f>SUM(
IFERROR(N352/100*SUMIFS(INDEX(TUNet_Usage_PerRate_2[],0,MATCH(N$331,TUNet_Usage_PerRate_2[#Headers],0)),TUNet_Usage_PerRate_2[Customer type],Calc_TUV_Net_2[[#This Row],[Customer type]],TUNet_Usage_PerRate_2[Description],"Usage per customer - Block 1"),0),
IFERROR(N353/100*SUMIFS(INDEX(TUNet_Usage_PerRate_2[],0,MATCH(N$331,TUNet_Usage_PerRate_2[#Headers],0)),TUNet_Usage_PerRate_2[Customer type],Calc_TUV_Net_2[[#This Row],[Customer type]],TUNet_Usage_PerRate_2[Description],"Usage per customer - Balance"),0),
IFERROR(N354/100*SUMIFS(INDEX(TUNet_Usage_PerRate_2[],0,MATCH(N$331,TUNet_Usage_PerRate_2[#Headers],0)),TUNet_Usage_PerRate_2[Customer type],Calc_TUV_Net_2[[#This Row],[Customer type]],TUNet_Usage_PerRate_2[Description],"Usage per customer - Single rate"),0))</f>
        <v>0</v>
      </c>
      <c r="O355" s="61">
        <f>SUM(
IFERROR(O352/100*SUMIFS(INDEX(TUNet_Usage_PerRate_2[],0,MATCH(O$331,TUNet_Usage_PerRate_2[#Headers],0)),TUNet_Usage_PerRate_2[Customer type],Calc_TUV_Net_2[[#This Row],[Customer type]],TUNet_Usage_PerRate_2[Description],"Usage per customer - Block 1"),0),
IFERROR(O353/100*SUMIFS(INDEX(TUNet_Usage_PerRate_2[],0,MATCH(O$331,TUNet_Usage_PerRate_2[#Headers],0)),TUNet_Usage_PerRate_2[Customer type],Calc_TUV_Net_2[[#This Row],[Customer type]],TUNet_Usage_PerRate_2[Description],"Usage per customer - Balance"),0),
IFERROR(O354/100*SUMIFS(INDEX(TUNet_Usage_PerRate_2[],0,MATCH(O$331,TUNet_Usage_PerRate_2[#Headers],0)),TUNet_Usage_PerRate_2[Customer type],Calc_TUV_Net_2[[#This Row],[Customer type]],TUNet_Usage_PerRate_2[Description],"Usage per customer - Single rate"),0))</f>
        <v>0</v>
      </c>
    </row>
    <row r="356" spans="3:15" hidden="1" outlineLevel="1">
      <c r="C356" s="53" t="s">
        <v>193</v>
      </c>
      <c r="D356" s="20"/>
      <c r="E356" s="20"/>
      <c r="F356" s="20"/>
      <c r="G356" s="20"/>
      <c r="H356" s="20" t="s">
        <v>103</v>
      </c>
      <c r="I356" s="20" t="s">
        <v>64</v>
      </c>
      <c r="J356" s="53" t="s">
        <v>65</v>
      </c>
      <c r="K356" s="59" t="str">
        <f>IF(K355=0,"-",K351-K355)</f>
        <v>-</v>
      </c>
      <c r="L356" s="59" t="str">
        <f t="shared" ref="L356" si="111">IF(L355=0,"-",L351-L355)</f>
        <v>-</v>
      </c>
      <c r="M356" s="59" t="str">
        <f t="shared" ref="M356" si="112">IF(M355=0,"-",M351-M355)</f>
        <v>-</v>
      </c>
      <c r="N356" s="59" t="str">
        <f t="shared" ref="N356" si="113">IF(N355=0,"-",N351-N355)</f>
        <v>-</v>
      </c>
      <c r="O356" s="59" t="str">
        <f t="shared" ref="O356" si="114">IF(O355=0,"-",O351-O355)</f>
        <v>-</v>
      </c>
    </row>
    <row r="357" spans="3:15" hidden="1" outlineLevel="1">
      <c r="C357" s="53" t="s">
        <v>180</v>
      </c>
      <c r="D357" s="20"/>
      <c r="E357" s="20"/>
      <c r="F357" s="20"/>
      <c r="G357" s="20"/>
      <c r="H357" s="20" t="s">
        <v>103</v>
      </c>
      <c r="I357" s="20" t="s">
        <v>64</v>
      </c>
      <c r="J357" s="53" t="s">
        <v>65</v>
      </c>
      <c r="K357" s="60" t="str">
        <f>IF($D$308="Yes",K356*(1+WACC_adj_2),"")</f>
        <v/>
      </c>
      <c r="L357" s="60" t="str">
        <f>IF($D$308="Yes",L356*(1+WACC_adj_2),"")</f>
        <v/>
      </c>
      <c r="M357" s="60" t="str">
        <f>IF($D$308="Yes",M356*(1+WACC_adj_2),"")</f>
        <v/>
      </c>
      <c r="N357" s="60" t="str">
        <f>IF($D$308="Yes",N356*(1+WACC_adj_2),"")</f>
        <v/>
      </c>
      <c r="O357" s="60" t="str">
        <f>IF($D$308="Yes",O356*(1+WACC_adj_2),"")</f>
        <v/>
      </c>
    </row>
    <row r="358" spans="3:15" hidden="1" outlineLevel="1">
      <c r="C358" s="53" t="s">
        <v>195</v>
      </c>
      <c r="D358" s="75" t="str">
        <f>INDEX(Input_DecisionActual[[Decision]:[Decision]],MATCH(Calc_TU_values!$D$235,Input_DecisionActual[[VDO period]:[VDO period]],0),1)</f>
        <v>VDO 2022 - Final</v>
      </c>
      <c r="E358" s="20" t="s">
        <v>192</v>
      </c>
      <c r="F358" s="75" t="str">
        <f>IF($D358="-","-",INDEX(Inputs!$H$10:$U$10,1,MATCH($D358,Inputs!$H$8:$U$8,0)))</f>
        <v>F-PreviousVDO_Input2</v>
      </c>
      <c r="G358" s="20"/>
      <c r="H358" s="20" t="s">
        <v>103</v>
      </c>
      <c r="I358" s="20" t="s">
        <v>64</v>
      </c>
      <c r="J358" s="53" t="s">
        <v>65</v>
      </c>
      <c r="K358" s="60" cm="1">
        <f t="array" ref="K358">IFERROR(SUM(K356:K357)*(INDEX(Inputs!$H$11:$U$134,MATCH("Retail operating margin",Input_ForRateCalc[[Cost item]:[Cost item]],0),MATCH(Calc_TUV_Net_2[[#This Row],[Decision ref]:[Decision ref]],Inputs!$H$10:$U$10,0))),"-")</f>
        <v>0</v>
      </c>
      <c r="L358" s="60" cm="1">
        <f t="array" ref="L358">IFERROR(SUM(L356:L357)*(INDEX(Inputs!$H$11:$U$134,MATCH("Retail operating margin",Input_ForRateCalc[[Cost item]:[Cost item]],0),MATCH(Calc_TUV_Net_2[[#This Row],[Decision ref]:[Decision ref]],Inputs!$H$10:$U$10,0))),"-")</f>
        <v>0</v>
      </c>
      <c r="M358" s="60" cm="1">
        <f t="array" ref="M358">IFERROR(SUM(M356:M357)*(INDEX(Inputs!$H$11:$U$134,MATCH("Retail operating margin",Input_ForRateCalc[[Cost item]:[Cost item]],0),MATCH(Calc_TUV_Net_2[[#This Row],[Decision ref]:[Decision ref]],Inputs!$H$10:$U$10,0))),"-")</f>
        <v>0</v>
      </c>
      <c r="N358" s="60" cm="1">
        <f t="array" ref="N358">IFERROR(SUM(N356:N357)*(INDEX(Inputs!$H$11:$U$134,MATCH("Retail operating margin",Input_ForRateCalc[[Cost item]:[Cost item]],0),MATCH(Calc_TUV_Net_2[[#This Row],[Decision ref]:[Decision ref]],Inputs!$H$10:$U$10,0))),"-")</f>
        <v>0</v>
      </c>
      <c r="O358" s="60" cm="1">
        <f t="array" ref="O358">IFERROR(SUM(O356:O357)*(INDEX(Inputs!$H$11:$U$134,MATCH("Retail operating margin",Input_ForRateCalc[[Cost item]:[Cost item]],0),MATCH(Calc_TUV_Net_2[[#This Row],[Decision ref]:[Decision ref]],Inputs!$H$10:$U$10,0))),"-")</f>
        <v>0</v>
      </c>
    </row>
    <row r="359" spans="3:15" hidden="1" outlineLevel="1">
      <c r="C359" s="53" t="s">
        <v>196</v>
      </c>
      <c r="D359" s="20"/>
      <c r="E359" s="20"/>
      <c r="F359" s="20"/>
      <c r="G359" s="20"/>
      <c r="H359" s="20" t="s">
        <v>103</v>
      </c>
      <c r="I359" s="20" t="s">
        <v>64</v>
      </c>
      <c r="J359" s="53" t="s">
        <v>65</v>
      </c>
      <c r="K359" s="60" t="str">
        <f>IF(K355=0,"-",SUM(K356:K358)*GST)</f>
        <v>-</v>
      </c>
      <c r="L359" s="60" t="str">
        <f>IF(L355=0,"-",SUM(L356:L358)*GST)</f>
        <v>-</v>
      </c>
      <c r="M359" s="60" t="str">
        <f>IF(M355=0,"-",SUM(M356:M358)*GST)</f>
        <v>-</v>
      </c>
      <c r="N359" s="60" t="str">
        <f>IF(N355=0,"-",SUM(N356:N358)*GST)</f>
        <v>-</v>
      </c>
      <c r="O359" s="60" t="str">
        <f>IF(O355=0,"-",SUM(O356:O358)*GST)</f>
        <v>-</v>
      </c>
    </row>
    <row r="360" spans="3:15" hidden="1" outlineLevel="1">
      <c r="C360" s="53" t="s">
        <v>229</v>
      </c>
      <c r="D360" s="20"/>
      <c r="E360" s="20"/>
      <c r="F360" s="20"/>
      <c r="H360" s="20" t="s">
        <v>103</v>
      </c>
      <c r="I360" s="20" t="s">
        <v>64</v>
      </c>
      <c r="J360" s="53" t="s">
        <v>65</v>
      </c>
      <c r="K360" s="60" t="str">
        <f>IF(K355=0,"-",SUM(K356:K359))</f>
        <v>-</v>
      </c>
      <c r="L360" s="60" t="str">
        <f t="shared" ref="L360:O360" si="115">IF(L355=0,"-",SUM(L356:L359))</f>
        <v>-</v>
      </c>
      <c r="M360" s="60" t="str">
        <f t="shared" si="115"/>
        <v>-</v>
      </c>
      <c r="N360" s="60" t="str">
        <f t="shared" si="115"/>
        <v>-</v>
      </c>
      <c r="O360" s="60" t="str">
        <f t="shared" si="115"/>
        <v>-</v>
      </c>
    </row>
    <row r="361" spans="3:15" hidden="1" outlineLevel="1">
      <c r="C361" s="53"/>
      <c r="D361" s="20"/>
      <c r="E361" s="20"/>
      <c r="F361" s="20"/>
      <c r="G361" s="20"/>
      <c r="H361" s="20"/>
      <c r="I361" s="20"/>
      <c r="J361" s="20"/>
      <c r="K361" s="59"/>
      <c r="L361" s="59"/>
      <c r="M361" s="59"/>
      <c r="N361" s="59"/>
      <c r="O361" s="59"/>
    </row>
    <row r="362" spans="3:15" hidden="1" outlineLevel="1">
      <c r="C362" s="51" t="s">
        <v>230</v>
      </c>
      <c r="D362" s="20"/>
      <c r="E362" s="20"/>
      <c r="F362" s="20"/>
      <c r="G362" s="62" t="s">
        <v>121</v>
      </c>
      <c r="H362" s="20"/>
      <c r="I362" s="20"/>
      <c r="J362" s="20"/>
      <c r="K362" s="59"/>
      <c r="L362" s="59"/>
      <c r="M362" s="59"/>
      <c r="N362" s="59"/>
      <c r="O362" s="59"/>
    </row>
    <row r="363" spans="3:15" hidden="1" outlineLevel="1">
      <c r="C363" s="53" t="s">
        <v>231</v>
      </c>
      <c r="D363" s="75" t="str">
        <f>Calc_TU_values!$D$235</f>
        <v>VDO 2022-23 - Final</v>
      </c>
      <c r="E363" s="20" t="s">
        <v>190</v>
      </c>
      <c r="F363" s="75" t="str">
        <f>INDEX(Inputs!$H$10:$U$10,1,MATCH($D363,Inputs!$H$8:$U$8,0))</f>
        <v>F-CurrentVDO_Input</v>
      </c>
      <c r="G363" s="20"/>
      <c r="H363" s="20" t="s">
        <v>103</v>
      </c>
      <c r="I363" s="20" t="s">
        <v>226</v>
      </c>
      <c r="J363" s="53" t="s">
        <v>65</v>
      </c>
      <c r="K363" s="60" cm="1">
        <f t="array" ref="K363">IFERROR(INDEX(Input_ForRateCalc[],MATCH($C363&amp;" - "&amp;K$331,Input_ForRateCalc[[Cost item]:[Cost item]],0),MATCH(Calc_TUV_Net_2[[#This Row],[Decision ref]:[Decision ref]],Input_ForRateCalc[#Headers],0)),"-")</f>
        <v>4.7466999999999997</v>
      </c>
      <c r="L363" s="60" cm="1">
        <f t="array" ref="L363">IFERROR(INDEX(Input_ForRateCalc[],MATCH($C363&amp;" - "&amp;L$331,Input_ForRateCalc[[Cost item]:[Cost item]],0),MATCH(Calc_TUV_Net_2[[#This Row],[Decision ref]:[Decision ref]],Input_ForRateCalc[#Headers],0)),"-")</f>
        <v>2.2200000000000002</v>
      </c>
      <c r="M363" s="60" cm="1">
        <f t="array" ref="M363">IFERROR(INDEX(Input_ForRateCalc[],MATCH($C363&amp;" - "&amp;M$331,Input_ForRateCalc[[Cost item]:[Cost item]],0),MATCH(Calc_TUV_Net_2[[#This Row],[Decision ref]:[Decision ref]],Input_ForRateCalc[#Headers],0)),"-")</f>
        <v>3.448</v>
      </c>
      <c r="N363" s="60" cm="1">
        <f t="array" ref="N363">IFERROR(INDEX(Input_ForRateCalc[],MATCH($C363&amp;" - "&amp;N$331,Input_ForRateCalc[[Cost item]:[Cost item]],0),MATCH(Calc_TUV_Net_2[[#This Row],[Decision ref]:[Decision ref]],Input_ForRateCalc[#Headers],0)),"-")</f>
        <v>2.35</v>
      </c>
      <c r="O363" s="60" cm="1">
        <f t="array" ref="O363">IFERROR(INDEX(Input_ForRateCalc[],MATCH($C363&amp;" - "&amp;O$331,Input_ForRateCalc[[Cost item]:[Cost item]],0),MATCH(Calc_TUV_Net_2[[#This Row],[Decision ref]:[Decision ref]],Input_ForRateCalc[#Headers],0)),"-")</f>
        <v>2.34</v>
      </c>
    </row>
    <row r="364" spans="3:15" hidden="1" outlineLevel="1">
      <c r="C364" s="53" t="s">
        <v>191</v>
      </c>
      <c r="D364" s="75" t="str">
        <f>Calc_TU_values!$D$235</f>
        <v>VDO 2022-23 - Final</v>
      </c>
      <c r="E364" s="20" t="s">
        <v>190</v>
      </c>
      <c r="F364" s="75" t="str">
        <f>INDEX(Inputs!$H$10:$U$10,1,MATCH($D364,Inputs!$H$8:$U$8,0))</f>
        <v>F-CurrentVDO_Input</v>
      </c>
      <c r="G364" s="20"/>
      <c r="H364" s="20" t="s">
        <v>103</v>
      </c>
      <c r="I364" s="20" t="s">
        <v>64</v>
      </c>
      <c r="J364" s="53" t="s">
        <v>65</v>
      </c>
      <c r="K364" s="61" t="str" cm="1">
        <f t="array" ref="K364">IFERROR(TUProp_CLLoad_2*SUM(
IFERROR(K363/100*INDEX(Input_Usage[#All],MATCH(Calc_TUV_Net_2[[#This Row],[Customer type]:[Customer type]]&amp;" - medium - controlled load",Input_Usage[[#All],[Ref]],0),MATCH($F364,Input_Usage[#Headers],0)),0)),"-")</f>
        <v>-</v>
      </c>
      <c r="L364" s="61" t="str" cm="1">
        <f t="array" ref="L364">IFERROR(TUProp_CLLoad_2*SUM(
IFERROR(L363/100*INDEX(Input_Usage[#All],MATCH(Calc_TUV_Net_2[[#This Row],[Customer type]:[Customer type]]&amp;" - medium - controlled load",Input_Usage[[#All],[Unit]],0),MATCH($F364,Input_Usage[#Headers],0)),0)),"-")</f>
        <v>-</v>
      </c>
      <c r="M364" s="61" t="str" cm="1">
        <f t="array" ref="M364">IFERROR(TUProp_CLLoad_2*SUM(
IFERROR(M363/100*INDEX(Input_Usage[#All],MATCH(Calc_TUV_Net_2[[#This Row],[Customer type]:[Customer type]]&amp;" - medium - controlled load",Input_Usage[[#All],[Customer type]],0),MATCH($F364,Input_Usage[#Headers],0)),0)),"-")</f>
        <v>-</v>
      </c>
      <c r="N364" s="61" t="str" cm="1">
        <f t="array" ref="N364">IFERROR(TUProp_CLLoad_2*SUM(
IFERROR(N363/100*INDEX(Input_Usage[#All],MATCH(Calc_TUV_Net_2[[#This Row],[Customer type]:[Customer type]]&amp;" - medium - controlled load",Input_Usage[[#All],[Tariff type]],0),MATCH($F364,Input_Usage[#Headers],0)),0)),"-")</f>
        <v>-</v>
      </c>
      <c r="O364" s="61" t="str" cm="1">
        <f t="array" ref="O364">IFERROR(TUProp_CLLoad_2*SUM(
IFERROR(O363/100*INDEX(Input_Usage[#All],MATCH(Calc_TUV_Net_2[[#This Row],[Customer type]:[Customer type]]&amp;" - medium - controlled load",Input_Usage[[#All],[F-PreviousVDO_Input]],0),MATCH($F364,Input_Usage[#Headers],0)),0)),"-")</f>
        <v>-</v>
      </c>
    </row>
    <row r="365" spans="3:15" hidden="1" outlineLevel="1">
      <c r="C365" s="53" t="s">
        <v>231</v>
      </c>
      <c r="D365" s="75" t="str">
        <f>INDEX(Input_DecisionActual[[Decision]:[Decision]],MATCH(Calc_TU_values!$D$235,Input_DecisionActual[[VDO period]:[VDO period]],0),1)</f>
        <v>VDO 2022 - Final</v>
      </c>
      <c r="E365" s="20" t="s">
        <v>192</v>
      </c>
      <c r="F365" s="75" t="str">
        <f>IF($D365="-","-",INDEX(Inputs!$H$10:$U$10,1,MATCH($D365,Inputs!$H$8:$U$8,0)))</f>
        <v>F-PreviousVDO_Input2</v>
      </c>
      <c r="G365" s="20"/>
      <c r="H365" s="20" t="s">
        <v>103</v>
      </c>
      <c r="I365" s="20" t="s">
        <v>226</v>
      </c>
      <c r="J365" s="53" t="s">
        <v>65</v>
      </c>
      <c r="K365" s="60">
        <f>IFERROR(INDEX(Input_ForRateCalc[],MATCH($C365&amp;" - "&amp;K$331,Input_ForRateCalc[[Cost item]:[Cost item]],0),MATCH($F365,Input_ForRateCalc[#Headers],0)),"-")</f>
        <v>4.2622999999999998</v>
      </c>
      <c r="L365" s="60">
        <f>IFERROR(INDEX(Input_ForRateCalc[],MATCH($C365&amp;" - "&amp;L$331,Input_ForRateCalc[[Cost item]:[Cost item]],0),MATCH($F365,Input_ForRateCalc[#Headers],0)),"-")</f>
        <v>2.4700000000000002</v>
      </c>
      <c r="M365" s="60">
        <f>IFERROR(INDEX(Input_ForRateCalc[],MATCH($C365&amp;" - "&amp;M$331,Input_ForRateCalc[[Cost item]:[Cost item]],0),MATCH($F365,Input_ForRateCalc[#Headers],0)),"-")</f>
        <v>3.5990000000000002</v>
      </c>
      <c r="N365" s="60">
        <f>IFERROR(INDEX(Input_ForRateCalc[],MATCH($C365&amp;" - "&amp;N$331,Input_ForRateCalc[[Cost item]:[Cost item]],0),MATCH($F365,Input_ForRateCalc[#Headers],0)),"-")</f>
        <v>2.39</v>
      </c>
      <c r="O365" s="60">
        <f>IFERROR(INDEX(Input_ForRateCalc[],MATCH($C365&amp;" - "&amp;O$331,Input_ForRateCalc[[Cost item]:[Cost item]],0),MATCH($F365,Input_ForRateCalc[#Headers],0)),"-")</f>
        <v>2.17</v>
      </c>
    </row>
    <row r="366" spans="3:15" hidden="1" outlineLevel="1">
      <c r="C366" s="53" t="s">
        <v>191</v>
      </c>
      <c r="D366" s="75" t="str">
        <f>INDEX(Input_DecisionActual[[Decision]:[Decision]],MATCH(Calc_TU_values!$D$235,Input_DecisionActual[[VDO period]:[VDO period]],0),1)</f>
        <v>VDO 2022 - Final</v>
      </c>
      <c r="E366" s="20" t="s">
        <v>192</v>
      </c>
      <c r="F366" s="75" t="str">
        <f>IF($D366="-","-",INDEX(Inputs!$H$10:$U$10,1,MATCH($D366,Inputs!$H$8:$U$8,0)))</f>
        <v>F-PreviousVDO_Input2</v>
      </c>
      <c r="G366" s="20"/>
      <c r="H366" s="20" t="s">
        <v>103</v>
      </c>
      <c r="I366" s="20" t="s">
        <v>64</v>
      </c>
      <c r="J366" s="53" t="s">
        <v>65</v>
      </c>
      <c r="K366" s="61" t="str" cm="1">
        <f t="array" ref="K366">IFERROR(TUProp_CLLoad_2*SUM(
IFERROR(K365/100*INDEX(Input_Usage[#All],MATCH(Calc_TUV_Net_2[[#This Row],[Customer type]:[Customer type]]&amp;" - medium - controlled load",Input_Usage[[#All],[Ref]],0),MATCH($F366,Input_Usage[#Headers],0)),0)),"-")</f>
        <v>-</v>
      </c>
      <c r="L366" s="207" t="str" cm="1">
        <f t="array" ref="L366">IFERROR(TUProp_CLLoad_2*SUM(
IFERROR(L365/100*INDEX(Input_Usage[#All],MATCH(Calc_TUV_Net_2[[#This Row],[Customer type]:[Customer type]]&amp;" - medium - controlled load",Input_Usage[[#All],[Ref]],0),MATCH($F366,Input_Usage[#Headers],0)),0)),"-")</f>
        <v>-</v>
      </c>
      <c r="M366" s="207" t="str" cm="1">
        <f t="array" ref="M366">IFERROR(TUProp_CLLoad_2*SUM(
IFERROR(M365/100*INDEX(Input_Usage[#All],MATCH(Calc_TUV_Net_2[[#This Row],[Customer type]:[Customer type]]&amp;" - medium - controlled load",Input_Usage[[#All],[Ref]],0),MATCH($F366,Input_Usage[#Headers],0)),0)),"-")</f>
        <v>-</v>
      </c>
      <c r="N366" s="207" t="str" cm="1">
        <f t="array" ref="N366">IFERROR(TUProp_CLLoad_2*SUM(
IFERROR(N365/100*INDEX(Input_Usage[#All],MATCH(Calc_TUV_Net_2[[#This Row],[Customer type]:[Customer type]]&amp;" - medium - controlled load",Input_Usage[[#All],[Ref]],0),MATCH($F366,Input_Usage[#Headers],0)),0)),"-")</f>
        <v>-</v>
      </c>
      <c r="O366" s="207" t="str" cm="1">
        <f t="array" ref="O366">IFERROR(TUProp_CLLoad_2*SUM(
IFERROR(O365/100*INDEX(Input_Usage[#All],MATCH(Calc_TUV_Net_2[[#This Row],[Customer type]:[Customer type]]&amp;" - medium - controlled load",Input_Usage[[#All],[Ref]],0),MATCH($F366,Input_Usage[#Headers],0)),0)),"-")</f>
        <v>-</v>
      </c>
    </row>
    <row r="367" spans="3:15" hidden="1" outlineLevel="1">
      <c r="C367" s="53" t="s">
        <v>193</v>
      </c>
      <c r="D367" s="20"/>
      <c r="E367" s="20"/>
      <c r="F367" s="20"/>
      <c r="G367" s="20"/>
      <c r="H367" s="20" t="s">
        <v>103</v>
      </c>
      <c r="I367" s="20" t="s">
        <v>64</v>
      </c>
      <c r="J367" s="53" t="s">
        <v>65</v>
      </c>
      <c r="K367" s="59" t="str">
        <f>IFERROR(IF(K366=0,"-",K364-K366),"-")</f>
        <v>-</v>
      </c>
      <c r="L367" s="59" t="str">
        <f t="shared" ref="L367:O367" si="116">IFERROR(IF(L366=0,"-",L364-L366),"-")</f>
        <v>-</v>
      </c>
      <c r="M367" s="59" t="str">
        <f t="shared" si="116"/>
        <v>-</v>
      </c>
      <c r="N367" s="59" t="str">
        <f t="shared" si="116"/>
        <v>-</v>
      </c>
      <c r="O367" s="59" t="str">
        <f t="shared" si="116"/>
        <v>-</v>
      </c>
    </row>
    <row r="368" spans="3:15" hidden="1" outlineLevel="1">
      <c r="C368" s="53" t="s">
        <v>180</v>
      </c>
      <c r="D368" s="20"/>
      <c r="E368" s="20"/>
      <c r="F368" s="20"/>
      <c r="G368" s="20"/>
      <c r="H368" s="20" t="s">
        <v>103</v>
      </c>
      <c r="I368" s="20" t="s">
        <v>64</v>
      </c>
      <c r="J368" s="53" t="s">
        <v>65</v>
      </c>
      <c r="K368" s="60" t="str">
        <f>IF($D$308="Yes",K367*(1+WACC_adj_2),"")</f>
        <v/>
      </c>
      <c r="L368" s="60" t="str">
        <f>IF($D$308="Yes",L367*(1+WACC_adj_2),"")</f>
        <v/>
      </c>
      <c r="M368" s="60" t="str">
        <f>IF($D$308="Yes",M367*(1+WACC_adj_2),"")</f>
        <v/>
      </c>
      <c r="N368" s="60" t="str">
        <f>IF($D$308="Yes",N367*(1+WACC_adj_2),"")</f>
        <v/>
      </c>
      <c r="O368" s="60" t="str">
        <f>IF($D$308="Yes",O367*(1+WACC_adj_2),"")</f>
        <v/>
      </c>
    </row>
    <row r="369" spans="3:15" hidden="1" outlineLevel="1">
      <c r="C369" s="53" t="s">
        <v>195</v>
      </c>
      <c r="D369" s="75" t="str">
        <f>INDEX(Input_DecisionActual[[Decision]:[Decision]],MATCH(Calc_TU_values!$D$235,Input_DecisionActual[[VDO period]:[VDO period]],0),1)</f>
        <v>VDO 2022 - Final</v>
      </c>
      <c r="E369" s="20" t="s">
        <v>192</v>
      </c>
      <c r="F369" s="75" t="str">
        <f>IF($D369="-","-",INDEX(Inputs!$H$10:$U$10,1,MATCH($D369,Inputs!$H$8:$U$8,0)))</f>
        <v>F-PreviousVDO_Input2</v>
      </c>
      <c r="G369" s="20"/>
      <c r="H369" s="20" t="s">
        <v>103</v>
      </c>
      <c r="I369" s="20" t="s">
        <v>64</v>
      </c>
      <c r="J369" s="53" t="s">
        <v>65</v>
      </c>
      <c r="K369" s="60" cm="1">
        <f t="array" ref="K369">IFERROR(SUM(K367:K368)*(INDEX(Inputs!$H$11:$U$134,MATCH("Retail operating margin",Input_ForRateCalc[[Cost item]:[Cost item]],0),MATCH(Calc_TUV_Net_2[[#This Row],[Decision ref]:[Decision ref]],Inputs!$H$10:$U$10,0))),"-")</f>
        <v>0</v>
      </c>
      <c r="L369" s="60" cm="1">
        <f t="array" ref="L369">IFERROR(SUM(L367:L368)*(INDEX(Inputs!$H$11:$U$134,MATCH("Retail operating margin",Input_ForRateCalc[[Cost item]:[Cost item]],0),MATCH(Calc_TUV_Net_2[[#This Row],[Decision ref]:[Decision ref]],Inputs!$H$10:$U$10,0))),"-")</f>
        <v>0</v>
      </c>
      <c r="M369" s="60" cm="1">
        <f t="array" ref="M369">IFERROR(SUM(M367:M368)*(INDEX(Inputs!$H$11:$U$134,MATCH("Retail operating margin",Input_ForRateCalc[[Cost item]:[Cost item]],0),MATCH(Calc_TUV_Net_2[[#This Row],[Decision ref]:[Decision ref]],Inputs!$H$10:$U$10,0))),"-")</f>
        <v>0</v>
      </c>
      <c r="N369" s="60" cm="1">
        <f t="array" ref="N369">IFERROR(SUM(N367:N368)*(INDEX(Inputs!$H$11:$U$134,MATCH("Retail operating margin",Input_ForRateCalc[[Cost item]:[Cost item]],0),MATCH(Calc_TUV_Net_2[[#This Row],[Decision ref]:[Decision ref]],Inputs!$H$10:$U$10,0))),"-")</f>
        <v>0</v>
      </c>
      <c r="O369" s="60" cm="1">
        <f t="array" ref="O369">IFERROR(SUM(O367:O368)*(INDEX(Inputs!$H$11:$U$134,MATCH("Retail operating margin",Input_ForRateCalc[[Cost item]:[Cost item]],0),MATCH(Calc_TUV_Net_2[[#This Row],[Decision ref]:[Decision ref]],Inputs!$H$10:$U$10,0))),"-")</f>
        <v>0</v>
      </c>
    </row>
    <row r="370" spans="3:15" hidden="1" outlineLevel="1">
      <c r="C370" s="53" t="s">
        <v>196</v>
      </c>
      <c r="D370" s="20"/>
      <c r="E370" s="20"/>
      <c r="F370" s="20"/>
      <c r="G370" s="20"/>
      <c r="H370" s="20" t="s">
        <v>103</v>
      </c>
      <c r="I370" s="20" t="s">
        <v>64</v>
      </c>
      <c r="J370" s="53" t="s">
        <v>65</v>
      </c>
      <c r="K370" s="60">
        <f>IF(K366=0,"-",SUM(K367:K369)*GST)</f>
        <v>0</v>
      </c>
      <c r="L370" s="60">
        <f>IF(L366=0,"-",SUM(L367:L369)*GST)</f>
        <v>0</v>
      </c>
      <c r="M370" s="60">
        <f>IF(M366=0,"-",SUM(M367:M369)*GST)</f>
        <v>0</v>
      </c>
      <c r="N370" s="60">
        <f>IF(N366=0,"-",SUM(N367:N369)*GST)</f>
        <v>0</v>
      </c>
      <c r="O370" s="60">
        <f>IF(O366=0,"-",SUM(O367:O369)*GST)</f>
        <v>0</v>
      </c>
    </row>
    <row r="371" spans="3:15" hidden="1" outlineLevel="1">
      <c r="C371" s="53" t="s">
        <v>232</v>
      </c>
      <c r="D371" s="20"/>
      <c r="E371" s="20"/>
      <c r="F371" s="20"/>
      <c r="H371" s="20" t="s">
        <v>103</v>
      </c>
      <c r="I371" s="20" t="s">
        <v>64</v>
      </c>
      <c r="J371" s="53" t="s">
        <v>65</v>
      </c>
      <c r="K371" s="60">
        <f>IF(K366=0,"-",SUM(K367:K370))</f>
        <v>0</v>
      </c>
      <c r="L371" s="60">
        <f>IF(L366=0,"-",SUM(L367:L370))</f>
        <v>0</v>
      </c>
      <c r="M371" s="60">
        <f>IF(M366=0,"-",SUM(M367:M370))</f>
        <v>0</v>
      </c>
      <c r="N371" s="60">
        <f>IF(N366=0,"-",SUM(N367:N370))</f>
        <v>0</v>
      </c>
      <c r="O371" s="60">
        <f>IF(O366=0,"-",SUM(O367:O370))</f>
        <v>0</v>
      </c>
    </row>
    <row r="372" spans="3:15" hidden="1" outlineLevel="1">
      <c r="C372" s="53"/>
      <c r="D372" s="20"/>
      <c r="E372" s="20"/>
      <c r="F372" s="20"/>
      <c r="G372" s="20"/>
      <c r="H372" s="20"/>
      <c r="I372" s="20"/>
      <c r="J372" s="20"/>
      <c r="K372" s="59"/>
      <c r="L372" s="59"/>
      <c r="M372" s="59"/>
      <c r="N372" s="59"/>
      <c r="O372" s="59"/>
    </row>
    <row r="373" spans="3:15" ht="15.5" hidden="1" outlineLevel="1">
      <c r="C373" s="120" t="s">
        <v>203</v>
      </c>
      <c r="D373" s="20"/>
      <c r="E373" s="20"/>
      <c r="F373" s="20"/>
      <c r="G373" s="62" t="s">
        <v>121</v>
      </c>
      <c r="H373" s="20"/>
      <c r="I373" s="20"/>
      <c r="J373" s="20"/>
      <c r="K373" s="59"/>
      <c r="L373" s="20"/>
      <c r="M373" s="20"/>
      <c r="N373" s="20"/>
      <c r="O373" s="20"/>
    </row>
    <row r="374" spans="3:15" hidden="1" outlineLevel="1">
      <c r="C374" s="51" t="s">
        <v>233</v>
      </c>
      <c r="D374" s="51"/>
      <c r="E374" s="51"/>
      <c r="F374" s="51"/>
      <c r="G374" s="62"/>
      <c r="H374" s="62"/>
      <c r="I374" s="20"/>
      <c r="J374" s="20"/>
      <c r="K374" s="59"/>
      <c r="L374" s="20"/>
      <c r="M374" s="20"/>
      <c r="N374" s="20"/>
      <c r="O374" s="20"/>
    </row>
    <row r="375" spans="3:15" hidden="1" outlineLevel="1">
      <c r="C375" s="53" t="s">
        <v>234</v>
      </c>
      <c r="D375" s="75" t="str">
        <f>Calc_TU_values!$D$235</f>
        <v>VDO 2022-23 - Final</v>
      </c>
      <c r="E375" s="20" t="s">
        <v>190</v>
      </c>
      <c r="F375" s="75" t="str">
        <f>INDEX(Inputs!$H$10:$U$10,1,MATCH($D375,Inputs!$H$8:$U$8,0))</f>
        <v>F-CurrentVDO_Input</v>
      </c>
      <c r="G375" s="52"/>
      <c r="H375" s="20" t="s">
        <v>90</v>
      </c>
      <c r="I375" s="20" t="s">
        <v>64</v>
      </c>
      <c r="J375" s="53" t="s">
        <v>66</v>
      </c>
      <c r="K375" s="60" t="str" cm="1">
        <f t="array" ref="K375">IFERROR(INDEX(Input_ForRateCalc[],MATCH($C375&amp;" - "&amp;K$331,Input_ForRateCalc[[Cost item]:[Cost item]],0),MATCH(Calc_TUV_Net_2[[#This Row],[Decision ref]:[Decision ref]],Input_ForRateCalc[#Headers],0))*TUProp_Days_2,"-")</f>
        <v>-</v>
      </c>
      <c r="L375" s="60" t="str" cm="1">
        <f t="array" ref="L375">IFERROR(INDEX(Input_ForRateCalc[],MATCH($C375&amp;" - "&amp;L$331,Input_ForRateCalc[[Cost item]:[Cost item]],0),MATCH(Calc_TUV_Net_2[[#This Row],[Decision ref]:[Decision ref]],Input_ForRateCalc[#Headers],0))*TUProp_Days_2,"-")</f>
        <v>-</v>
      </c>
      <c r="M375" s="60" t="str" cm="1">
        <f t="array" ref="M375">IFERROR(INDEX(Input_ForRateCalc[],MATCH($C375&amp;" - "&amp;M$331,Input_ForRateCalc[[Cost item]:[Cost item]],0),MATCH(Calc_TUV_Net_2[[#This Row],[Decision ref]:[Decision ref]],Input_ForRateCalc[#Headers],0))*TUProp_Days_2,"-")</f>
        <v>-</v>
      </c>
      <c r="N375" s="60" t="str" cm="1">
        <f t="array" ref="N375">IFERROR(INDEX(Input_ForRateCalc[],MATCH($C375&amp;" - "&amp;N$331,Input_ForRateCalc[[Cost item]:[Cost item]],0),MATCH(Calc_TUV_Net_2[[#This Row],[Decision ref]:[Decision ref]],Input_ForRateCalc[#Headers],0))*TUProp_Days_2,"-")</f>
        <v>-</v>
      </c>
      <c r="O375" s="60" t="str" cm="1">
        <f t="array" ref="O375">IFERROR(INDEX(Input_ForRateCalc[],MATCH($C375&amp;" - "&amp;O$331,Input_ForRateCalc[[Cost item]:[Cost item]],0),MATCH(Calc_TUV_Net_2[[#This Row],[Decision ref]:[Decision ref]],Input_ForRateCalc[#Headers],0))*TUProp_Days_2,"-")</f>
        <v>-</v>
      </c>
    </row>
    <row r="376" spans="3:15" hidden="1" outlineLevel="1">
      <c r="C376" s="53" t="s">
        <v>94</v>
      </c>
      <c r="D376" s="75" t="str">
        <f>Calc_TU_values!$D$235</f>
        <v>VDO 2022-23 - Final</v>
      </c>
      <c r="E376" s="20" t="s">
        <v>190</v>
      </c>
      <c r="F376" s="75" t="str">
        <f>INDEX(Inputs!$H$10:$U$10,1,MATCH($D376,Inputs!$H$8:$U$8,0))</f>
        <v>F-CurrentVDO_Input</v>
      </c>
      <c r="G376" s="52"/>
      <c r="H376" s="20" t="s">
        <v>90</v>
      </c>
      <c r="I376" s="20" t="s">
        <v>64</v>
      </c>
      <c r="J376" s="53" t="s">
        <v>66</v>
      </c>
      <c r="K376" s="60" t="str" cm="1">
        <f t="array" ref="K376">IFERROR(INDEX(Input_ForRateCalc[],MATCH($C376&amp;" - "&amp;K$331,Input_ForRateCalc[[Cost item]:[Cost item]],0),MATCH(Calc_TUV_Net_2[[#This Row],[Decision ref]:[Decision ref]],Input_ForRateCalc[#Headers],0))*TUProp_Days_2,"-")</f>
        <v>-</v>
      </c>
      <c r="L376" s="60" t="str" cm="1">
        <f t="array" ref="L376">IFERROR(INDEX(Input_ForRateCalc[],MATCH($C376&amp;" - "&amp;L$331,Input_ForRateCalc[[Cost item]:[Cost item]],0),MATCH(Calc_TUV_Net_2[[#This Row],[Decision ref]:[Decision ref]],Input_ForRateCalc[#Headers],0))*TUProp_Days_2,"-")</f>
        <v>-</v>
      </c>
      <c r="M376" s="60" t="str" cm="1">
        <f t="array" ref="M376">IFERROR(INDEX(Input_ForRateCalc[],MATCH($C376&amp;" - "&amp;M$331,Input_ForRateCalc[[Cost item]:[Cost item]],0),MATCH(Calc_TUV_Net_2[[#This Row],[Decision ref]:[Decision ref]],Input_ForRateCalc[#Headers],0))*TUProp_Days_2,"-")</f>
        <v>-</v>
      </c>
      <c r="N376" s="60" t="str" cm="1">
        <f t="array" ref="N376">IFERROR(INDEX(Input_ForRateCalc[],MATCH($C376&amp;" - "&amp;N$331,Input_ForRateCalc[[Cost item]:[Cost item]],0),MATCH(Calc_TUV_Net_2[[#This Row],[Decision ref]:[Decision ref]],Input_ForRateCalc[#Headers],0))*TUProp_Days_2,"-")</f>
        <v>-</v>
      </c>
      <c r="O376" s="60" t="str" cm="1">
        <f t="array" ref="O376">IFERROR(INDEX(Input_ForRateCalc[],MATCH($C376&amp;" - "&amp;O$331,Input_ForRateCalc[[Cost item]:[Cost item]],0),MATCH(Calc_TUV_Net_2[[#This Row],[Decision ref]:[Decision ref]],Input_ForRateCalc[#Headers],0))*TUProp_Days_2,"-")</f>
        <v>-</v>
      </c>
    </row>
    <row r="377" spans="3:15" hidden="1" outlineLevel="1">
      <c r="C377" s="53" t="s">
        <v>191</v>
      </c>
      <c r="D377" s="75" t="str">
        <f>Calc_TU_values!$D$235</f>
        <v>VDO 2022-23 - Final</v>
      </c>
      <c r="E377" s="20" t="s">
        <v>190</v>
      </c>
      <c r="F377" s="75" t="str">
        <f>INDEX(Inputs!$H$10:$U$10,1,MATCH($D377,Inputs!$H$8:$U$8,0))</f>
        <v>F-CurrentVDO_Input</v>
      </c>
      <c r="G377" s="52"/>
      <c r="H377" s="20" t="s">
        <v>90</v>
      </c>
      <c r="I377" s="20" t="s">
        <v>64</v>
      </c>
      <c r="J377" s="53" t="s">
        <v>66</v>
      </c>
      <c r="K377" s="58">
        <f>IFERROR(SUM(K375:K376),"-")</f>
        <v>0</v>
      </c>
      <c r="L377" s="58">
        <f>IFERROR(SUM(L375:L376),"-")</f>
        <v>0</v>
      </c>
      <c r="M377" s="58">
        <f>IFERROR(SUM(M375:M376),"-")</f>
        <v>0</v>
      </c>
      <c r="N377" s="58">
        <f>IFERROR(SUM(N375:N376),"-")</f>
        <v>0</v>
      </c>
      <c r="O377" s="58">
        <f>IFERROR(SUM(O375:O376),"-")</f>
        <v>0</v>
      </c>
    </row>
    <row r="378" spans="3:15" hidden="1" outlineLevel="1">
      <c r="C378" s="53" t="s">
        <v>234</v>
      </c>
      <c r="D378" s="75" t="str">
        <f>INDEX(Input_DecisionActual[[Decision]:[Decision]],MATCH(Calc_TU_values!$D$235,Input_DecisionActual[[VDO period]:[VDO period]],0),1)</f>
        <v>VDO 2022 - Final</v>
      </c>
      <c r="E378" s="20" t="s">
        <v>192</v>
      </c>
      <c r="F378" s="75" t="str">
        <f>IF($D378="-","-",INDEX(Inputs!$H$10:$U$10,1,MATCH($D378,Inputs!$H$8:$U$8,0)))</f>
        <v>F-PreviousVDO_Input2</v>
      </c>
      <c r="G378" s="52"/>
      <c r="H378" s="20" t="s">
        <v>90</v>
      </c>
      <c r="I378" s="20" t="s">
        <v>64</v>
      </c>
      <c r="J378" s="53" t="s">
        <v>66</v>
      </c>
      <c r="K378" s="60" t="str" cm="1">
        <f t="array" ref="K378">IFERROR(INDEX(Input_ForRateCalc[],MATCH($C378&amp;" - "&amp;K$331,Input_ForRateCalc[[Cost item]:[Cost item]],0),MATCH(Calc_TUV_Net_2[[#This Row],[Decision ref]:[Decision ref]],Input_ForRateCalc[#Headers],0))*TUProp_Days_2,"-")</f>
        <v>-</v>
      </c>
      <c r="L378" s="60" t="str" cm="1">
        <f t="array" ref="L378">IFERROR(INDEX(Input_ForRateCalc[],MATCH($C378&amp;" - "&amp;L$331,Input_ForRateCalc[[Cost item]:[Cost item]],0),MATCH(Calc_TUV_Net_2[[#This Row],[Decision ref]:[Decision ref]],Input_ForRateCalc[#Headers],0))*TUProp_Days_2,"-")</f>
        <v>-</v>
      </c>
      <c r="M378" s="60" t="str" cm="1">
        <f t="array" ref="M378">IFERROR(INDEX(Input_ForRateCalc[],MATCH($C378&amp;" - "&amp;M$331,Input_ForRateCalc[[Cost item]:[Cost item]],0),MATCH(Calc_TUV_Net_2[[#This Row],[Decision ref]:[Decision ref]],Input_ForRateCalc[#Headers],0))*TUProp_Days_2,"-")</f>
        <v>-</v>
      </c>
      <c r="N378" s="60" t="str" cm="1">
        <f t="array" ref="N378">IFERROR(INDEX(Input_ForRateCalc[],MATCH($C378&amp;" - "&amp;N$331,Input_ForRateCalc[[Cost item]:[Cost item]],0),MATCH(Calc_TUV_Net_2[[#This Row],[Decision ref]:[Decision ref]],Input_ForRateCalc[#Headers],0))*TUProp_Days_2,"-")</f>
        <v>-</v>
      </c>
      <c r="O378" s="60" t="str" cm="1">
        <f t="array" ref="O378">IFERROR(INDEX(Input_ForRateCalc[],MATCH($C378&amp;" - "&amp;O$331,Input_ForRateCalc[[Cost item]:[Cost item]],0),MATCH(Calc_TUV_Net_2[[#This Row],[Decision ref]:[Decision ref]],Input_ForRateCalc[#Headers],0))*TUProp_Days_2,"-")</f>
        <v>-</v>
      </c>
    </row>
    <row r="379" spans="3:15" hidden="1" outlineLevel="1">
      <c r="C379" s="53" t="s">
        <v>94</v>
      </c>
      <c r="D379" s="75" t="str">
        <f>INDEX(Input_DecisionActual[[Decision]:[Decision]],MATCH(Calc_TU_values!$D$235,Input_DecisionActual[[VDO period]:[VDO period]],0),1)</f>
        <v>VDO 2022 - Final</v>
      </c>
      <c r="E379" s="20" t="s">
        <v>192</v>
      </c>
      <c r="F379" s="75" t="str">
        <f>IF($D379="-","-",INDEX(Inputs!$H$10:$U$10,1,MATCH($D379,Inputs!$H$8:$U$8,0)))</f>
        <v>F-PreviousVDO_Input2</v>
      </c>
      <c r="G379" s="52"/>
      <c r="H379" s="20" t="s">
        <v>90</v>
      </c>
      <c r="I379" s="20" t="s">
        <v>64</v>
      </c>
      <c r="J379" s="53" t="s">
        <v>66</v>
      </c>
      <c r="K379" s="60" t="str" cm="1">
        <f t="array" ref="K379">IFERROR(INDEX(Input_ForRateCalc[],MATCH($C379&amp;" - "&amp;K$331,Input_ForRateCalc[[Cost item]:[Cost item]],0),MATCH(Calc_TUV_Net_2[[#This Row],[Decision ref]:[Decision ref]],Input_ForRateCalc[#Headers],0))*TUProp_Days_2,"-")</f>
        <v>-</v>
      </c>
      <c r="L379" s="60" t="str" cm="1">
        <f t="array" ref="L379">IFERROR(INDEX(Input_ForRateCalc[],MATCH($C379&amp;" - "&amp;L$331,Input_ForRateCalc[[Cost item]:[Cost item]],0),MATCH(Calc_TUV_Net_2[[#This Row],[Decision ref]:[Decision ref]],Input_ForRateCalc[#Headers],0))*TUProp_Days_2,"-")</f>
        <v>-</v>
      </c>
      <c r="M379" s="60" t="str" cm="1">
        <f t="array" ref="M379">IFERROR(INDEX(Input_ForRateCalc[],MATCH($C379&amp;" - "&amp;M$331,Input_ForRateCalc[[Cost item]:[Cost item]],0),MATCH(Calc_TUV_Net_2[[#This Row],[Decision ref]:[Decision ref]],Input_ForRateCalc[#Headers],0))*TUProp_Days_2,"-")</f>
        <v>-</v>
      </c>
      <c r="N379" s="60" t="str" cm="1">
        <f t="array" ref="N379">IFERROR(INDEX(Input_ForRateCalc[],MATCH($C379&amp;" - "&amp;N$331,Input_ForRateCalc[[Cost item]:[Cost item]],0),MATCH(Calc_TUV_Net_2[[#This Row],[Decision ref]:[Decision ref]],Input_ForRateCalc[#Headers],0))*TUProp_Days_2,"-")</f>
        <v>-</v>
      </c>
      <c r="O379" s="60" t="str" cm="1">
        <f t="array" ref="O379">IFERROR(INDEX(Input_ForRateCalc[],MATCH($C379&amp;" - "&amp;O$331,Input_ForRateCalc[[Cost item]:[Cost item]],0),MATCH(Calc_TUV_Net_2[[#This Row],[Decision ref]:[Decision ref]],Input_ForRateCalc[#Headers],0))*TUProp_Days_2,"-")</f>
        <v>-</v>
      </c>
    </row>
    <row r="380" spans="3:15" hidden="1" outlineLevel="1">
      <c r="C380" s="53" t="s">
        <v>191</v>
      </c>
      <c r="D380" s="75" t="str">
        <f>INDEX(Input_DecisionActual[[Decision]:[Decision]],MATCH(Calc_TU_values!$D$235,Input_DecisionActual[[VDO period]:[VDO period]],0),1)</f>
        <v>VDO 2022 - Final</v>
      </c>
      <c r="E380" s="20" t="s">
        <v>192</v>
      </c>
      <c r="F380" s="75" t="str">
        <f>IF($D380="-","-",INDEX(Inputs!$H$10:$U$10,1,MATCH($D380,Inputs!$H$8:$U$8,0)))</f>
        <v>F-PreviousVDO_Input2</v>
      </c>
      <c r="G380" s="52"/>
      <c r="H380" s="20" t="s">
        <v>90</v>
      </c>
      <c r="I380" s="20" t="s">
        <v>64</v>
      </c>
      <c r="J380" s="53" t="s">
        <v>66</v>
      </c>
      <c r="K380" s="59">
        <f>SUM(K378:K379)</f>
        <v>0</v>
      </c>
      <c r="L380" s="59">
        <f>SUM(L378:L379)</f>
        <v>0</v>
      </c>
      <c r="M380" s="59">
        <f>SUM(M378:M379)</f>
        <v>0</v>
      </c>
      <c r="N380" s="59">
        <f>SUM(N378:N379)</f>
        <v>0</v>
      </c>
      <c r="O380" s="59">
        <f>SUM(O378:O379)</f>
        <v>0</v>
      </c>
    </row>
    <row r="381" spans="3:15" hidden="1" outlineLevel="1">
      <c r="C381" s="53" t="s">
        <v>193</v>
      </c>
      <c r="D381" s="20"/>
      <c r="E381" s="20"/>
      <c r="F381" s="20"/>
      <c r="G381" s="53"/>
      <c r="H381" s="20" t="s">
        <v>90</v>
      </c>
      <c r="I381" s="20" t="s">
        <v>64</v>
      </c>
      <c r="J381" s="53" t="s">
        <v>66</v>
      </c>
      <c r="K381" s="59" t="str">
        <f>IF(K380=0,"-",K377-K380)</f>
        <v>-</v>
      </c>
      <c r="L381" s="59" t="str">
        <f t="shared" ref="L381:O381" si="117">IF(L380=0,"-",L377-L380)</f>
        <v>-</v>
      </c>
      <c r="M381" s="59" t="str">
        <f t="shared" si="117"/>
        <v>-</v>
      </c>
      <c r="N381" s="59" t="str">
        <f t="shared" si="117"/>
        <v>-</v>
      </c>
      <c r="O381" s="59" t="str">
        <f t="shared" si="117"/>
        <v>-</v>
      </c>
    </row>
    <row r="382" spans="3:15" hidden="1" outlineLevel="1">
      <c r="C382" s="53" t="s">
        <v>180</v>
      </c>
      <c r="D382" s="20"/>
      <c r="E382" s="20"/>
      <c r="F382" s="20"/>
      <c r="G382" s="53"/>
      <c r="H382" s="20" t="s">
        <v>90</v>
      </c>
      <c r="I382" s="20" t="s">
        <v>64</v>
      </c>
      <c r="J382" s="53" t="s">
        <v>66</v>
      </c>
      <c r="K382" s="60" t="str">
        <f>IFERROR(IF($D$308="Yes",K381*(1+WACC_adj_2),""),"-")</f>
        <v/>
      </c>
      <c r="L382" s="60" t="str">
        <f>IFERROR(IF($D$308="Yes",L381*(1+WACC_adj_2),""),"-")</f>
        <v/>
      </c>
      <c r="M382" s="60" t="str">
        <f>IFERROR(IF($D$308="Yes",M381*(1+WACC_adj_2),""),"-")</f>
        <v/>
      </c>
      <c r="N382" s="60" t="str">
        <f>IFERROR(IF($D$308="Yes",N381*(1+WACC_adj_2),""),"-")</f>
        <v/>
      </c>
      <c r="O382" s="60" t="str">
        <f>IFERROR(IF($D$308="Yes",O381*(1+WACC_adj_2),""),"-")</f>
        <v/>
      </c>
    </row>
    <row r="383" spans="3:15" hidden="1" outlineLevel="1">
      <c r="C383" s="53" t="s">
        <v>195</v>
      </c>
      <c r="D383" s="75" t="str">
        <f>INDEX(Input_DecisionActual[[Decision]:[Decision]],MATCH(Calc_TU_values!$D$235,Input_DecisionActual[[VDO period]:[VDO period]],0),1)</f>
        <v>VDO 2022 - Final</v>
      </c>
      <c r="E383" s="20" t="s">
        <v>192</v>
      </c>
      <c r="F383" s="75" t="str">
        <f>IF($D383="-","-",INDEX(Inputs!$H$10:$U$10,1,MATCH($D383,Inputs!$H$8:$U$8,0)))</f>
        <v>F-PreviousVDO_Input2</v>
      </c>
      <c r="G383" s="53"/>
      <c r="H383" s="20" t="s">
        <v>90</v>
      </c>
      <c r="I383" s="20" t="s">
        <v>64</v>
      </c>
      <c r="J383" s="53" t="s">
        <v>66</v>
      </c>
      <c r="K383" s="60" cm="1">
        <f t="array" ref="K383">IFERROR(SUM(K381:K382)*(INDEX(Inputs!$H$11:$U$134,MATCH("Retail operating margin",Input_ForRateCalc[[Cost item]:[Cost item]],0),MATCH(Calc_TUV_Net_2[[#This Row],[Decision ref]:[Decision ref]],Inputs!$H$10:$U$10,0))),"-")</f>
        <v>0</v>
      </c>
      <c r="L383" s="60" cm="1">
        <f t="array" ref="L383">IFERROR(SUM(L381:L382)*(INDEX(Inputs!$H$11:$U$134,MATCH("Retail operating margin",Input_ForRateCalc[[Cost item]:[Cost item]],0),MATCH(Calc_TUV_Net_2[[#This Row],[Decision ref]:[Decision ref]],Inputs!$H$10:$U$10,0))),"-")</f>
        <v>0</v>
      </c>
      <c r="M383" s="60" cm="1">
        <f t="array" ref="M383">IFERROR(SUM(M381:M382)*(INDEX(Inputs!$H$11:$U$134,MATCH("Retail operating margin",Input_ForRateCalc[[Cost item]:[Cost item]],0),MATCH(Calc_TUV_Net_2[[#This Row],[Decision ref]:[Decision ref]],Inputs!$H$10:$U$10,0))),"-")</f>
        <v>0</v>
      </c>
      <c r="N383" s="60" cm="1">
        <f t="array" ref="N383">IFERROR(SUM(N381:N382)*(INDEX(Inputs!$H$11:$U$134,MATCH("Retail operating margin",Input_ForRateCalc[[Cost item]:[Cost item]],0),MATCH(Calc_TUV_Net_2[[#This Row],[Decision ref]:[Decision ref]],Inputs!$H$10:$U$10,0))),"-")</f>
        <v>0</v>
      </c>
      <c r="O383" s="60" cm="1">
        <f t="array" ref="O383">IFERROR(SUM(O381:O382)*(INDEX(Inputs!$H$11:$U$134,MATCH("Retail operating margin",Input_ForRateCalc[[Cost item]:[Cost item]],0),MATCH(Calc_TUV_Net_2[[#This Row],[Decision ref]:[Decision ref]],Inputs!$H$10:$U$10,0))),"-")</f>
        <v>0</v>
      </c>
    </row>
    <row r="384" spans="3:15" hidden="1" outlineLevel="1">
      <c r="C384" s="53" t="s">
        <v>196</v>
      </c>
      <c r="D384" s="20"/>
      <c r="E384" s="20"/>
      <c r="F384" s="20"/>
      <c r="G384" s="53"/>
      <c r="H384" s="20" t="s">
        <v>90</v>
      </c>
      <c r="I384" s="20" t="s">
        <v>64</v>
      </c>
      <c r="J384" s="53" t="s">
        <v>66</v>
      </c>
      <c r="K384" s="60" t="str">
        <f>IF(K380=0,"-",SUM(K381:K383)*GST)</f>
        <v>-</v>
      </c>
      <c r="L384" s="60" t="str">
        <f>IF(L380=0,"-",SUM(L381:L383)*GST)</f>
        <v>-</v>
      </c>
      <c r="M384" s="60" t="str">
        <f>IF(M380=0,"-",SUM(M381:M383)*GST)</f>
        <v>-</v>
      </c>
      <c r="N384" s="60" t="str">
        <f>IF(N380=0,"-",SUM(N381:N383)*GST)</f>
        <v>-</v>
      </c>
      <c r="O384" s="60" t="str">
        <f>IF(O380=0,"-",SUM(O381:O383)*GST)</f>
        <v>-</v>
      </c>
    </row>
    <row r="385" spans="3:15" hidden="1" outlineLevel="1">
      <c r="C385" s="20" t="s">
        <v>223</v>
      </c>
      <c r="D385" s="20"/>
      <c r="E385" s="20"/>
      <c r="F385" s="20"/>
      <c r="G385" s="53"/>
      <c r="H385" s="20" t="s">
        <v>90</v>
      </c>
      <c r="I385" s="20" t="s">
        <v>64</v>
      </c>
      <c r="J385" s="53" t="s">
        <v>66</v>
      </c>
      <c r="K385" s="60" t="str">
        <f>IF(K380=0,"-",SUM(K381:K384))</f>
        <v>-</v>
      </c>
      <c r="L385" s="60" t="str">
        <f>IF(L380=0,"-",SUM(L381:L384))</f>
        <v>-</v>
      </c>
      <c r="M385" s="60" t="str">
        <f>IF(M380=0,"-",SUM(M381:M384))</f>
        <v>-</v>
      </c>
      <c r="N385" s="60" t="str">
        <f>IF(N380=0,"-",SUM(N381:N384))</f>
        <v>-</v>
      </c>
      <c r="O385" s="60" t="str">
        <f>IF(O380=0,"-",SUM(O381:O384))</f>
        <v>-</v>
      </c>
    </row>
    <row r="386" spans="3:15" hidden="1" outlineLevel="1">
      <c r="C386" s="53"/>
      <c r="D386" s="53"/>
      <c r="E386" s="53"/>
      <c r="F386" s="53"/>
      <c r="H386" s="53"/>
      <c r="I386" s="20"/>
      <c r="J386" s="20"/>
      <c r="K386" s="106"/>
      <c r="L386" s="106"/>
      <c r="M386" s="106"/>
      <c r="N386" s="106"/>
      <c r="O386" s="106"/>
    </row>
    <row r="387" spans="3:15" hidden="1" outlineLevel="1">
      <c r="C387" s="51" t="s">
        <v>235</v>
      </c>
      <c r="D387" s="53"/>
      <c r="E387" s="53"/>
      <c r="F387" s="53"/>
      <c r="G387" s="62"/>
      <c r="H387" s="53"/>
      <c r="I387" s="20"/>
      <c r="J387" s="53"/>
      <c r="K387" s="106"/>
      <c r="L387" s="106"/>
      <c r="M387" s="106"/>
      <c r="N387" s="106"/>
      <c r="O387" s="106"/>
    </row>
    <row r="388" spans="3:15" hidden="1" outlineLevel="1">
      <c r="C388" s="53" t="s">
        <v>236</v>
      </c>
      <c r="D388" s="75" t="str">
        <f>Calc_TU_values!$D$235</f>
        <v>VDO 2022-23 - Final</v>
      </c>
      <c r="E388" s="20" t="s">
        <v>190</v>
      </c>
      <c r="F388" s="75" t="str">
        <f>INDEX(Inputs!$H$10:$U$10,1,MATCH($D388,Inputs!$H$8:$U$8,0))</f>
        <v>F-CurrentVDO_Input</v>
      </c>
      <c r="G388" s="53"/>
      <c r="H388" s="20" t="s">
        <v>103</v>
      </c>
      <c r="I388" s="20" t="s">
        <v>226</v>
      </c>
      <c r="J388" s="53" t="s">
        <v>66</v>
      </c>
      <c r="K388" s="60" cm="1">
        <f t="array" ref="K388">IFERROR(INDEX(Input_ForRateCalc[],MATCH($C388&amp;" - "&amp;K$331,Input_ForRateCalc[[Cost item]:[Cost item]],0),MATCH(Calc_TUV_Net_2[[#This Row],[Decision ref]:[Decision ref]],Input_ForRateCalc[#Headers],0)),"-")</f>
        <v>17.498000000000001</v>
      </c>
      <c r="L388" s="60" t="str" cm="1">
        <f t="array" ref="L388">IFERROR(INDEX(Input_ForRateCalc[],MATCH($C388&amp;" - "&amp;L$331,Input_ForRateCalc[[Cost item]:[Cost item]],0),MATCH(Calc_TUV_Net_2[[#This Row],[Decision ref]:[Decision ref]],Input_ForRateCalc[#Headers],0)),"-")</f>
        <v>-</v>
      </c>
      <c r="M388" s="60" t="str" cm="1">
        <f t="array" ref="M388">IFERROR(INDEX(Input_ForRateCalc[],MATCH($C388&amp;" - "&amp;M$331,Input_ForRateCalc[[Cost item]:[Cost item]],0),MATCH(Calc_TUV_Net_2[[#This Row],[Decision ref]:[Decision ref]],Input_ForRateCalc[#Headers],0)),"-")</f>
        <v>-</v>
      </c>
      <c r="N388" s="60" t="str" cm="1">
        <f t="array" ref="N388">IFERROR(INDEX(Input_ForRateCalc[],MATCH($C388&amp;" - "&amp;N$331,Input_ForRateCalc[[Cost item]:[Cost item]],0),MATCH(Calc_TUV_Net_2[[#This Row],[Decision ref]:[Decision ref]],Input_ForRateCalc[#Headers],0)),"-")</f>
        <v>-</v>
      </c>
      <c r="O388" s="60" t="str" cm="1">
        <f t="array" ref="O388">IFERROR(INDEX(Input_ForRateCalc[],MATCH($C388&amp;" - "&amp;O$331,Input_ForRateCalc[[Cost item]:[Cost item]],0),MATCH(Calc_TUV_Net_2[[#This Row],[Decision ref]:[Decision ref]],Input_ForRateCalc[#Headers],0)),"-")</f>
        <v>-</v>
      </c>
    </row>
    <row r="389" spans="3:15" hidden="1" outlineLevel="1">
      <c r="C389" s="53" t="s">
        <v>237</v>
      </c>
      <c r="D389" s="75" t="str">
        <f>Calc_TU_values!$D$235</f>
        <v>VDO 2022-23 - Final</v>
      </c>
      <c r="E389" s="20" t="s">
        <v>190</v>
      </c>
      <c r="F389" s="75" t="str">
        <f>INDEX(Inputs!$H$10:$U$10,1,MATCH($D389,Inputs!$H$8:$U$8,0))</f>
        <v>F-CurrentVDO_Input</v>
      </c>
      <c r="G389" s="62"/>
      <c r="H389" s="20" t="s">
        <v>103</v>
      </c>
      <c r="I389" s="20" t="s">
        <v>226</v>
      </c>
      <c r="J389" s="53" t="s">
        <v>66</v>
      </c>
      <c r="K389" s="60" cm="1">
        <f t="array" ref="K389">IFERROR(INDEX(Input_ForRateCalc[],MATCH($C389&amp;" - "&amp;K$331,Input_ForRateCalc[[Cost item]:[Cost item]],0),MATCH(Calc_TUV_Net_2[[#This Row],[Decision ref]:[Decision ref]],Input_ForRateCalc[#Headers],0)),"-")</f>
        <v>20.5366</v>
      </c>
      <c r="L389" s="60" t="str" cm="1">
        <f t="array" ref="L389">IFERROR(INDEX(Input_ForRateCalc[],MATCH($C389&amp;" - "&amp;L$331,Input_ForRateCalc[[Cost item]:[Cost item]],0),MATCH(Calc_TUV_Net_2[[#This Row],[Decision ref]:[Decision ref]],Input_ForRateCalc[#Headers],0)),"-")</f>
        <v>-</v>
      </c>
      <c r="M389" s="60" t="str" cm="1">
        <f t="array" ref="M389">IFERROR(INDEX(Input_ForRateCalc[],MATCH($C389&amp;" - "&amp;M$331,Input_ForRateCalc[[Cost item]:[Cost item]],0),MATCH(Calc_TUV_Net_2[[#This Row],[Decision ref]:[Decision ref]],Input_ForRateCalc[#Headers],0)),"-")</f>
        <v>-</v>
      </c>
      <c r="N389" s="60" t="str" cm="1">
        <f t="array" ref="N389">IFERROR(INDEX(Input_ForRateCalc[],MATCH($C389&amp;" - "&amp;N$331,Input_ForRateCalc[[Cost item]:[Cost item]],0),MATCH(Calc_TUV_Net_2[[#This Row],[Decision ref]:[Decision ref]],Input_ForRateCalc[#Headers],0)),"-")</f>
        <v>-</v>
      </c>
      <c r="O389" s="60" t="str" cm="1">
        <f t="array" ref="O389">IFERROR(INDEX(Input_ForRateCalc[],MATCH($C389&amp;" - "&amp;O$331,Input_ForRateCalc[[Cost item]:[Cost item]],0),MATCH(Calc_TUV_Net_2[[#This Row],[Decision ref]:[Decision ref]],Input_ForRateCalc[#Headers],0)),"-")</f>
        <v>-</v>
      </c>
    </row>
    <row r="390" spans="3:15" hidden="1" outlineLevel="1">
      <c r="C390" s="53" t="s">
        <v>238</v>
      </c>
      <c r="D390" s="75" t="str">
        <f>Calc_TU_values!$D$235</f>
        <v>VDO 2022-23 - Final</v>
      </c>
      <c r="E390" s="20" t="s">
        <v>190</v>
      </c>
      <c r="F390" s="75" t="str">
        <f>INDEX(Inputs!$H$10:$U$10,1,MATCH($D390,Inputs!$H$8:$U$8,0))</f>
        <v>F-CurrentVDO_Input</v>
      </c>
      <c r="G390" s="52"/>
      <c r="H390" s="20" t="s">
        <v>103</v>
      </c>
      <c r="I390" s="20" t="s">
        <v>226</v>
      </c>
      <c r="J390" s="53" t="s">
        <v>66</v>
      </c>
      <c r="K390" s="60" t="str" cm="1">
        <f t="array" ref="K390">IFERROR(INDEX(Input_ForRateCalc[],MATCH($C390&amp;" - "&amp;K$331,Input_ForRateCalc[[Cost item]:[Cost item]],0),MATCH(Calc_TUV_Net_2[[#This Row],[Decision ref]:[Decision ref]],Input_ForRateCalc[#Headers],0)),"-")</f>
        <v>-</v>
      </c>
      <c r="L390" s="60" cm="1">
        <f t="array" ref="L390">IFERROR(INDEX(Input_ForRateCalc[],MATCH($C390&amp;" - "&amp;L$331,Input_ForRateCalc[[Cost item]:[Cost item]],0),MATCH(Calc_TUV_Net_2[[#This Row],[Decision ref]:[Decision ref]],Input_ForRateCalc[#Headers],0)),"-")</f>
        <v>8.0299999999999994</v>
      </c>
      <c r="M390" s="60" cm="1">
        <f t="array" ref="M390">IFERROR(INDEX(Input_ForRateCalc[],MATCH($C390&amp;" - "&amp;M$331,Input_ForRateCalc[[Cost item]:[Cost item]],0),MATCH(Calc_TUV_Net_2[[#This Row],[Decision ref]:[Decision ref]],Input_ForRateCalc[#Headers],0)),"-")</f>
        <v>10.84</v>
      </c>
      <c r="N390" s="60" cm="1">
        <f t="array" ref="N390">IFERROR(INDEX(Input_ForRateCalc[],MATCH($C390&amp;" - "&amp;N$331,Input_ForRateCalc[[Cost item]:[Cost item]],0),MATCH(Calc_TUV_Net_2[[#This Row],[Decision ref]:[Decision ref]],Input_ForRateCalc[#Headers],0)),"-")</f>
        <v>9.2899999999999991</v>
      </c>
      <c r="O390" s="60" cm="1">
        <f t="array" ref="O390">IFERROR(INDEX(Input_ForRateCalc[],MATCH($C390&amp;" - "&amp;O$331,Input_ForRateCalc[[Cost item]:[Cost item]],0),MATCH(Calc_TUV_Net_2[[#This Row],[Decision ref]:[Decision ref]],Input_ForRateCalc[#Headers],0)),"-")</f>
        <v>9.14</v>
      </c>
    </row>
    <row r="391" spans="3:15" hidden="1" outlineLevel="1">
      <c r="C391" s="53" t="s">
        <v>191</v>
      </c>
      <c r="D391" s="75" t="str">
        <f>Calc_TU_values!$D$235</f>
        <v>VDO 2022-23 - Final</v>
      </c>
      <c r="E391" s="20" t="s">
        <v>190</v>
      </c>
      <c r="F391" s="75" t="str">
        <f>INDEX(Inputs!$H$10:$U$10,1,MATCH($D391,Inputs!$H$8:$U$8,0))</f>
        <v>F-CurrentVDO_Input</v>
      </c>
      <c r="G391" s="52"/>
      <c r="H391" s="20" t="s">
        <v>103</v>
      </c>
      <c r="I391" s="20" t="s">
        <v>64</v>
      </c>
      <c r="J391" s="53" t="s">
        <v>66</v>
      </c>
      <c r="K391" s="61">
        <f>SUM(
IFERROR(K388/100*SUMIFS(INDEX(TUNet_Usage_PerRate_2[],0,MATCH(K$331,TUNet_Usage_PerRate_2[#Headers],0)),TUNet_Usage_PerRate_2[Customer type],Calc_TUV_Net_2[[#This Row],[Customer type]],TUNet_Usage_PerRate_2[Description],"Usage per customer - Block 1"),0),
IFERROR(K389/100*SUMIFS(INDEX(TUNet_Usage_PerRate_2[],0,MATCH(K$331,TUNet_Usage_PerRate_2[#Headers],0)),TUNet_Usage_PerRate_2[Customer type],Calc_TUV_Net_2[[#This Row],[Customer type]],TUNet_Usage_PerRate_2[Description],"Usage per customer - Balance"),0),
IFERROR(K390/100*SUMIFS(INDEX(TUNet_Usage_PerRate_2[],0,MATCH(K$331,TUNet_Usage_PerRate_2[#Headers],0)),TUNet_Usage_PerRate_2[Customer type],Calc_TUV_Net_2[[#This Row],[Customer type]],TUNet_Usage_PerRate_2[Description],"Usage per customer - Single rate"),0))</f>
        <v>0</v>
      </c>
      <c r="L391" s="61">
        <f>SUM(
IFERROR(L388/100*SUMIFS(INDEX(TUNet_Usage_PerRate_2[],0,MATCH(L$331,TUNet_Usage_PerRate_2[#Headers],0)),TUNet_Usage_PerRate_2[Customer type],Calc_TUV_Net_2[[#This Row],[Customer type]],TUNet_Usage_PerRate_2[Description],"Usage per customer - Block 1"),0),
IFERROR(L389/100*SUMIFS(INDEX(TUNet_Usage_PerRate_2[],0,MATCH(L$331,TUNet_Usage_PerRate_2[#Headers],0)),TUNet_Usage_PerRate_2[Customer type],Calc_TUV_Net_2[[#This Row],[Customer type]],TUNet_Usage_PerRate_2[Description],"Usage per customer - Balance"),0),
IFERROR(L390/100*SUMIFS(INDEX(TUNet_Usage_PerRate_2[],0,MATCH(L$331,TUNet_Usage_PerRate_2[#Headers],0)),TUNet_Usage_PerRate_2[Customer type],Calc_TUV_Net_2[[#This Row],[Customer type]],TUNet_Usage_PerRate_2[Description],"Usage per customer - Single rate"),0))</f>
        <v>0</v>
      </c>
      <c r="M391" s="61">
        <f>SUM(
IFERROR(M388/100*SUMIFS(INDEX(TUNet_Usage_PerRate_2[],0,MATCH(M$331,TUNet_Usage_PerRate_2[#Headers],0)),TUNet_Usage_PerRate_2[Customer type],Calc_TUV_Net_2[[#This Row],[Customer type]],TUNet_Usage_PerRate_2[Description],"Usage per customer - Block 1"),0),
IFERROR(M389/100*SUMIFS(INDEX(TUNet_Usage_PerRate_2[],0,MATCH(M$331,TUNet_Usage_PerRate_2[#Headers],0)),TUNet_Usage_PerRate_2[Customer type],Calc_TUV_Net_2[[#This Row],[Customer type]],TUNet_Usage_PerRate_2[Description],"Usage per customer - Balance"),0),
IFERROR(M390/100*SUMIFS(INDEX(TUNet_Usage_PerRate_2[],0,MATCH(M$331,TUNet_Usage_PerRate_2[#Headers],0)),TUNet_Usage_PerRate_2[Customer type],Calc_TUV_Net_2[[#This Row],[Customer type]],TUNet_Usage_PerRate_2[Description],"Usage per customer - Single rate"),0))</f>
        <v>0</v>
      </c>
      <c r="N391" s="61">
        <f>SUM(
IFERROR(N388/100*SUMIFS(INDEX(TUNet_Usage_PerRate_2[],0,MATCH(N$331,TUNet_Usage_PerRate_2[#Headers],0)),TUNet_Usage_PerRate_2[Customer type],Calc_TUV_Net_2[[#This Row],[Customer type]],TUNet_Usage_PerRate_2[Description],"Usage per customer - Block 1"),0),
IFERROR(N389/100*SUMIFS(INDEX(TUNet_Usage_PerRate_2[],0,MATCH(N$331,TUNet_Usage_PerRate_2[#Headers],0)),TUNet_Usage_PerRate_2[Customer type],Calc_TUV_Net_2[[#This Row],[Customer type]],TUNet_Usage_PerRate_2[Description],"Usage per customer - Balance"),0),
IFERROR(N390/100*SUMIFS(INDEX(TUNet_Usage_PerRate_2[],0,MATCH(N$331,TUNet_Usage_PerRate_2[#Headers],0)),TUNet_Usage_PerRate_2[Customer type],Calc_TUV_Net_2[[#This Row],[Customer type]],TUNet_Usage_PerRate_2[Description],"Usage per customer - Single rate"),0))</f>
        <v>0</v>
      </c>
      <c r="O391" s="61">
        <f>SUM(
IFERROR(O388/100*SUMIFS(INDEX(TUNet_Usage_PerRate_2[],0,MATCH(O$331,TUNet_Usage_PerRate_2[#Headers],0)),TUNet_Usage_PerRate_2[Customer type],Calc_TUV_Net_2[[#This Row],[Customer type]],TUNet_Usage_PerRate_2[Description],"Usage per customer - Block 1"),0),
IFERROR(O389/100*SUMIFS(INDEX(TUNet_Usage_PerRate_2[],0,MATCH(O$331,TUNet_Usage_PerRate_2[#Headers],0)),TUNet_Usage_PerRate_2[Customer type],Calc_TUV_Net_2[[#This Row],[Customer type]],TUNet_Usage_PerRate_2[Description],"Usage per customer - Balance"),0),
IFERROR(O390/100*SUMIFS(INDEX(TUNet_Usage_PerRate_2[],0,MATCH(O$331,TUNet_Usage_PerRate_2[#Headers],0)),TUNet_Usage_PerRate_2[Customer type],Calc_TUV_Net_2[[#This Row],[Customer type]],TUNet_Usage_PerRate_2[Description],"Usage per customer - Single rate"),0))</f>
        <v>0</v>
      </c>
    </row>
    <row r="392" spans="3:15" hidden="1" outlineLevel="1">
      <c r="C392" s="53" t="s">
        <v>236</v>
      </c>
      <c r="D392" s="75" t="str">
        <f>INDEX(Input_DecisionActual[[Decision]:[Decision]],MATCH(Calc_TU_values!$D$235,Input_DecisionActual[[VDO period]:[VDO period]],0),1)</f>
        <v>VDO 2022 - Final</v>
      </c>
      <c r="E392" s="20" t="s">
        <v>192</v>
      </c>
      <c r="F392" s="75" t="str">
        <f>IF($D392="-","-",INDEX(Inputs!$H$10:$U$10,1,MATCH($D392,Inputs!$H$8:$U$8,0)))</f>
        <v>F-PreviousVDO_Input2</v>
      </c>
      <c r="G392" s="52"/>
      <c r="H392" s="20" t="s">
        <v>103</v>
      </c>
      <c r="I392" s="20" t="s">
        <v>226</v>
      </c>
      <c r="J392" s="53" t="s">
        <v>66</v>
      </c>
      <c r="K392" s="60" cm="1">
        <f t="array" ref="K392">IFERROR(INDEX(Input_ForRateCalc[],MATCH($C392&amp;" - "&amp;K$331,Input_ForRateCalc[[Cost item]:[Cost item]],0),MATCH(Calc_TUV_Net_2[[#This Row],[Decision ref]:[Decision ref]],Input_ForRateCalc[#Headers],0)),"-")</f>
        <v>15.538600000000001</v>
      </c>
      <c r="L392" s="60" t="str" cm="1">
        <f t="array" ref="L392">IFERROR(INDEX(Input_ForRateCalc[],MATCH($C392&amp;" - "&amp;L$331,Input_ForRateCalc[[Cost item]:[Cost item]],0),MATCH(Calc_TUV_Net_2[[#This Row],[Decision ref]:[Decision ref]],Input_ForRateCalc[#Headers],0)),"-")</f>
        <v>-</v>
      </c>
      <c r="M392" s="60" t="str" cm="1">
        <f t="array" ref="M392">IFERROR(INDEX(Input_ForRateCalc[],MATCH($C392&amp;" - "&amp;M$331,Input_ForRateCalc[[Cost item]:[Cost item]],0),MATCH(Calc_TUV_Net_2[[#This Row],[Decision ref]:[Decision ref]],Input_ForRateCalc[#Headers],0)),"-")</f>
        <v>-</v>
      </c>
      <c r="N392" s="60" t="str" cm="1">
        <f t="array" ref="N392">IFERROR(INDEX(Input_ForRateCalc[],MATCH($C392&amp;" - "&amp;N$331,Input_ForRateCalc[[Cost item]:[Cost item]],0),MATCH(Calc_TUV_Net_2[[#This Row],[Decision ref]:[Decision ref]],Input_ForRateCalc[#Headers],0)),"-")</f>
        <v>-</v>
      </c>
      <c r="O392" s="60" t="str" cm="1">
        <f t="array" ref="O392">IFERROR(INDEX(Input_ForRateCalc[],MATCH($C392&amp;" - "&amp;O$331,Input_ForRateCalc[[Cost item]:[Cost item]],0),MATCH(Calc_TUV_Net_2[[#This Row],[Decision ref]:[Decision ref]],Input_ForRateCalc[#Headers],0)),"-")</f>
        <v>-</v>
      </c>
    </row>
    <row r="393" spans="3:15" hidden="1" outlineLevel="1">
      <c r="C393" s="53" t="s">
        <v>237</v>
      </c>
      <c r="D393" s="75" t="str">
        <f>INDEX(Input_DecisionActual[[Decision]:[Decision]],MATCH(Calc_TU_values!$D$235,Input_DecisionActual[[VDO period]:[VDO period]],0),1)</f>
        <v>VDO 2022 - Final</v>
      </c>
      <c r="E393" s="20" t="s">
        <v>192</v>
      </c>
      <c r="F393" s="75" t="str">
        <f>IF($D393="-","-",INDEX(Inputs!$H$10:$U$10,1,MATCH($D393,Inputs!$H$8:$U$8,0)))</f>
        <v>F-PreviousVDO_Input2</v>
      </c>
      <c r="G393" s="52"/>
      <c r="H393" s="20" t="s">
        <v>103</v>
      </c>
      <c r="I393" s="20" t="s">
        <v>226</v>
      </c>
      <c r="J393" s="53" t="s">
        <v>66</v>
      </c>
      <c r="K393" s="60" cm="1">
        <f t="array" ref="K393">IFERROR(INDEX(Input_ForRateCalc[],MATCH($C393&amp;" - "&amp;K$331,Input_ForRateCalc[[Cost item]:[Cost item]],0),MATCH(Calc_TUV_Net_2[[#This Row],[Decision ref]:[Decision ref]],Input_ForRateCalc[#Headers],0)),"-")</f>
        <v>18.2667</v>
      </c>
      <c r="L393" s="60" t="str" cm="1">
        <f t="array" ref="L393">IFERROR(INDEX(Input_ForRateCalc[],MATCH($C393&amp;" - "&amp;L$331,Input_ForRateCalc[[Cost item]:[Cost item]],0),MATCH(Calc_TUV_Net_2[[#This Row],[Decision ref]:[Decision ref]],Input_ForRateCalc[#Headers],0)),"-")</f>
        <v>-</v>
      </c>
      <c r="M393" s="60" t="str" cm="1">
        <f t="array" ref="M393">IFERROR(INDEX(Input_ForRateCalc[],MATCH($C393&amp;" - "&amp;M$331,Input_ForRateCalc[[Cost item]:[Cost item]],0),MATCH(Calc_TUV_Net_2[[#This Row],[Decision ref]:[Decision ref]],Input_ForRateCalc[#Headers],0)),"-")</f>
        <v>-</v>
      </c>
      <c r="N393" s="60" t="str" cm="1">
        <f t="array" ref="N393">IFERROR(INDEX(Input_ForRateCalc[],MATCH($C393&amp;" - "&amp;N$331,Input_ForRateCalc[[Cost item]:[Cost item]],0),MATCH(Calc_TUV_Net_2[[#This Row],[Decision ref]:[Decision ref]],Input_ForRateCalc[#Headers],0)),"-")</f>
        <v>-</v>
      </c>
      <c r="O393" s="60" t="str" cm="1">
        <f t="array" ref="O393">IFERROR(INDEX(Input_ForRateCalc[],MATCH($C393&amp;" - "&amp;O$331,Input_ForRateCalc[[Cost item]:[Cost item]],0),MATCH(Calc_TUV_Net_2[[#This Row],[Decision ref]:[Decision ref]],Input_ForRateCalc[#Headers],0)),"-")</f>
        <v>-</v>
      </c>
    </row>
    <row r="394" spans="3:15" hidden="1" outlineLevel="1">
      <c r="C394" s="53" t="s">
        <v>238</v>
      </c>
      <c r="D394" s="75" t="str">
        <f>INDEX(Input_DecisionActual[[Decision]:[Decision]],MATCH(Calc_TU_values!$D$235,Input_DecisionActual[[VDO period]:[VDO period]],0),1)</f>
        <v>VDO 2022 - Final</v>
      </c>
      <c r="E394" s="20" t="s">
        <v>192</v>
      </c>
      <c r="F394" s="75" t="str">
        <f>IF($D394="-","-",INDEX(Inputs!$H$10:$U$10,1,MATCH($D394,Inputs!$H$8:$U$8,0)))</f>
        <v>F-PreviousVDO_Input2</v>
      </c>
      <c r="G394" s="52"/>
      <c r="H394" s="20" t="s">
        <v>103</v>
      </c>
      <c r="I394" s="20" t="s">
        <v>226</v>
      </c>
      <c r="J394" s="53" t="s">
        <v>66</v>
      </c>
      <c r="K394" s="60" t="str" cm="1">
        <f t="array" ref="K394">IFERROR(INDEX(Input_ForRateCalc[],MATCH($C394&amp;" - "&amp;K$331,Input_ForRateCalc[[Cost item]:[Cost item]],0),MATCH(Calc_TUV_Net_2[[#This Row],[Decision ref]:[Decision ref]],Input_ForRateCalc[#Headers],0)),"-")</f>
        <v>-</v>
      </c>
      <c r="L394" s="60" cm="1">
        <f t="array" ref="L394">IFERROR(INDEX(Input_ForRateCalc[],MATCH($C394&amp;" - "&amp;L$331,Input_ForRateCalc[[Cost item]:[Cost item]],0),MATCH(Calc_TUV_Net_2[[#This Row],[Decision ref]:[Decision ref]],Input_ForRateCalc[#Headers],0)),"-")</f>
        <v>8.2100000000000009</v>
      </c>
      <c r="M394" s="60" cm="1">
        <f t="array" ref="M394">IFERROR(INDEX(Input_ForRateCalc[],MATCH($C394&amp;" - "&amp;M$331,Input_ForRateCalc[[Cost item]:[Cost item]],0),MATCH(Calc_TUV_Net_2[[#This Row],[Decision ref]:[Decision ref]],Input_ForRateCalc[#Headers],0)),"-")</f>
        <v>10.973000000000001</v>
      </c>
      <c r="N394" s="60" cm="1">
        <f t="array" ref="N394">IFERROR(INDEX(Input_ForRateCalc[],MATCH($C394&amp;" - "&amp;N$331,Input_ForRateCalc[[Cost item]:[Cost item]],0),MATCH(Calc_TUV_Net_2[[#This Row],[Decision ref]:[Decision ref]],Input_ForRateCalc[#Headers],0)),"-")</f>
        <v>9.2899999999999991</v>
      </c>
      <c r="O394" s="60" cm="1">
        <f t="array" ref="O394">IFERROR(INDEX(Input_ForRateCalc[],MATCH($C394&amp;" - "&amp;O$331,Input_ForRateCalc[[Cost item]:[Cost item]],0),MATCH(Calc_TUV_Net_2[[#This Row],[Decision ref]:[Decision ref]],Input_ForRateCalc[#Headers],0)),"-")</f>
        <v>8.7899999999999991</v>
      </c>
    </row>
    <row r="395" spans="3:15" hidden="1" outlineLevel="1">
      <c r="C395" s="53" t="s">
        <v>191</v>
      </c>
      <c r="D395" s="75" t="str">
        <f>INDEX(Input_DecisionActual[[Decision]:[Decision]],MATCH(Calc_TU_values!$D$235,Input_DecisionActual[[VDO period]:[VDO period]],0),1)</f>
        <v>VDO 2022 - Final</v>
      </c>
      <c r="E395" s="20" t="s">
        <v>192</v>
      </c>
      <c r="F395" s="75" t="str">
        <f>IF($D395="-","-",INDEX(Inputs!$H$10:$U$10,1,MATCH($D395,Inputs!$H$8:$U$8,0)))</f>
        <v>F-PreviousVDO_Input2</v>
      </c>
      <c r="G395" s="52"/>
      <c r="H395" s="20" t="s">
        <v>103</v>
      </c>
      <c r="I395" s="20" t="s">
        <v>64</v>
      </c>
      <c r="J395" s="53" t="s">
        <v>66</v>
      </c>
      <c r="K395" s="61">
        <f>SUM(
IFERROR(K392/100*SUMIFS(INDEX(TUNet_Usage_PerRate_2[],0,MATCH(K$331,TUNet_Usage_PerRate_2[#Headers],0)),TUNet_Usage_PerRate_2[Customer type],Calc_TUV_Net_2[[#This Row],[Customer type]],TUNet_Usage_PerRate_2[Description],"Usage per customer - Block 1"),0),
IFERROR(K393/100*SUMIFS(INDEX(TUNet_Usage_PerRate_2[],0,MATCH(K$331,TUNet_Usage_PerRate_2[#Headers],0)),TUNet_Usage_PerRate_2[Customer type],Calc_TUV_Net_2[[#This Row],[Customer type]],TUNet_Usage_PerRate_2[Description],"Usage per customer - Balance"),0),
IFERROR(K394/100*SUMIFS(INDEX(TUNet_Usage_PerRate_2[],0,MATCH(K$331,TUNet_Usage_PerRate_2[#Headers],0)),TUNet_Usage_PerRate_2[Customer type],Calc_TUV_Net_2[[#This Row],[Customer type]],TUNet_Usage_PerRate_2[Description],"Usage per customer - Single rate"),0))</f>
        <v>0</v>
      </c>
      <c r="L395" s="61">
        <f>SUM(
IFERROR(L392/100*SUMIFS(INDEX(TUNet_Usage_PerRate_2[],0,MATCH(L$331,TUNet_Usage_PerRate_2[#Headers],0)),TUNet_Usage_PerRate_2[Customer type],Calc_TUV_Net_2[[#This Row],[Customer type]],TUNet_Usage_PerRate_2[Description],"Usage per customer - Block 1"),0),
IFERROR(L393/100*SUMIFS(INDEX(TUNet_Usage_PerRate_2[],0,MATCH(L$331,TUNet_Usage_PerRate_2[#Headers],0)),TUNet_Usage_PerRate_2[Customer type],Calc_TUV_Net_2[[#This Row],[Customer type]],TUNet_Usage_PerRate_2[Description],"Usage per customer - Balance"),0),
IFERROR(L394/100*SUMIFS(INDEX(TUNet_Usage_PerRate_2[],0,MATCH(L$331,TUNet_Usage_PerRate_2[#Headers],0)),TUNet_Usage_PerRate_2[Customer type],Calc_TUV_Net_2[[#This Row],[Customer type]],TUNet_Usage_PerRate_2[Description],"Usage per customer - Single rate"),0))</f>
        <v>0</v>
      </c>
      <c r="M395" s="61">
        <f>SUM(
IFERROR(M392/100*SUMIFS(INDEX(TUNet_Usage_PerRate_2[],0,MATCH(M$331,TUNet_Usage_PerRate_2[#Headers],0)),TUNet_Usage_PerRate_2[Customer type],Calc_TUV_Net_2[[#This Row],[Customer type]],TUNet_Usage_PerRate_2[Description],"Usage per customer - Block 1"),0),
IFERROR(M393/100*SUMIFS(INDEX(TUNet_Usage_PerRate_2[],0,MATCH(M$331,TUNet_Usage_PerRate_2[#Headers],0)),TUNet_Usage_PerRate_2[Customer type],Calc_TUV_Net_2[[#This Row],[Customer type]],TUNet_Usage_PerRate_2[Description],"Usage per customer - Balance"),0),
IFERROR(M394/100*SUMIFS(INDEX(TUNet_Usage_PerRate_2[],0,MATCH(M$331,TUNet_Usage_PerRate_2[#Headers],0)),TUNet_Usage_PerRate_2[Customer type],Calc_TUV_Net_2[[#This Row],[Customer type]],TUNet_Usage_PerRate_2[Description],"Usage per customer - Single rate"),0))</f>
        <v>0</v>
      </c>
      <c r="N395" s="61">
        <f>SUM(
IFERROR(N392/100*SUMIFS(INDEX(TUNet_Usage_PerRate_2[],0,MATCH(N$331,TUNet_Usage_PerRate_2[#Headers],0)),TUNet_Usage_PerRate_2[Customer type],Calc_TUV_Net_2[[#This Row],[Customer type]],TUNet_Usage_PerRate_2[Description],"Usage per customer - Block 1"),0),
IFERROR(N393/100*SUMIFS(INDEX(TUNet_Usage_PerRate_2[],0,MATCH(N$331,TUNet_Usage_PerRate_2[#Headers],0)),TUNet_Usage_PerRate_2[Customer type],Calc_TUV_Net_2[[#This Row],[Customer type]],TUNet_Usage_PerRate_2[Description],"Usage per customer - Balance"),0),
IFERROR(N394/100*SUMIFS(INDEX(TUNet_Usage_PerRate_2[],0,MATCH(N$331,TUNet_Usage_PerRate_2[#Headers],0)),TUNet_Usage_PerRate_2[Customer type],Calc_TUV_Net_2[[#This Row],[Customer type]],TUNet_Usage_PerRate_2[Description],"Usage per customer - Single rate"),0))</f>
        <v>0</v>
      </c>
      <c r="O395" s="61">
        <f>SUM(
IFERROR(O392/100*SUMIFS(INDEX(TUNet_Usage_PerRate_2[],0,MATCH(O$331,TUNet_Usage_PerRate_2[#Headers],0)),TUNet_Usage_PerRate_2[Customer type],Calc_TUV_Net_2[[#This Row],[Customer type]],TUNet_Usage_PerRate_2[Description],"Usage per customer - Block 1"),0),
IFERROR(O393/100*SUMIFS(INDEX(TUNet_Usage_PerRate_2[],0,MATCH(O$331,TUNet_Usage_PerRate_2[#Headers],0)),TUNet_Usage_PerRate_2[Customer type],Calc_TUV_Net_2[[#This Row],[Customer type]],TUNet_Usage_PerRate_2[Description],"Usage per customer - Balance"),0),
IFERROR(O394/100*SUMIFS(INDEX(TUNet_Usage_PerRate_2[],0,MATCH(O$331,TUNet_Usage_PerRate_2[#Headers],0)),TUNet_Usage_PerRate_2[Customer type],Calc_TUV_Net_2[[#This Row],[Customer type]],TUNet_Usage_PerRate_2[Description],"Usage per customer - Single rate"),0))</f>
        <v>0</v>
      </c>
    </row>
    <row r="396" spans="3:15" hidden="1" outlineLevel="1">
      <c r="C396" s="53" t="s">
        <v>193</v>
      </c>
      <c r="D396" s="20"/>
      <c r="E396" s="20"/>
      <c r="F396" s="20"/>
      <c r="G396" s="53"/>
      <c r="H396" s="20" t="s">
        <v>103</v>
      </c>
      <c r="I396" s="20" t="s">
        <v>64</v>
      </c>
      <c r="J396" s="53" t="s">
        <v>66</v>
      </c>
      <c r="K396" s="59" t="str">
        <f>IF(K395=0,"-",K391-K395)</f>
        <v>-</v>
      </c>
      <c r="L396" s="59" t="str">
        <f t="shared" ref="L396:O396" si="118">IF(L395=0,"-",L391-L395)</f>
        <v>-</v>
      </c>
      <c r="M396" s="59" t="str">
        <f t="shared" si="118"/>
        <v>-</v>
      </c>
      <c r="N396" s="59" t="str">
        <f t="shared" si="118"/>
        <v>-</v>
      </c>
      <c r="O396" s="59" t="str">
        <f t="shared" si="118"/>
        <v>-</v>
      </c>
    </row>
    <row r="397" spans="3:15" hidden="1" outlineLevel="1">
      <c r="C397" s="53" t="s">
        <v>180</v>
      </c>
      <c r="D397" s="20"/>
      <c r="E397" s="20"/>
      <c r="F397" s="20"/>
      <c r="G397" s="53"/>
      <c r="H397" s="20" t="s">
        <v>103</v>
      </c>
      <c r="I397" s="20" t="s">
        <v>64</v>
      </c>
      <c r="J397" s="53" t="s">
        <v>66</v>
      </c>
      <c r="K397" s="60" t="str">
        <f>IF($D$308="Yes",K396*(1+WACC_adj_2),"")</f>
        <v/>
      </c>
      <c r="L397" s="60" t="str">
        <f>IF($D$308="Yes",L396*(1+WACC_adj_2),"")</f>
        <v/>
      </c>
      <c r="M397" s="60" t="str">
        <f>IF($D$308="Yes",M396*(1+WACC_adj_2),"")</f>
        <v/>
      </c>
      <c r="N397" s="60" t="str">
        <f>IF($D$308="Yes",N396*(1+WACC_adj_2),"")</f>
        <v/>
      </c>
      <c r="O397" s="60" t="str">
        <f>IF($D$308="Yes",O396*(1+WACC_adj_2),"")</f>
        <v/>
      </c>
    </row>
    <row r="398" spans="3:15" hidden="1" outlineLevel="1">
      <c r="C398" s="53" t="s">
        <v>195</v>
      </c>
      <c r="D398" s="75" t="str">
        <f>INDEX(Input_DecisionActual[[Decision]:[Decision]],MATCH(Calc_TU_values!$D$235,Input_DecisionActual[[VDO period]:[VDO period]],0),1)</f>
        <v>VDO 2022 - Final</v>
      </c>
      <c r="E398" s="20" t="s">
        <v>192</v>
      </c>
      <c r="F398" s="75" t="str">
        <f>IF($D398="-","-",INDEX(Inputs!$H$10:$U$10,1,MATCH($D398,Inputs!$H$8:$U$8,0)))</f>
        <v>F-PreviousVDO_Input2</v>
      </c>
      <c r="G398" s="53"/>
      <c r="H398" s="20" t="s">
        <v>103</v>
      </c>
      <c r="I398" s="20" t="s">
        <v>64</v>
      </c>
      <c r="J398" s="53" t="s">
        <v>66</v>
      </c>
      <c r="K398" s="60" cm="1">
        <f t="array" ref="K398">IFERROR(SUM(K396:K397)*(INDEX(Inputs!$H$11:$U$134,MATCH("Retail operating margin",Input_ForRateCalc[[Cost item]:[Cost item]],0),MATCH(Calc_TUV_Net_2[[#This Row],[Decision ref]:[Decision ref]],Inputs!$H$10:$U$10,0))),"-")</f>
        <v>0</v>
      </c>
      <c r="L398" s="60" cm="1">
        <f t="array" ref="L398">IFERROR(SUM(L396:L397)*(INDEX(Inputs!$H$11:$U$134,MATCH("Retail operating margin",Input_ForRateCalc[[Cost item]:[Cost item]],0),MATCH(Calc_TUV_Net_2[[#This Row],[Decision ref]:[Decision ref]],Inputs!$H$10:$U$10,0))),"-")</f>
        <v>0</v>
      </c>
      <c r="M398" s="60" cm="1">
        <f t="array" ref="M398">IFERROR(SUM(M396:M397)*(INDEX(Inputs!$H$11:$U$134,MATCH("Retail operating margin",Input_ForRateCalc[[Cost item]:[Cost item]],0),MATCH(Calc_TUV_Net_2[[#This Row],[Decision ref]:[Decision ref]],Inputs!$H$10:$U$10,0))),"-")</f>
        <v>0</v>
      </c>
      <c r="N398" s="60" cm="1">
        <f t="array" ref="N398">IFERROR(SUM(N396:N397)*(INDEX(Inputs!$H$11:$U$134,MATCH("Retail operating margin",Input_ForRateCalc[[Cost item]:[Cost item]],0),MATCH(Calc_TUV_Net_2[[#This Row],[Decision ref]:[Decision ref]],Inputs!$H$10:$U$10,0))),"-")</f>
        <v>0</v>
      </c>
      <c r="O398" s="60" cm="1">
        <f t="array" ref="O398">IFERROR(SUM(O396:O397)*(INDEX(Inputs!$H$11:$U$134,MATCH("Retail operating margin",Input_ForRateCalc[[Cost item]:[Cost item]],0),MATCH(Calc_TUV_Net_2[[#This Row],[Decision ref]:[Decision ref]],Inputs!$H$10:$U$10,0))),"-")</f>
        <v>0</v>
      </c>
    </row>
    <row r="399" spans="3:15" hidden="1" outlineLevel="1">
      <c r="C399" s="53" t="s">
        <v>196</v>
      </c>
      <c r="D399" s="20"/>
      <c r="E399" s="20"/>
      <c r="F399" s="20"/>
      <c r="G399" s="53"/>
      <c r="H399" s="20" t="s">
        <v>103</v>
      </c>
      <c r="I399" s="20" t="s">
        <v>64</v>
      </c>
      <c r="J399" s="53" t="s">
        <v>66</v>
      </c>
      <c r="K399" s="60" t="str">
        <f>IF(K395=0,"-",SUM(K396:K398)*GST)</f>
        <v>-</v>
      </c>
      <c r="L399" s="60" t="str">
        <f>IF(L395=0,"-",SUM(L396:L398)*GST)</f>
        <v>-</v>
      </c>
      <c r="M399" s="60" t="str">
        <f>IF(M395=0,"-",SUM(M396:M398)*GST)</f>
        <v>-</v>
      </c>
      <c r="N399" s="60" t="str">
        <f>IF(N395=0,"-",SUM(N396:N398)*GST)</f>
        <v>-</v>
      </c>
      <c r="O399" s="60" t="str">
        <f>IF(O395=0,"-",SUM(O396:O398)*GST)</f>
        <v>-</v>
      </c>
    </row>
    <row r="400" spans="3:15" hidden="1" outlineLevel="1">
      <c r="C400" s="53" t="s">
        <v>229</v>
      </c>
      <c r="D400" s="20"/>
      <c r="E400" s="20"/>
      <c r="F400" s="20"/>
      <c r="H400" s="20" t="s">
        <v>103</v>
      </c>
      <c r="I400" s="20" t="s">
        <v>64</v>
      </c>
      <c r="J400" s="53" t="s">
        <v>66</v>
      </c>
      <c r="K400" s="60" t="str">
        <f>IF(K395=0,"-",SUM(K396:K399))</f>
        <v>-</v>
      </c>
      <c r="L400" s="60" t="str">
        <f t="shared" ref="L400" si="119">IF(L395=0,"-",SUM(L396:L399))</f>
        <v>-</v>
      </c>
      <c r="M400" s="60" t="str">
        <f t="shared" ref="M400" si="120">IF(M395=0,"-",SUM(M396:M399))</f>
        <v>-</v>
      </c>
      <c r="N400" s="60" t="str">
        <f t="shared" ref="N400" si="121">IF(N395=0,"-",SUM(N396:N399))</f>
        <v>-</v>
      </c>
      <c r="O400" s="60" t="str">
        <f t="shared" ref="O400" si="122">IF(O395=0,"-",SUM(O396:O399))</f>
        <v>-</v>
      </c>
    </row>
    <row r="401" spans="3:15" hidden="1" outlineLevel="1">
      <c r="C401" s="51"/>
      <c r="D401" s="51"/>
      <c r="E401" s="51"/>
      <c r="F401" s="51"/>
      <c r="G401" s="62"/>
      <c r="H401" s="62"/>
      <c r="I401" s="20"/>
      <c r="J401" s="20"/>
      <c r="K401" s="59"/>
      <c r="L401" s="20"/>
      <c r="M401" s="20"/>
      <c r="N401" s="20"/>
      <c r="O401" s="20"/>
    </row>
    <row r="402" spans="3:15" hidden="1" outlineLevel="1">
      <c r="C402" s="51"/>
      <c r="D402" s="51"/>
      <c r="E402" s="51"/>
      <c r="F402" s="51"/>
      <c r="G402" s="62"/>
      <c r="H402" s="62"/>
      <c r="I402" s="20"/>
      <c r="J402" s="20"/>
      <c r="K402" s="59"/>
      <c r="L402" s="20"/>
      <c r="M402" s="20"/>
      <c r="N402" s="20"/>
      <c r="O402" s="20"/>
    </row>
    <row r="403" spans="3:15" ht="15.5" hidden="1" outlineLevel="1">
      <c r="C403" s="1" t="s">
        <v>204</v>
      </c>
      <c r="D403" s="53"/>
      <c r="E403" s="53"/>
      <c r="F403" s="53"/>
      <c r="G403" s="62" t="s">
        <v>121</v>
      </c>
      <c r="H403" s="53"/>
      <c r="I403" s="20"/>
      <c r="J403" s="20"/>
      <c r="K403" s="59"/>
      <c r="L403" s="20"/>
      <c r="M403" s="20"/>
      <c r="N403" s="20"/>
      <c r="O403" s="20"/>
    </row>
    <row r="404" spans="3:15" hidden="1" outlineLevel="1">
      <c r="C404" s="51" t="s">
        <v>239</v>
      </c>
      <c r="D404" s="51"/>
      <c r="E404" s="51"/>
      <c r="F404" s="51"/>
      <c r="G404" s="62"/>
      <c r="H404" s="62"/>
      <c r="I404" s="20"/>
      <c r="J404" s="20"/>
      <c r="K404" s="59"/>
      <c r="L404" s="20"/>
      <c r="M404" s="20"/>
      <c r="N404" s="20"/>
      <c r="O404" s="20"/>
    </row>
    <row r="405" spans="3:15" hidden="1" outlineLevel="1">
      <c r="C405" s="53" t="s">
        <v>240</v>
      </c>
      <c r="D405" s="75" t="str">
        <f>Calc_TU_values!$D$235</f>
        <v>VDO 2022-23 - Final</v>
      </c>
      <c r="E405" s="20" t="s">
        <v>190</v>
      </c>
      <c r="F405" s="75" t="str">
        <f>INDEX(Inputs!$H$10:$U$10,1,MATCH($D405,Inputs!$H$8:$U$8,0))</f>
        <v>F-CurrentVDO_Input</v>
      </c>
      <c r="G405" s="52"/>
      <c r="H405" s="20" t="s">
        <v>90</v>
      </c>
      <c r="I405" s="20" t="s">
        <v>64</v>
      </c>
      <c r="J405" s="53" t="s">
        <v>65</v>
      </c>
      <c r="K405" s="60" t="str" cm="1">
        <f t="array" ref="K405">IFERROR(INDEX(Input_ForRateCalc[],MATCH($C405&amp;" - "&amp;K$331,Input_ForRateCalc[[Cost item]:[Cost item]],0),MATCH(Calc_TUV_Net_2[[#This Row],[Decision ref]:[Decision ref]],Input_ForRateCalc[#Headers],0))*TUProp_Days_2,"-")</f>
        <v>-</v>
      </c>
      <c r="L405" s="60" t="str" cm="1">
        <f t="array" ref="L405">IFERROR(INDEX(Input_ForRateCalc[],MATCH($C405&amp;" - "&amp;L$331,Input_ForRateCalc[[Cost item]:[Cost item]],0),MATCH(Calc_TUV_Net_2[[#This Row],[Decision ref]:[Decision ref]],Input_ForRateCalc[#Headers],0))*TUProp_Days_2,"-")</f>
        <v>-</v>
      </c>
      <c r="M405" s="60" t="str" cm="1">
        <f t="array" ref="M405">IFERROR(INDEX(Input_ForRateCalc[],MATCH($C405&amp;" - "&amp;M$331,Input_ForRateCalc[[Cost item]:[Cost item]],0),MATCH(Calc_TUV_Net_2[[#This Row],[Decision ref]:[Decision ref]],Input_ForRateCalc[#Headers],0))*TUProp_Days_2,"-")</f>
        <v>-</v>
      </c>
      <c r="N405" s="60" t="str" cm="1">
        <f t="array" ref="N405">IFERROR(INDEX(Input_ForRateCalc[],MATCH($C405&amp;" - "&amp;N$331,Input_ForRateCalc[[Cost item]:[Cost item]],0),MATCH(Calc_TUV_Net_2[[#This Row],[Decision ref]:[Decision ref]],Input_ForRateCalc[#Headers],0))*TUProp_Days_2,"-")</f>
        <v>-</v>
      </c>
      <c r="O405" s="60" t="str" cm="1">
        <f t="array" ref="O405">IFERROR(INDEX(Input_ForRateCalc[],MATCH($C405&amp;" - "&amp;O$331,Input_ForRateCalc[[Cost item]:[Cost item]],0),MATCH(Calc_TUV_Net_2[[#This Row],[Decision ref]:[Decision ref]],Input_ForRateCalc[#Headers],0))*TUProp_Days_2,"-")</f>
        <v>-</v>
      </c>
    </row>
    <row r="406" spans="3:15" hidden="1" outlineLevel="1">
      <c r="C406" s="53" t="s">
        <v>94</v>
      </c>
      <c r="D406" s="75" t="str">
        <f>Calc_TU_values!$D$235</f>
        <v>VDO 2022-23 - Final</v>
      </c>
      <c r="E406" s="20" t="s">
        <v>190</v>
      </c>
      <c r="F406" s="75" t="str">
        <f>INDEX(Inputs!$H$10:$U$10,1,MATCH($D406,Inputs!$H$8:$U$8,0))</f>
        <v>F-CurrentVDO_Input</v>
      </c>
      <c r="G406" s="52"/>
      <c r="H406" s="20" t="s">
        <v>90</v>
      </c>
      <c r="I406" s="20" t="s">
        <v>64</v>
      </c>
      <c r="J406" s="53" t="s">
        <v>65</v>
      </c>
      <c r="K406" s="60" t="str" cm="1">
        <f t="array" ref="K406">IFERROR(INDEX(Input_ForRateCalc[],MATCH($C406&amp;" - "&amp;K$331,Input_ForRateCalc[[Cost item]:[Cost item]],0),MATCH(Calc_TUV_Net_2[[#This Row],[Decision ref]:[Decision ref]],Input_ForRateCalc[#Headers],0))*TUProp_Days_2,"-")</f>
        <v>-</v>
      </c>
      <c r="L406" s="60" t="str" cm="1">
        <f t="array" ref="L406">IFERROR(INDEX(Input_ForRateCalc[],MATCH($C406&amp;" - "&amp;L$331,Input_ForRateCalc[[Cost item]:[Cost item]],0),MATCH(Calc_TUV_Net_2[[#This Row],[Decision ref]:[Decision ref]],Input_ForRateCalc[#Headers],0))*TUProp_Days_2,"-")</f>
        <v>-</v>
      </c>
      <c r="M406" s="60" t="str" cm="1">
        <f t="array" ref="M406">IFERROR(INDEX(Input_ForRateCalc[],MATCH($C406&amp;" - "&amp;M$331,Input_ForRateCalc[[Cost item]:[Cost item]],0),MATCH(Calc_TUV_Net_2[[#This Row],[Decision ref]:[Decision ref]],Input_ForRateCalc[#Headers],0))*TUProp_Days_2,"-")</f>
        <v>-</v>
      </c>
      <c r="N406" s="60" t="str" cm="1">
        <f t="array" ref="N406">IFERROR(INDEX(Input_ForRateCalc[],MATCH($C406&amp;" - "&amp;N$331,Input_ForRateCalc[[Cost item]:[Cost item]],0),MATCH(Calc_TUV_Net_2[[#This Row],[Decision ref]:[Decision ref]],Input_ForRateCalc[#Headers],0))*TUProp_Days_2,"-")</f>
        <v>-</v>
      </c>
      <c r="O406" s="60" t="str" cm="1">
        <f t="array" ref="O406">IFERROR(INDEX(Input_ForRateCalc[],MATCH($C406&amp;" - "&amp;O$331,Input_ForRateCalc[[Cost item]:[Cost item]],0),MATCH(Calc_TUV_Net_2[[#This Row],[Decision ref]:[Decision ref]],Input_ForRateCalc[#Headers],0))*TUProp_Days_2,"-")</f>
        <v>-</v>
      </c>
    </row>
    <row r="407" spans="3:15" hidden="1" outlineLevel="1">
      <c r="C407" s="53" t="s">
        <v>191</v>
      </c>
      <c r="D407" s="75" t="str">
        <f>Calc_TU_values!$D$235</f>
        <v>VDO 2022-23 - Final</v>
      </c>
      <c r="E407" s="20" t="s">
        <v>190</v>
      </c>
      <c r="F407" s="75" t="str">
        <f>INDEX(Inputs!$H$10:$U$10,1,MATCH($D407,Inputs!$H$8:$U$8,0))</f>
        <v>F-CurrentVDO_Input</v>
      </c>
      <c r="G407" s="52"/>
      <c r="H407" s="20" t="s">
        <v>90</v>
      </c>
      <c r="I407" s="20" t="s">
        <v>64</v>
      </c>
      <c r="J407" s="53" t="s">
        <v>65</v>
      </c>
      <c r="K407" s="58">
        <f>IFERROR(SUM(K405:K406),"-")</f>
        <v>0</v>
      </c>
      <c r="L407" s="58">
        <f>IFERROR(SUM(L405:L406),"-")</f>
        <v>0</v>
      </c>
      <c r="M407" s="58">
        <f>IFERROR(SUM(M405:M406),"-")</f>
        <v>0</v>
      </c>
      <c r="N407" s="58">
        <f>IFERROR(SUM(N405:N406),"-")</f>
        <v>0</v>
      </c>
      <c r="O407" s="58">
        <f>IFERROR(SUM(O405:O406),"-")</f>
        <v>0</v>
      </c>
    </row>
    <row r="408" spans="3:15" hidden="1" outlineLevel="1">
      <c r="C408" s="53" t="s">
        <v>222</v>
      </c>
      <c r="D408" s="75" t="str">
        <f>INDEX(Input_DecisionActual[[Decision]:[Decision]],MATCH(Calc_TU_values!$D$235,Input_DecisionActual[[VDO period]:[VDO period]],0),1)</f>
        <v>VDO 2022 - Final</v>
      </c>
      <c r="E408" s="20" t="s">
        <v>192</v>
      </c>
      <c r="F408" s="75" t="str">
        <f>IF($D408="-","-",INDEX(Inputs!$H$10:$U$10,1,MATCH($D408,Inputs!$H$8:$U$8,0)))</f>
        <v>F-PreviousVDO_Input2</v>
      </c>
      <c r="G408" s="52"/>
      <c r="H408" s="20" t="s">
        <v>90</v>
      </c>
      <c r="I408" s="20" t="s">
        <v>64</v>
      </c>
      <c r="J408" s="53" t="s">
        <v>65</v>
      </c>
      <c r="K408" s="60" t="str" cm="1">
        <f t="array" ref="K408">IFERROR(INDEX(Input_ForRateCalc[],MATCH($C408&amp;" - "&amp;K$331,Input_ForRateCalc[[Cost item]:[Cost item]],0),MATCH(Calc_TUV_Net_2[[#This Row],[Decision ref]:[Decision ref]],Input_ForRateCalc[#Headers],0))*TUProp_Days_2,"-")</f>
        <v>-</v>
      </c>
      <c r="L408" s="60" t="str" cm="1">
        <f t="array" ref="L408">IFERROR(INDEX(Input_ForRateCalc[],MATCH($C408&amp;" - "&amp;L$331,Input_ForRateCalc[[Cost item]:[Cost item]],0),MATCH(Calc_TUV_Net_2[[#This Row],[Decision ref]:[Decision ref]],Input_ForRateCalc[#Headers],0))*TUProp_Days_2,"-")</f>
        <v>-</v>
      </c>
      <c r="M408" s="60" t="str" cm="1">
        <f t="array" ref="M408">IFERROR(INDEX(Input_ForRateCalc[],MATCH($C408&amp;" - "&amp;M$331,Input_ForRateCalc[[Cost item]:[Cost item]],0),MATCH(Calc_TUV_Net_2[[#This Row],[Decision ref]:[Decision ref]],Input_ForRateCalc[#Headers],0))*TUProp_Days_2,"-")</f>
        <v>-</v>
      </c>
      <c r="N408" s="60" t="str" cm="1">
        <f t="array" ref="N408">IFERROR(INDEX(Input_ForRateCalc[],MATCH($C408&amp;" - "&amp;N$331,Input_ForRateCalc[[Cost item]:[Cost item]],0),MATCH(Calc_TUV_Net_2[[#This Row],[Decision ref]:[Decision ref]],Input_ForRateCalc[#Headers],0))*TUProp_Days_2,"-")</f>
        <v>-</v>
      </c>
      <c r="O408" s="60" t="str" cm="1">
        <f t="array" ref="O408">IFERROR(INDEX(Input_ForRateCalc[],MATCH($C408&amp;" - "&amp;O$331,Input_ForRateCalc[[Cost item]:[Cost item]],0),MATCH(Calc_TUV_Net_2[[#This Row],[Decision ref]:[Decision ref]],Input_ForRateCalc[#Headers],0))*TUProp_Days_2,"-")</f>
        <v>-</v>
      </c>
    </row>
    <row r="409" spans="3:15" hidden="1" outlineLevel="1">
      <c r="C409" s="53" t="s">
        <v>94</v>
      </c>
      <c r="D409" s="75" t="str">
        <f>INDEX(Input_DecisionActual[[Decision]:[Decision]],MATCH(Calc_TU_values!$D$235,Input_DecisionActual[[VDO period]:[VDO period]],0),1)</f>
        <v>VDO 2022 - Final</v>
      </c>
      <c r="E409" s="20" t="s">
        <v>192</v>
      </c>
      <c r="F409" s="75" t="str">
        <f>IF($D409="-","-",INDEX(Inputs!$H$10:$U$10,1,MATCH($D409,Inputs!$H$8:$U$8,0)))</f>
        <v>F-PreviousVDO_Input2</v>
      </c>
      <c r="G409" s="52"/>
      <c r="H409" s="20" t="s">
        <v>90</v>
      </c>
      <c r="I409" s="20" t="s">
        <v>64</v>
      </c>
      <c r="J409" s="53" t="s">
        <v>65</v>
      </c>
      <c r="K409" s="60" t="str" cm="1">
        <f t="array" ref="K409">IFERROR(INDEX(Input_ForRateCalc[],MATCH($C409&amp;" - "&amp;K$331,Input_ForRateCalc[[Cost item]:[Cost item]],0),MATCH(Calc_TUV_Net_2[[#This Row],[Decision ref]:[Decision ref]],Input_ForRateCalc[#Headers],0))*TUProp_Days_2,"-")</f>
        <v>-</v>
      </c>
      <c r="L409" s="60" t="str" cm="1">
        <f t="array" ref="L409">IFERROR(INDEX(Input_ForRateCalc[],MATCH($C409&amp;" - "&amp;L$331,Input_ForRateCalc[[Cost item]:[Cost item]],0),MATCH(Calc_TUV_Net_2[[#This Row],[Decision ref]:[Decision ref]],Input_ForRateCalc[#Headers],0))*TUProp_Days_2,"-")</f>
        <v>-</v>
      </c>
      <c r="M409" s="60" t="str" cm="1">
        <f t="array" ref="M409">IFERROR(INDEX(Input_ForRateCalc[],MATCH($C409&amp;" - "&amp;M$331,Input_ForRateCalc[[Cost item]:[Cost item]],0),MATCH(Calc_TUV_Net_2[[#This Row],[Decision ref]:[Decision ref]],Input_ForRateCalc[#Headers],0))*TUProp_Days_2,"-")</f>
        <v>-</v>
      </c>
      <c r="N409" s="60" t="str" cm="1">
        <f t="array" ref="N409">IFERROR(INDEX(Input_ForRateCalc[],MATCH($C409&amp;" - "&amp;N$331,Input_ForRateCalc[[Cost item]:[Cost item]],0),MATCH(Calc_TUV_Net_2[[#This Row],[Decision ref]:[Decision ref]],Input_ForRateCalc[#Headers],0))*TUProp_Days_2,"-")</f>
        <v>-</v>
      </c>
      <c r="O409" s="60" t="str" cm="1">
        <f t="array" ref="O409">IFERROR(INDEX(Input_ForRateCalc[],MATCH($C409&amp;" - "&amp;O$331,Input_ForRateCalc[[Cost item]:[Cost item]],0),MATCH(Calc_TUV_Net_2[[#This Row],[Decision ref]:[Decision ref]],Input_ForRateCalc[#Headers],0))*TUProp_Days_2,"-")</f>
        <v>-</v>
      </c>
    </row>
    <row r="410" spans="3:15" hidden="1" outlineLevel="1">
      <c r="C410" s="53" t="s">
        <v>191</v>
      </c>
      <c r="D410" s="75" t="str">
        <f>INDEX(Input_DecisionActual[[Decision]:[Decision]],MATCH(Calc_TU_values!$D$235,Input_DecisionActual[[VDO period]:[VDO period]],0),1)</f>
        <v>VDO 2022 - Final</v>
      </c>
      <c r="E410" s="20" t="s">
        <v>192</v>
      </c>
      <c r="F410" s="75" t="str">
        <f>IF($D410="-","-",INDEX(Inputs!$H$10:$U$10,1,MATCH($D410,Inputs!$H$8:$U$8,0)))</f>
        <v>F-PreviousVDO_Input2</v>
      </c>
      <c r="G410" s="52"/>
      <c r="H410" s="20" t="s">
        <v>90</v>
      </c>
      <c r="I410" s="20" t="s">
        <v>64</v>
      </c>
      <c r="J410" s="53" t="s">
        <v>65</v>
      </c>
      <c r="K410" s="59">
        <f>SUM(K408:K409)</f>
        <v>0</v>
      </c>
      <c r="L410" s="59">
        <f>SUM(L408:L409)</f>
        <v>0</v>
      </c>
      <c r="M410" s="59">
        <f>SUM(M408:M409)</f>
        <v>0</v>
      </c>
      <c r="N410" s="59">
        <f>SUM(N408:N409)</f>
        <v>0</v>
      </c>
      <c r="O410" s="59">
        <f>SUM(O408:O409)</f>
        <v>0</v>
      </c>
    </row>
    <row r="411" spans="3:15" hidden="1" outlineLevel="1">
      <c r="C411" s="53" t="s">
        <v>193</v>
      </c>
      <c r="D411" s="20"/>
      <c r="E411" s="20"/>
      <c r="F411" s="20"/>
      <c r="G411" s="53"/>
      <c r="H411" s="20" t="s">
        <v>90</v>
      </c>
      <c r="I411" s="20" t="s">
        <v>64</v>
      </c>
      <c r="J411" s="53" t="s">
        <v>65</v>
      </c>
      <c r="K411" s="59" t="str">
        <f>IF(K410=0,"-",K407-K410)</f>
        <v>-</v>
      </c>
      <c r="L411" s="59" t="str">
        <f t="shared" ref="L411:O411" si="123">IF(L410=0,"-",L407-L410)</f>
        <v>-</v>
      </c>
      <c r="M411" s="59" t="str">
        <f t="shared" si="123"/>
        <v>-</v>
      </c>
      <c r="N411" s="59" t="str">
        <f t="shared" si="123"/>
        <v>-</v>
      </c>
      <c r="O411" s="59" t="str">
        <f t="shared" si="123"/>
        <v>-</v>
      </c>
    </row>
    <row r="412" spans="3:15" hidden="1" outlineLevel="1">
      <c r="C412" s="53" t="s">
        <v>180</v>
      </c>
      <c r="D412" s="20"/>
      <c r="E412" s="20"/>
      <c r="F412" s="20"/>
      <c r="G412" s="53"/>
      <c r="H412" s="20" t="s">
        <v>90</v>
      </c>
      <c r="I412" s="20" t="s">
        <v>64</v>
      </c>
      <c r="J412" s="53" t="s">
        <v>65</v>
      </c>
      <c r="K412" s="60" t="str">
        <f>IFERROR(IF($D$308="Yes",K411*(1+WACC_adj_2),""),"-")</f>
        <v/>
      </c>
      <c r="L412" s="60" t="str">
        <f>IFERROR(IF($D$308="Yes",L411*(1+WACC_adj_2),""),"-")</f>
        <v/>
      </c>
      <c r="M412" s="60" t="str">
        <f>IFERROR(IF($D$308="Yes",M411*(1+WACC_adj_2),""),"-")</f>
        <v/>
      </c>
      <c r="N412" s="60" t="str">
        <f>IFERROR(IF($D$308="Yes",N411*(1+WACC_adj_2),""),"-")</f>
        <v/>
      </c>
      <c r="O412" s="60" t="str">
        <f>IFERROR(IF($D$308="Yes",O411*(1+WACC_adj_2),""),"-")</f>
        <v/>
      </c>
    </row>
    <row r="413" spans="3:15" hidden="1" outlineLevel="1">
      <c r="C413" s="53" t="s">
        <v>195</v>
      </c>
      <c r="D413" s="75" t="str">
        <f>INDEX(Input_DecisionActual[[Decision]:[Decision]],MATCH(Calc_TU_values!$D$235,Input_DecisionActual[[VDO period]:[VDO period]],0),1)</f>
        <v>VDO 2022 - Final</v>
      </c>
      <c r="E413" s="20" t="s">
        <v>192</v>
      </c>
      <c r="F413" s="75" t="str">
        <f>IF($D413="-","-",INDEX(Inputs!$H$10:$U$10,1,MATCH($D413,Inputs!$H$8:$U$8,0)))</f>
        <v>F-PreviousVDO_Input2</v>
      </c>
      <c r="G413" s="53"/>
      <c r="H413" s="20" t="s">
        <v>90</v>
      </c>
      <c r="I413" s="20" t="s">
        <v>64</v>
      </c>
      <c r="J413" s="53" t="s">
        <v>65</v>
      </c>
      <c r="K413" s="60" cm="1">
        <f t="array" ref="K413">IFERROR(SUM(K411:K412)*(INDEX(Inputs!$H$11:$U$134,MATCH("Retail operating margin",Input_ForRateCalc[[Cost item]:[Cost item]],0),MATCH(Calc_TUV_Net_2[[#This Row],[Decision ref]:[Decision ref]],Inputs!$H$10:$U$10,0))),"-")</f>
        <v>0</v>
      </c>
      <c r="L413" s="60" cm="1">
        <f t="array" ref="L413">IFERROR(SUM(L411:L412)*(INDEX(Inputs!$H$11:$U$134,MATCH("Retail operating margin",Input_ForRateCalc[[Cost item]:[Cost item]],0),MATCH(Calc_TUV_Net_2[[#This Row],[Decision ref]:[Decision ref]],Inputs!$H$10:$U$10,0))),"-")</f>
        <v>0</v>
      </c>
      <c r="M413" s="60" cm="1">
        <f t="array" ref="M413">IFERROR(SUM(M411:M412)*(INDEX(Inputs!$H$11:$U$134,MATCH("Retail operating margin",Input_ForRateCalc[[Cost item]:[Cost item]],0),MATCH(Calc_TUV_Net_2[[#This Row],[Decision ref]:[Decision ref]],Inputs!$H$10:$U$10,0))),"-")</f>
        <v>0</v>
      </c>
      <c r="N413" s="60" cm="1">
        <f t="array" ref="N413">IFERROR(SUM(N411:N412)*(INDEX(Inputs!$H$11:$U$134,MATCH("Retail operating margin",Input_ForRateCalc[[Cost item]:[Cost item]],0),MATCH(Calc_TUV_Net_2[[#This Row],[Decision ref]:[Decision ref]],Inputs!$H$10:$U$10,0))),"-")</f>
        <v>0</v>
      </c>
      <c r="O413" s="60" cm="1">
        <f t="array" ref="O413">IFERROR(SUM(O411:O412)*(INDEX(Inputs!$H$11:$U$134,MATCH("Retail operating margin",Input_ForRateCalc[[Cost item]:[Cost item]],0),MATCH(Calc_TUV_Net_2[[#This Row],[Decision ref]:[Decision ref]],Inputs!$H$10:$U$10,0))),"-")</f>
        <v>0</v>
      </c>
    </row>
    <row r="414" spans="3:15" hidden="1" outlineLevel="1">
      <c r="C414" s="53" t="s">
        <v>196</v>
      </c>
      <c r="D414" s="20"/>
      <c r="E414" s="20"/>
      <c r="F414" s="20"/>
      <c r="G414" s="53"/>
      <c r="H414" s="20" t="s">
        <v>90</v>
      </c>
      <c r="I414" s="20" t="s">
        <v>64</v>
      </c>
      <c r="J414" s="53" t="s">
        <v>65</v>
      </c>
      <c r="K414" s="60" t="str">
        <f>IF(K410=0,"-",SUM(K411:K413)*GST)</f>
        <v>-</v>
      </c>
      <c r="L414" s="60" t="str">
        <f>IF(L410=0,"-",SUM(L411:L413)*GST)</f>
        <v>-</v>
      </c>
      <c r="M414" s="60" t="str">
        <f>IF(M410=0,"-",SUM(M411:M413)*GST)</f>
        <v>-</v>
      </c>
      <c r="N414" s="60" t="str">
        <f>IF(N410=0,"-",SUM(N411:N413)*GST)</f>
        <v>-</v>
      </c>
      <c r="O414" s="60" t="str">
        <f>IF(O410=0,"-",SUM(O411:O413)*GST)</f>
        <v>-</v>
      </c>
    </row>
    <row r="415" spans="3:15" hidden="1" outlineLevel="1">
      <c r="C415" s="20" t="s">
        <v>241</v>
      </c>
      <c r="D415" s="20"/>
      <c r="E415" s="20"/>
      <c r="F415" s="20"/>
      <c r="G415" s="53"/>
      <c r="H415" s="20" t="s">
        <v>90</v>
      </c>
      <c r="I415" s="20" t="s">
        <v>64</v>
      </c>
      <c r="J415" s="53" t="s">
        <v>65</v>
      </c>
      <c r="K415" s="60" t="str">
        <f>IF(K410=0,"-",SUM(K411:K414))</f>
        <v>-</v>
      </c>
      <c r="L415" s="60" t="str">
        <f>IF(L410=0,"-",SUM(L411:L414))</f>
        <v>-</v>
      </c>
      <c r="M415" s="60" t="str">
        <f>IF(M410=0,"-",SUM(M411:M414))</f>
        <v>-</v>
      </c>
      <c r="N415" s="60" t="str">
        <f>IF(N410=0,"-",SUM(N411:N414))</f>
        <v>-</v>
      </c>
      <c r="O415" s="60" t="str">
        <f>IF(O410=0,"-",SUM(O411:O414))</f>
        <v>-</v>
      </c>
    </row>
    <row r="416" spans="3:15" hidden="1" outlineLevel="1">
      <c r="C416" s="53"/>
      <c r="D416" s="53"/>
      <c r="E416" s="53"/>
      <c r="F416" s="53"/>
      <c r="H416" s="53"/>
      <c r="I416" s="20"/>
      <c r="J416" s="20"/>
      <c r="K416" s="106"/>
      <c r="L416" s="106"/>
      <c r="M416" s="106"/>
      <c r="N416" s="106"/>
      <c r="O416" s="106"/>
    </row>
    <row r="417" spans="3:15" hidden="1" outlineLevel="1">
      <c r="C417" s="51" t="s">
        <v>242</v>
      </c>
      <c r="D417" s="53"/>
      <c r="E417" s="53"/>
      <c r="F417" s="53"/>
      <c r="G417" s="62"/>
      <c r="H417" s="53"/>
      <c r="I417" s="20"/>
      <c r="J417" s="20"/>
      <c r="K417" s="106"/>
      <c r="L417" s="106"/>
      <c r="M417" s="106"/>
      <c r="N417" s="106"/>
      <c r="O417" s="106"/>
    </row>
    <row r="418" spans="3:15" hidden="1" outlineLevel="1">
      <c r="C418" s="53" t="s">
        <v>243</v>
      </c>
      <c r="D418" s="75" t="str">
        <f>Calc_TU_values!$D$235</f>
        <v>VDO 2022-23 - Final</v>
      </c>
      <c r="E418" s="20" t="s">
        <v>190</v>
      </c>
      <c r="F418" s="75" t="str">
        <f>INDEX(Inputs!$H$10:$U$10,1,MATCH($D418,Inputs!$H$8:$U$8,0))</f>
        <v>F-CurrentVDO_Input</v>
      </c>
      <c r="G418" s="53"/>
      <c r="H418" s="20" t="s">
        <v>103</v>
      </c>
      <c r="I418" s="20" t="s">
        <v>226</v>
      </c>
      <c r="J418" s="53" t="s">
        <v>65</v>
      </c>
      <c r="K418" s="60" cm="1">
        <f t="array" ref="K418">IFERROR(INDEX(Input_ForRateCalc[],MATCH($C418&amp;" - "&amp;K$331,Input_ForRateCalc[[Cost item]:[Cost item]],0),MATCH(Calc_TUV_Net_2[[#This Row],[Decision ref]:[Decision ref]],Input_ForRateCalc[#Headers],0)),"-")</f>
        <v>22.9085</v>
      </c>
      <c r="L418" s="60" cm="1">
        <f t="array" ref="L418">IFERROR(INDEX(Input_ForRateCalc[],MATCH($C418&amp;" - "&amp;L$331,Input_ForRateCalc[[Cost item]:[Cost item]],0),MATCH(Calc_TUV_Net_2[[#This Row],[Decision ref]:[Decision ref]],Input_ForRateCalc[#Headers],0)),"-")</f>
        <v>14.7</v>
      </c>
      <c r="M418" s="60" cm="1">
        <f t="array" ref="M418">IFERROR(INDEX(Input_ForRateCalc[],MATCH($C418&amp;" - "&amp;M$331,Input_ForRateCalc[[Cost item]:[Cost item]],0),MATCH(Calc_TUV_Net_2[[#This Row],[Decision ref]:[Decision ref]],Input_ForRateCalc[#Headers],0)),"-")</f>
        <v>13.781000000000001</v>
      </c>
      <c r="N418" s="60" cm="1">
        <f t="array" ref="N418">IFERROR(INDEX(Input_ForRateCalc[],MATCH($C418&amp;" - "&amp;N$331,Input_ForRateCalc[[Cost item]:[Cost item]],0),MATCH(Calc_TUV_Net_2[[#This Row],[Decision ref]:[Decision ref]],Input_ForRateCalc[#Headers],0)),"-")</f>
        <v>16.170000000000002</v>
      </c>
      <c r="O418" s="60" cm="1">
        <f t="array" ref="O418">IFERROR(INDEX(Input_ForRateCalc[],MATCH($C418&amp;" - "&amp;O$331,Input_ForRateCalc[[Cost item]:[Cost item]],0),MATCH(Calc_TUV_Net_2[[#This Row],[Decision ref]:[Decision ref]],Input_ForRateCalc[#Headers],0)),"-")</f>
        <v>16.22</v>
      </c>
    </row>
    <row r="419" spans="3:15" hidden="1" outlineLevel="1">
      <c r="C419" s="53" t="s">
        <v>244</v>
      </c>
      <c r="D419" s="75" t="str">
        <f>Calc_TU_values!$D$235</f>
        <v>VDO 2022-23 - Final</v>
      </c>
      <c r="E419" s="20" t="s">
        <v>190</v>
      </c>
      <c r="F419" s="75" t="str">
        <f>INDEX(Inputs!$H$10:$U$10,1,MATCH($D419,Inputs!$H$8:$U$8,0))</f>
        <v>F-CurrentVDO_Input</v>
      </c>
      <c r="G419" s="62"/>
      <c r="H419" s="20" t="s">
        <v>103</v>
      </c>
      <c r="I419" s="20" t="s">
        <v>226</v>
      </c>
      <c r="J419" s="53" t="s">
        <v>65</v>
      </c>
      <c r="K419" s="60" cm="1">
        <f t="array" ref="K419">IFERROR(INDEX(Input_ForRateCalc[],MATCH($C419&amp;" - "&amp;K$331,Input_ForRateCalc[[Cost item]:[Cost item]],0),MATCH(Calc_TUV_Net_2[[#This Row],[Decision ref]:[Decision ref]],Input_ForRateCalc[#Headers],0)),"-")</f>
        <v>4.7720000000000002</v>
      </c>
      <c r="L419" s="60" cm="1">
        <f t="array" ref="L419">IFERROR(INDEX(Input_ForRateCalc[],MATCH($C419&amp;" - "&amp;L$331,Input_ForRateCalc[[Cost item]:[Cost item]],0),MATCH(Calc_TUV_Net_2[[#This Row],[Decision ref]:[Decision ref]],Input_ForRateCalc[#Headers],0)),"-")</f>
        <v>3.67</v>
      </c>
      <c r="M419" s="60" cm="1">
        <f t="array" ref="M419">IFERROR(INDEX(Input_ForRateCalc[],MATCH($C419&amp;" - "&amp;M$331,Input_ForRateCalc[[Cost item]:[Cost item]],0),MATCH(Calc_TUV_Net_2[[#This Row],[Decision ref]:[Decision ref]],Input_ForRateCalc[#Headers],0)),"-")</f>
        <v>3.9809999999999999</v>
      </c>
      <c r="N419" s="60" cm="1">
        <f t="array" ref="N419">IFERROR(INDEX(Input_ForRateCalc[],MATCH($C419&amp;" - "&amp;N$331,Input_ForRateCalc[[Cost item]:[Cost item]],0),MATCH(Calc_TUV_Net_2[[#This Row],[Decision ref]:[Decision ref]],Input_ForRateCalc[#Headers],0)),"-")</f>
        <v>4.05</v>
      </c>
      <c r="O419" s="60" cm="1">
        <f t="array" ref="O419">IFERROR(INDEX(Input_ForRateCalc[],MATCH($C419&amp;" - "&amp;O$331,Input_ForRateCalc[[Cost item]:[Cost item]],0),MATCH(Calc_TUV_Net_2[[#This Row],[Decision ref]:[Decision ref]],Input_ForRateCalc[#Headers],0)),"-")</f>
        <v>4.05</v>
      </c>
    </row>
    <row r="420" spans="3:15" hidden="1" outlineLevel="1">
      <c r="C420" s="53" t="s">
        <v>191</v>
      </c>
      <c r="D420" s="75" t="str">
        <f>Calc_TU_values!$D$235</f>
        <v>VDO 2022-23 - Final</v>
      </c>
      <c r="E420" s="20" t="s">
        <v>190</v>
      </c>
      <c r="F420" s="75" t="str">
        <f>INDEX(Inputs!$H$10:$U$10,1,MATCH($D420,Inputs!$H$8:$U$8,0))</f>
        <v>F-CurrentVDO_Input</v>
      </c>
      <c r="G420" s="52"/>
      <c r="H420" s="20" t="s">
        <v>103</v>
      </c>
      <c r="I420" s="20" t="s">
        <v>226</v>
      </c>
      <c r="J420" s="53" t="s">
        <v>65</v>
      </c>
      <c r="K420" s="61">
        <f>SUMIFS(TUNet_Usage_Actual_2[Value],TUNet_Usage_Actual_2[Customer type],Calc_TUV_Net_2[[#This Row],[Customer type]],TUNet_Usage_Actual_2[Description],"Usage per customer")*SUM(
IFERROR(K418/100*SUMIFS(Input_TUNet_Props[F-PreviousVDO_Input2],Input_TUNet_Props[Customer type],Calc_TUV_Net_2[[#This Row],[Customer type]],Input_TUNet_Props[Usage type],"Peak"),0),
IFERROR(K419/100*SUMIFS(Input_TUNet_Props[F-PreviousVDO_Input2],Input_TUNet_Props[Customer type],Calc_TUV_Net_2[[#This Row],[Customer type]],Input_TUNet_Props[Usage type],"Off peak"),0))</f>
        <v>0</v>
      </c>
      <c r="L420" s="61">
        <f>SUMIFS(TUNet_Usage_Actual_2[Value],TUNet_Usage_Actual_2[Customer type],Calc_TUV_Net_2[[#This Row],[Customer type]],TUNet_Usage_Actual_2[Description],"Usage per customer")*SUM(
IFERROR(L418/100*SUMIFS(Input_TUNet_Props[F-PreviousVDO_Input2],Input_TUNet_Props[Customer type],Calc_TUV_Net_2[[#This Row],[Customer type]],Input_TUNet_Props[Usage type],"Peak"),0),
IFERROR(L419/100*SUMIFS(Input_TUNet_Props[F-PreviousVDO_Input2],Input_TUNet_Props[Customer type],Calc_TUV_Net_2[[#This Row],[Customer type]],Input_TUNet_Props[Usage type],"Off peak"),0))</f>
        <v>0</v>
      </c>
      <c r="M420" s="61">
        <f>SUMIFS(TUNet_Usage_Actual_2[Value],TUNet_Usage_Actual_2[Customer type],Calc_TUV_Net_2[[#This Row],[Customer type]],TUNet_Usage_Actual_2[Description],"Usage per customer")*SUM(
IFERROR(M418/100*SUMIFS(Input_TUNet_Props[F-PreviousVDO_Input2],Input_TUNet_Props[Customer type],Calc_TUV_Net_2[[#This Row],[Customer type]],Input_TUNet_Props[Usage type],"Peak"),0),
IFERROR(M419/100*SUMIFS(Input_TUNet_Props[F-PreviousVDO_Input2],Input_TUNet_Props[Customer type],Calc_TUV_Net_2[[#This Row],[Customer type]],Input_TUNet_Props[Usage type],"Off peak"),0))</f>
        <v>0</v>
      </c>
      <c r="N420" s="61">
        <f>SUMIFS(TUNet_Usage_Actual_2[Value],TUNet_Usage_Actual_2[Customer type],Calc_TUV_Net_2[[#This Row],[Customer type]],TUNet_Usage_Actual_2[Description],"Usage per customer")*SUM(
IFERROR(N418/100*SUMIFS(Input_TUNet_Props[F-PreviousVDO_Input2],Input_TUNet_Props[Customer type],Calc_TUV_Net_2[[#This Row],[Customer type]],Input_TUNet_Props[Usage type],"Peak"),0),
IFERROR(N419/100*SUMIFS(Input_TUNet_Props[F-PreviousVDO_Input2],Input_TUNet_Props[Customer type],Calc_TUV_Net_2[[#This Row],[Customer type]],Input_TUNet_Props[Usage type],"Off peak"),0))</f>
        <v>0</v>
      </c>
      <c r="O420" s="61">
        <f>SUMIFS(TUNet_Usage_Actual_2[Value],TUNet_Usage_Actual_2[Customer type],Calc_TUV_Net_2[[#This Row],[Customer type]],TUNet_Usage_Actual_2[Description],"Usage per customer")*SUM(
IFERROR(O418/100*SUMIFS(Input_TUNet_Props[F-PreviousVDO_Input2],Input_TUNet_Props[Customer type],Calc_TUV_Net_2[[#This Row],[Customer type]],Input_TUNet_Props[Usage type],"Peak"),0),
IFERROR(O419/100*SUMIFS(Input_TUNet_Props[F-PreviousVDO_Input2],Input_TUNet_Props[Customer type],Calc_TUV_Net_2[[#This Row],[Customer type]],Input_TUNet_Props[Usage type],"Off peak"),0))</f>
        <v>0</v>
      </c>
    </row>
    <row r="421" spans="3:15" hidden="1" outlineLevel="1">
      <c r="C421" s="53" t="s">
        <v>225</v>
      </c>
      <c r="D421" s="75" t="str">
        <f>INDEX(Input_DecisionActual[[Decision]:[Decision]],MATCH(Calc_TU_values!$D$235,Input_DecisionActual[[VDO period]:[VDO period]],0),1)</f>
        <v>VDO 2022 - Final</v>
      </c>
      <c r="E421" s="20" t="s">
        <v>192</v>
      </c>
      <c r="F421" s="75" t="str">
        <f>IF($D421="-","-",INDEX(Inputs!$H$10:$U$10,1,MATCH($D421,Inputs!$H$8:$U$8,0)))</f>
        <v>F-PreviousVDO_Input2</v>
      </c>
      <c r="G421" s="52"/>
      <c r="H421" s="20" t="s">
        <v>103</v>
      </c>
      <c r="I421" s="20" t="s">
        <v>64</v>
      </c>
      <c r="J421" s="53" t="s">
        <v>65</v>
      </c>
      <c r="K421" s="60" cm="1">
        <f t="array" ref="K421">IFERROR(INDEX(Input_ForRateCalc[],MATCH($C421&amp;" - "&amp;K$331,Input_ForRateCalc[[Cost item]:[Cost item]],0),MATCH(Calc_TUV_Net_2[[#This Row],[Decision ref]:[Decision ref]],Input_ForRateCalc[#Headers],0)),"-")</f>
        <v>11.4503</v>
      </c>
      <c r="L421" s="60" t="str" cm="1">
        <f t="array" ref="L421">IFERROR(INDEX(Input_ForRateCalc[],MATCH($C421&amp;" - "&amp;L$331,Input_ForRateCalc[[Cost item]:[Cost item]],0),MATCH(Calc_TUV_Net_2[[#This Row],[Decision ref]:[Decision ref]],Input_ForRateCalc[#Headers],0)),"-")</f>
        <v>-</v>
      </c>
      <c r="M421" s="60" t="str" cm="1">
        <f t="array" ref="M421">IFERROR(INDEX(Input_ForRateCalc[],MATCH($C421&amp;" - "&amp;M$331,Input_ForRateCalc[[Cost item]:[Cost item]],0),MATCH(Calc_TUV_Net_2[[#This Row],[Decision ref]:[Decision ref]],Input_ForRateCalc[#Headers],0)),"-")</f>
        <v>-</v>
      </c>
      <c r="N421" s="60" t="str" cm="1">
        <f t="array" ref="N421">IFERROR(INDEX(Input_ForRateCalc[],MATCH($C421&amp;" - "&amp;N$331,Input_ForRateCalc[[Cost item]:[Cost item]],0),MATCH(Calc_TUV_Net_2[[#This Row],[Decision ref]:[Decision ref]],Input_ForRateCalc[#Headers],0)),"-")</f>
        <v>-</v>
      </c>
      <c r="O421" s="60" t="str" cm="1">
        <f t="array" ref="O421">IFERROR(INDEX(Input_ForRateCalc[],MATCH($C421&amp;" - "&amp;O$331,Input_ForRateCalc[[Cost item]:[Cost item]],0),MATCH(Calc_TUV_Net_2[[#This Row],[Decision ref]:[Decision ref]],Input_ForRateCalc[#Headers],0)),"-")</f>
        <v>-</v>
      </c>
    </row>
    <row r="422" spans="3:15" hidden="1" outlineLevel="1">
      <c r="C422" s="53" t="s">
        <v>227</v>
      </c>
      <c r="D422" s="75" t="str">
        <f>INDEX(Input_DecisionActual[[Decision]:[Decision]],MATCH(Calc_TU_values!$D$235,Input_DecisionActual[[VDO period]:[VDO period]],0),1)</f>
        <v>VDO 2022 - Final</v>
      </c>
      <c r="E422" s="20" t="s">
        <v>192</v>
      </c>
      <c r="F422" s="75" t="str">
        <f>IF($D422="-","-",INDEX(Inputs!$H$10:$U$10,1,MATCH($D422,Inputs!$H$8:$U$8,0)))</f>
        <v>F-PreviousVDO_Input2</v>
      </c>
      <c r="G422" s="52"/>
      <c r="H422" s="20" t="s">
        <v>103</v>
      </c>
      <c r="I422" s="20" t="s">
        <v>226</v>
      </c>
      <c r="J422" s="53" t="s">
        <v>65</v>
      </c>
      <c r="K422" s="60" cm="1">
        <f t="array" ref="K422">IFERROR(INDEX(Input_ForRateCalc[],MATCH($C422&amp;" - "&amp;K$331,Input_ForRateCalc[[Cost item]:[Cost item]],0),MATCH(Calc_TUV_Net_2[[#This Row],[Decision ref]:[Decision ref]],Input_ForRateCalc[#Headers],0)),"-")</f>
        <v>12.838200000000001</v>
      </c>
      <c r="L422" s="60" t="str" cm="1">
        <f t="array" ref="L422">IFERROR(INDEX(Input_ForRateCalc[],MATCH($C422&amp;" - "&amp;L$331,Input_ForRateCalc[[Cost item]:[Cost item]],0),MATCH(Calc_TUV_Net_2[[#This Row],[Decision ref]:[Decision ref]],Input_ForRateCalc[#Headers],0)),"-")</f>
        <v>-</v>
      </c>
      <c r="M422" s="60" t="str" cm="1">
        <f t="array" ref="M422">IFERROR(INDEX(Input_ForRateCalc[],MATCH($C422&amp;" - "&amp;M$331,Input_ForRateCalc[[Cost item]:[Cost item]],0),MATCH(Calc_TUV_Net_2[[#This Row],[Decision ref]:[Decision ref]],Input_ForRateCalc[#Headers],0)),"-")</f>
        <v>-</v>
      </c>
      <c r="N422" s="60" t="str" cm="1">
        <f t="array" ref="N422">IFERROR(INDEX(Input_ForRateCalc[],MATCH($C422&amp;" - "&amp;N$331,Input_ForRateCalc[[Cost item]:[Cost item]],0),MATCH(Calc_TUV_Net_2[[#This Row],[Decision ref]:[Decision ref]],Input_ForRateCalc[#Headers],0)),"-")</f>
        <v>-</v>
      </c>
      <c r="O422" s="60" t="str" cm="1">
        <f t="array" ref="O422">IFERROR(INDEX(Input_ForRateCalc[],MATCH($C422&amp;" - "&amp;O$331,Input_ForRateCalc[[Cost item]:[Cost item]],0),MATCH(Calc_TUV_Net_2[[#This Row],[Decision ref]:[Decision ref]],Input_ForRateCalc[#Headers],0)),"-")</f>
        <v>-</v>
      </c>
    </row>
    <row r="423" spans="3:15" hidden="1" outlineLevel="1">
      <c r="C423" s="53" t="s">
        <v>228</v>
      </c>
      <c r="D423" s="75" t="str">
        <f>INDEX(Input_DecisionActual[[Decision]:[Decision]],MATCH(Calc_TU_values!$D$235,Input_DecisionActual[[VDO period]:[VDO period]],0),1)</f>
        <v>VDO 2022 - Final</v>
      </c>
      <c r="E423" s="20" t="s">
        <v>192</v>
      </c>
      <c r="F423" s="75" t="str">
        <f>IF($D423="-","-",INDEX(Inputs!$H$10:$U$10,1,MATCH($D423,Inputs!$H$8:$U$8,0)))</f>
        <v>F-PreviousVDO_Input2</v>
      </c>
      <c r="G423" s="52"/>
      <c r="H423" s="20" t="s">
        <v>103</v>
      </c>
      <c r="I423" s="20" t="s">
        <v>226</v>
      </c>
      <c r="J423" s="53" t="s">
        <v>65</v>
      </c>
      <c r="K423" s="60" t="str" cm="1">
        <f t="array" ref="K423">IFERROR(INDEX(Input_ForRateCalc[],MATCH($C423&amp;" - "&amp;K$331,Input_ForRateCalc[[Cost item]:[Cost item]],0),MATCH(Calc_TUV_Net_2[[#This Row],[Decision ref]:[Decision ref]],Input_ForRateCalc[#Headers],0)),"-")</f>
        <v>-</v>
      </c>
      <c r="L423" s="60" cm="1">
        <f t="array" ref="L423">IFERROR(INDEX(Input_ForRateCalc[],MATCH($C423&amp;" - "&amp;L$331,Input_ForRateCalc[[Cost item]:[Cost item]],0),MATCH(Calc_TUV_Net_2[[#This Row],[Decision ref]:[Decision ref]],Input_ForRateCalc[#Headers],0)),"-")</f>
        <v>8.0500000000000007</v>
      </c>
      <c r="M423" s="60" cm="1">
        <f t="array" ref="M423">IFERROR(INDEX(Input_ForRateCalc[],MATCH($C423&amp;" - "&amp;M$331,Input_ForRateCalc[[Cost item]:[Cost item]],0),MATCH(Calc_TUV_Net_2[[#This Row],[Decision ref]:[Decision ref]],Input_ForRateCalc[#Headers],0)),"-")</f>
        <v>8.67</v>
      </c>
      <c r="N423" s="60" cm="1">
        <f t="array" ref="N423">IFERROR(INDEX(Input_ForRateCalc[],MATCH($C423&amp;" - "&amp;N$331,Input_ForRateCalc[[Cost item]:[Cost item]],0),MATCH(Calc_TUV_Net_2[[#This Row],[Decision ref]:[Decision ref]],Input_ForRateCalc[#Headers],0)),"-")</f>
        <v>8.15</v>
      </c>
      <c r="O423" s="60" cm="1">
        <f t="array" ref="O423">IFERROR(INDEX(Input_ForRateCalc[],MATCH($C423&amp;" - "&amp;O$331,Input_ForRateCalc[[Cost item]:[Cost item]],0),MATCH(Calc_TUV_Net_2[[#This Row],[Decision ref]:[Decision ref]],Input_ForRateCalc[#Headers],0)),"-")</f>
        <v>7.99</v>
      </c>
    </row>
    <row r="424" spans="3:15" hidden="1" outlineLevel="1">
      <c r="C424" s="53" t="s">
        <v>191</v>
      </c>
      <c r="D424" s="75" t="str">
        <f>INDEX(Input_DecisionActual[[Decision]:[Decision]],MATCH(Calc_TU_values!$D$235,Input_DecisionActual[[VDO period]:[VDO period]],0),1)</f>
        <v>VDO 2022 - Final</v>
      </c>
      <c r="E424" s="20" t="s">
        <v>192</v>
      </c>
      <c r="F424" s="75" t="str">
        <f>IF($D424="-","-",INDEX(Inputs!$H$10:$U$10,1,MATCH($D424,Inputs!$H$8:$U$8,0)))</f>
        <v>F-PreviousVDO_Input2</v>
      </c>
      <c r="G424" s="52"/>
      <c r="H424" s="20" t="s">
        <v>103</v>
      </c>
      <c r="I424" s="20" t="s">
        <v>226</v>
      </c>
      <c r="J424" s="53" t="s">
        <v>65</v>
      </c>
      <c r="K424" s="61">
        <f>SUM(
IFERROR(K421/100*SUMIFS(INDEX(TUNet_Usage_PerRate_2[],0,MATCH(K$331,TUNet_Usage_PerRate_2[#Headers],0)),TUNet_Usage_PerRate_2[Customer type],Calc_TUV_Net_2[[#This Row],[Customer type]],TUNet_Usage_PerRate_2[Description],"Usage per customer - Block 1"),0),
IFERROR(K422/100*SUMIFS(INDEX(TUNet_Usage_PerRate_2[],0,MATCH(K$331,TUNet_Usage_PerRate_2[#Headers],0)),TUNet_Usage_PerRate_2[Customer type],Calc_TUV_Net_2[[#This Row],[Customer type]],TUNet_Usage_PerRate_2[Description],"Usage per customer - Balance"),0),
IFERROR(K423/100*SUMIFS(INDEX(TUNet_Usage_PerRate_2[],0,MATCH(K$331,TUNet_Usage_PerRate_2[#Headers],0)),TUNet_Usage_PerRate_2[Customer type],Calc_TUV_Net_2[[#This Row],[Customer type]],TUNet_Usage_PerRate_2[Description],"Usage per customer - Single rate"),0))</f>
        <v>0</v>
      </c>
      <c r="L424" s="61">
        <f>SUM(
IFERROR(L421/100*SUMIFS(INDEX(TUNet_Usage_PerRate_2[],0,MATCH(L$331,TUNet_Usage_PerRate_2[#Headers],0)),TUNet_Usage_PerRate_2[Customer type],Calc_TUV_Net_2[[#This Row],[Customer type]],TUNet_Usage_PerRate_2[Description],"Usage per customer - Block 1"),0),
IFERROR(L422/100*SUMIFS(INDEX(TUNet_Usage_PerRate_2[],0,MATCH(L$331,TUNet_Usage_PerRate_2[#Headers],0)),TUNet_Usage_PerRate_2[Customer type],Calc_TUV_Net_2[[#This Row],[Customer type]],TUNet_Usage_PerRate_2[Description],"Usage per customer - Balance"),0),
IFERROR(L423/100*SUMIFS(INDEX(TUNet_Usage_PerRate_2[],0,MATCH(L$331,TUNet_Usage_PerRate_2[#Headers],0)),TUNet_Usage_PerRate_2[Customer type],Calc_TUV_Net_2[[#This Row],[Customer type]],TUNet_Usage_PerRate_2[Description],"Usage per customer - Single rate"),0))</f>
        <v>0</v>
      </c>
      <c r="M424" s="61">
        <f>SUM(
IFERROR(M421/100*SUMIFS(INDEX(TUNet_Usage_PerRate_2[],0,MATCH(M$331,TUNet_Usage_PerRate_2[#Headers],0)),TUNet_Usage_PerRate_2[Customer type],Calc_TUV_Net_2[[#This Row],[Customer type]],TUNet_Usage_PerRate_2[Description],"Usage per customer - Block 1"),0),
IFERROR(M422/100*SUMIFS(INDEX(TUNet_Usage_PerRate_2[],0,MATCH(M$331,TUNet_Usage_PerRate_2[#Headers],0)),TUNet_Usage_PerRate_2[Customer type],Calc_TUV_Net_2[[#This Row],[Customer type]],TUNet_Usage_PerRate_2[Description],"Usage per customer - Balance"),0),
IFERROR(M423/100*SUMIFS(INDEX(TUNet_Usage_PerRate_2[],0,MATCH(M$331,TUNet_Usage_PerRate_2[#Headers],0)),TUNet_Usage_PerRate_2[Customer type],Calc_TUV_Net_2[[#This Row],[Customer type]],TUNet_Usage_PerRate_2[Description],"Usage per customer - Single rate"),0))</f>
        <v>0</v>
      </c>
      <c r="N424" s="61">
        <f>SUM(
IFERROR(N421/100*SUMIFS(INDEX(TUNet_Usage_PerRate_2[],0,MATCH(N$331,TUNet_Usage_PerRate_2[#Headers],0)),TUNet_Usage_PerRate_2[Customer type],Calc_TUV_Net_2[[#This Row],[Customer type]],TUNet_Usage_PerRate_2[Description],"Usage per customer - Block 1"),0),
IFERROR(N422/100*SUMIFS(INDEX(TUNet_Usage_PerRate_2[],0,MATCH(N$331,TUNet_Usage_PerRate_2[#Headers],0)),TUNet_Usage_PerRate_2[Customer type],Calc_TUV_Net_2[[#This Row],[Customer type]],TUNet_Usage_PerRate_2[Description],"Usage per customer - Balance"),0),
IFERROR(N423/100*SUMIFS(INDEX(TUNet_Usage_PerRate_2[],0,MATCH(N$331,TUNet_Usage_PerRate_2[#Headers],0)),TUNet_Usage_PerRate_2[Customer type],Calc_TUV_Net_2[[#This Row],[Customer type]],TUNet_Usage_PerRate_2[Description],"Usage per customer - Single rate"),0))</f>
        <v>0</v>
      </c>
      <c r="O424" s="61">
        <f>SUM(
IFERROR(O421/100*SUMIFS(INDEX(TUNet_Usage_PerRate_2[],0,MATCH(O$331,TUNet_Usage_PerRate_2[#Headers],0)),TUNet_Usage_PerRate_2[Customer type],Calc_TUV_Net_2[[#This Row],[Customer type]],TUNet_Usage_PerRate_2[Description],"Usage per customer - Block 1"),0),
IFERROR(O422/100*SUMIFS(INDEX(TUNet_Usage_PerRate_2[],0,MATCH(O$331,TUNet_Usage_PerRate_2[#Headers],0)),TUNet_Usage_PerRate_2[Customer type],Calc_TUV_Net_2[[#This Row],[Customer type]],TUNet_Usage_PerRate_2[Description],"Usage per customer - Balance"),0),
IFERROR(O423/100*SUMIFS(INDEX(TUNet_Usage_PerRate_2[],0,MATCH(O$331,TUNet_Usage_PerRate_2[#Headers],0)),TUNet_Usage_PerRate_2[Customer type],Calc_TUV_Net_2[[#This Row],[Customer type]],TUNet_Usage_PerRate_2[Description],"Usage per customer - Single rate"),0))</f>
        <v>0</v>
      </c>
    </row>
    <row r="425" spans="3:15" hidden="1" outlineLevel="1">
      <c r="C425" s="53" t="s">
        <v>193</v>
      </c>
      <c r="D425" s="53"/>
      <c r="E425" s="53"/>
      <c r="F425" s="53"/>
      <c r="G425" s="53"/>
      <c r="H425" s="20" t="s">
        <v>103</v>
      </c>
      <c r="I425" s="20" t="s">
        <v>64</v>
      </c>
      <c r="J425" s="53" t="s">
        <v>65</v>
      </c>
      <c r="K425" s="59" t="str">
        <f>IF(K424=0,"-",K420-K424)</f>
        <v>-</v>
      </c>
      <c r="L425" s="59" t="str">
        <f t="shared" ref="L425" si="124">IF(L424=0,"-",L420-L424)</f>
        <v>-</v>
      </c>
      <c r="M425" s="59" t="str">
        <f t="shared" ref="M425" si="125">IF(M424=0,"-",M420-M424)</f>
        <v>-</v>
      </c>
      <c r="N425" s="59" t="str">
        <f t="shared" ref="N425" si="126">IF(N424=0,"-",N420-N424)</f>
        <v>-</v>
      </c>
      <c r="O425" s="59" t="str">
        <f t="shared" ref="O425" si="127">IF(O424=0,"-",O420-O424)</f>
        <v>-</v>
      </c>
    </row>
    <row r="426" spans="3:15" hidden="1" outlineLevel="1">
      <c r="C426" s="53" t="s">
        <v>180</v>
      </c>
      <c r="D426" s="53"/>
      <c r="E426" s="53"/>
      <c r="F426" s="53"/>
      <c r="G426" s="53"/>
      <c r="H426" s="20" t="s">
        <v>103</v>
      </c>
      <c r="I426" s="20" t="s">
        <v>64</v>
      </c>
      <c r="J426" s="53" t="s">
        <v>65</v>
      </c>
      <c r="K426" s="60" t="str">
        <f>IF($D$308="Yes",K425*(1+WACC_adj_2),"")</f>
        <v/>
      </c>
      <c r="L426" s="60" t="str">
        <f>IF($D$308="Yes",L425*(1+WACC_adj_2),"")</f>
        <v/>
      </c>
      <c r="M426" s="60" t="str">
        <f>IF($D$308="Yes",M425*(1+WACC_adj_2),"")</f>
        <v/>
      </c>
      <c r="N426" s="60" t="str">
        <f>IF($D$308="Yes",N425*(1+WACC_adj_2),"")</f>
        <v/>
      </c>
      <c r="O426" s="60" t="str">
        <f>IF($D$308="Yes",O425*(1+WACC_adj_2),"")</f>
        <v/>
      </c>
    </row>
    <row r="427" spans="3:15" hidden="1" outlineLevel="1">
      <c r="C427" s="53" t="s">
        <v>195</v>
      </c>
      <c r="D427" s="75" t="str">
        <f>INDEX(Input_DecisionActual[[Decision]:[Decision]],MATCH(Calc_TU_values!$D$235,Input_DecisionActual[[VDO period]:[VDO period]],0),1)</f>
        <v>VDO 2022 - Final</v>
      </c>
      <c r="E427" s="20" t="s">
        <v>192</v>
      </c>
      <c r="F427" s="75" t="str">
        <f>IF($D427="-","-",INDEX(Inputs!$H$10:$U$10,1,MATCH($D427,Inputs!$H$8:$U$8,0)))</f>
        <v>F-PreviousVDO_Input2</v>
      </c>
      <c r="G427" s="53"/>
      <c r="H427" s="20" t="s">
        <v>103</v>
      </c>
      <c r="I427" s="20" t="s">
        <v>64</v>
      </c>
      <c r="J427" s="53" t="s">
        <v>65</v>
      </c>
      <c r="K427" s="60" cm="1">
        <f t="array" ref="K427">IFERROR(SUM(K425:K426)*(INDEX(Inputs!$H$11:$U$134,MATCH("Retail operating margin",Input_ForRateCalc[[Cost item]:[Cost item]],0),MATCH(Calc_TUV_Net_2[[#This Row],[Decision ref]:[Decision ref]],Inputs!$H$10:$U$10,0))),"-")</f>
        <v>0</v>
      </c>
      <c r="L427" s="60" cm="1">
        <f t="array" ref="L427">IFERROR(SUM(L425:L426)*(INDEX(Inputs!$H$11:$U$134,MATCH("Retail operating margin",Input_ForRateCalc[[Cost item]:[Cost item]],0),MATCH(Calc_TUV_Net_2[[#This Row],[Decision ref]:[Decision ref]],Inputs!$H$10:$U$10,0))),"-")</f>
        <v>0</v>
      </c>
      <c r="M427" s="60" cm="1">
        <f t="array" ref="M427">IFERROR(SUM(M425:M426)*(INDEX(Inputs!$H$11:$U$134,MATCH("Retail operating margin",Input_ForRateCalc[[Cost item]:[Cost item]],0),MATCH(Calc_TUV_Net_2[[#This Row],[Decision ref]:[Decision ref]],Inputs!$H$10:$U$10,0))),"-")</f>
        <v>0</v>
      </c>
      <c r="N427" s="60" cm="1">
        <f t="array" ref="N427">IFERROR(SUM(N425:N426)*(INDEX(Inputs!$H$11:$U$134,MATCH("Retail operating margin",Input_ForRateCalc[[Cost item]:[Cost item]],0),MATCH(Calc_TUV_Net_2[[#This Row],[Decision ref]:[Decision ref]],Inputs!$H$10:$U$10,0))),"-")</f>
        <v>0</v>
      </c>
      <c r="O427" s="60" cm="1">
        <f t="array" ref="O427">IFERROR(SUM(O425:O426)*(INDEX(Inputs!$H$11:$U$134,MATCH("Retail operating margin",Input_ForRateCalc[[Cost item]:[Cost item]],0),MATCH(Calc_TUV_Net_2[[#This Row],[Decision ref]:[Decision ref]],Inputs!$H$10:$U$10,0))),"-")</f>
        <v>0</v>
      </c>
    </row>
    <row r="428" spans="3:15" hidden="1" outlineLevel="1">
      <c r="C428" s="53" t="s">
        <v>196</v>
      </c>
      <c r="D428" s="53"/>
      <c r="E428" s="53"/>
      <c r="F428" s="53"/>
      <c r="G428" s="53"/>
      <c r="H428" s="20" t="s">
        <v>103</v>
      </c>
      <c r="I428" s="20" t="s">
        <v>64</v>
      </c>
      <c r="J428" s="53" t="s">
        <v>65</v>
      </c>
      <c r="K428" s="60" t="str">
        <f>IF(K424=0,"-",SUM(K425:K427)*GST)</f>
        <v>-</v>
      </c>
      <c r="L428" s="60" t="str">
        <f>IF(L424=0,"-",SUM(L425:L427)*GST)</f>
        <v>-</v>
      </c>
      <c r="M428" s="60" t="str">
        <f>IF(M424=0,"-",SUM(M425:M427)*GST)</f>
        <v>-</v>
      </c>
      <c r="N428" s="60" t="str">
        <f>IF(N424=0,"-",SUM(N425:N427)*GST)</f>
        <v>-</v>
      </c>
      <c r="O428" s="60" t="str">
        <f>IF(O424=0,"-",SUM(O425:O427)*GST)</f>
        <v>-</v>
      </c>
    </row>
    <row r="429" spans="3:15" hidden="1" outlineLevel="1">
      <c r="C429" s="20" t="s">
        <v>245</v>
      </c>
      <c r="D429" s="53"/>
      <c r="E429" s="53"/>
      <c r="F429" s="53"/>
      <c r="H429" s="20" t="s">
        <v>103</v>
      </c>
      <c r="I429" s="20" t="s">
        <v>64</v>
      </c>
      <c r="J429" s="53" t="s">
        <v>65</v>
      </c>
      <c r="K429" s="60" t="str">
        <f>IF(K424=0,"-",SUM(K425:K428))</f>
        <v>-</v>
      </c>
      <c r="L429" s="60" t="str">
        <f t="shared" ref="L429:O429" si="128">IF(L424=0,"-",SUM(L425:L428))</f>
        <v>-</v>
      </c>
      <c r="M429" s="60" t="str">
        <f t="shared" si="128"/>
        <v>-</v>
      </c>
      <c r="N429" s="60" t="str">
        <f t="shared" si="128"/>
        <v>-</v>
      </c>
      <c r="O429" s="60" t="str">
        <f t="shared" si="128"/>
        <v>-</v>
      </c>
    </row>
    <row r="430" spans="3:15" hidden="1" outlineLevel="1">
      <c r="C430" s="53"/>
      <c r="D430" s="53"/>
      <c r="E430" s="53"/>
      <c r="F430" s="53"/>
      <c r="G430" s="53"/>
      <c r="H430" s="20"/>
      <c r="I430" s="20"/>
      <c r="J430" s="53"/>
      <c r="K430" s="60"/>
      <c r="L430" s="60"/>
      <c r="M430" s="60"/>
      <c r="N430" s="60"/>
      <c r="O430" s="60"/>
    </row>
    <row r="431" spans="3:15" ht="15.5" hidden="1" outlineLevel="1">
      <c r="C431" s="1" t="s">
        <v>205</v>
      </c>
      <c r="D431" s="53"/>
      <c r="E431" s="53"/>
      <c r="F431" s="53"/>
      <c r="G431" s="62" t="s">
        <v>121</v>
      </c>
      <c r="H431" s="53"/>
      <c r="I431" s="20"/>
      <c r="J431" s="20"/>
      <c r="K431" s="59"/>
      <c r="L431" s="20"/>
      <c r="M431" s="20"/>
      <c r="N431" s="20"/>
      <c r="O431" s="20"/>
    </row>
    <row r="432" spans="3:15" hidden="1" outlineLevel="1">
      <c r="C432" s="51" t="s">
        <v>246</v>
      </c>
      <c r="D432" s="51"/>
      <c r="E432" s="51"/>
      <c r="F432" s="51"/>
      <c r="G432" s="62"/>
      <c r="H432" s="62"/>
      <c r="I432" s="20"/>
      <c r="J432" s="20"/>
      <c r="K432" s="59"/>
      <c r="L432" s="20"/>
      <c r="M432" s="20"/>
      <c r="N432" s="20"/>
      <c r="O432" s="20"/>
    </row>
    <row r="433" spans="3:15" hidden="1" outlineLevel="1">
      <c r="C433" s="53" t="s">
        <v>247</v>
      </c>
      <c r="D433" s="75" t="str">
        <f>Calc_TU_values!$D$235</f>
        <v>VDO 2022-23 - Final</v>
      </c>
      <c r="E433" s="20" t="s">
        <v>190</v>
      </c>
      <c r="F433" s="75" t="str">
        <f>INDEX(Inputs!$H$10:$U$10,1,MATCH($D433,Inputs!$H$8:$U$8,0))</f>
        <v>F-CurrentVDO_Input</v>
      </c>
      <c r="G433" s="52"/>
      <c r="H433" s="20" t="s">
        <v>90</v>
      </c>
      <c r="I433" s="20" t="s">
        <v>64</v>
      </c>
      <c r="J433" s="53" t="s">
        <v>66</v>
      </c>
      <c r="K433" s="60" t="str" cm="1">
        <f t="array" ref="K433">IFERROR(INDEX(Input_ForRateCalc[],MATCH($C433&amp;" - "&amp;K$331,Input_ForRateCalc[[Cost item]:[Cost item]],0),MATCH(Calc_TUV_Net_2[[#This Row],[Decision ref]:[Decision ref]],Input_ForRateCalc[#Headers],0))*TUProp_Days_2,"-")</f>
        <v>-</v>
      </c>
      <c r="L433" s="60" t="str" cm="1">
        <f t="array" ref="L433">IFERROR(INDEX(Input_ForRateCalc[],MATCH($C433&amp;" - "&amp;L$331,Input_ForRateCalc[[Cost item]:[Cost item]],0),MATCH(Calc_TUV_Net_2[[#This Row],[Decision ref]:[Decision ref]],Input_ForRateCalc[#Headers],0))*TUProp_Days_2,"-")</f>
        <v>-</v>
      </c>
      <c r="M433" s="60" t="str" cm="1">
        <f t="array" ref="M433">IFERROR(INDEX(Input_ForRateCalc[],MATCH($C433&amp;" - "&amp;M$331,Input_ForRateCalc[[Cost item]:[Cost item]],0),MATCH(Calc_TUV_Net_2[[#This Row],[Decision ref]:[Decision ref]],Input_ForRateCalc[#Headers],0))*TUProp_Days_2,"-")</f>
        <v>-</v>
      </c>
      <c r="N433" s="60" t="str" cm="1">
        <f t="array" ref="N433">IFERROR(INDEX(Input_ForRateCalc[],MATCH($C433&amp;" - "&amp;N$331,Input_ForRateCalc[[Cost item]:[Cost item]],0),MATCH(Calc_TUV_Net_2[[#This Row],[Decision ref]:[Decision ref]],Input_ForRateCalc[#Headers],0))*TUProp_Days_2,"-")</f>
        <v>-</v>
      </c>
      <c r="O433" s="60" t="str" cm="1">
        <f t="array" ref="O433">IFERROR(INDEX(Input_ForRateCalc[],MATCH($C433&amp;" - "&amp;O$331,Input_ForRateCalc[[Cost item]:[Cost item]],0),MATCH(Calc_TUV_Net_2[[#This Row],[Decision ref]:[Decision ref]],Input_ForRateCalc[#Headers],0))*TUProp_Days_2,"-")</f>
        <v>-</v>
      </c>
    </row>
    <row r="434" spans="3:15" hidden="1" outlineLevel="1">
      <c r="C434" s="53" t="s">
        <v>94</v>
      </c>
      <c r="D434" s="75" t="str">
        <f>Calc_TU_values!$D$235</f>
        <v>VDO 2022-23 - Final</v>
      </c>
      <c r="E434" s="20" t="s">
        <v>190</v>
      </c>
      <c r="F434" s="75" t="str">
        <f>INDEX(Inputs!$H$10:$U$10,1,MATCH($D434,Inputs!$H$8:$U$8,0))</f>
        <v>F-CurrentVDO_Input</v>
      </c>
      <c r="G434" s="52"/>
      <c r="H434" s="20" t="s">
        <v>90</v>
      </c>
      <c r="I434" s="20" t="s">
        <v>64</v>
      </c>
      <c r="J434" s="53" t="s">
        <v>66</v>
      </c>
      <c r="K434" s="60" t="str" cm="1">
        <f t="array" ref="K434">IFERROR(INDEX(Input_ForRateCalc[],MATCH($C434&amp;" - "&amp;K$331,Input_ForRateCalc[[Cost item]:[Cost item]],0),MATCH(Calc_TUV_Net_2[[#This Row],[Decision ref]:[Decision ref]],Input_ForRateCalc[#Headers],0))*TUProp_Days_2,"-")</f>
        <v>-</v>
      </c>
      <c r="L434" s="60" t="str" cm="1">
        <f t="array" ref="L434">IFERROR(INDEX(Input_ForRateCalc[],MATCH($C434&amp;" - "&amp;L$331,Input_ForRateCalc[[Cost item]:[Cost item]],0),MATCH(Calc_TUV_Net_2[[#This Row],[Decision ref]:[Decision ref]],Input_ForRateCalc[#Headers],0))*TUProp_Days_2,"-")</f>
        <v>-</v>
      </c>
      <c r="M434" s="60" t="str" cm="1">
        <f t="array" ref="M434">IFERROR(INDEX(Input_ForRateCalc[],MATCH($C434&amp;" - "&amp;M$331,Input_ForRateCalc[[Cost item]:[Cost item]],0),MATCH(Calc_TUV_Net_2[[#This Row],[Decision ref]:[Decision ref]],Input_ForRateCalc[#Headers],0))*TUProp_Days_2,"-")</f>
        <v>-</v>
      </c>
      <c r="N434" s="60" t="str" cm="1">
        <f t="array" ref="N434">IFERROR(INDEX(Input_ForRateCalc[],MATCH($C434&amp;" - "&amp;N$331,Input_ForRateCalc[[Cost item]:[Cost item]],0),MATCH(Calc_TUV_Net_2[[#This Row],[Decision ref]:[Decision ref]],Input_ForRateCalc[#Headers],0))*TUProp_Days_2,"-")</f>
        <v>-</v>
      </c>
      <c r="O434" s="60" t="str" cm="1">
        <f t="array" ref="O434">IFERROR(INDEX(Input_ForRateCalc[],MATCH($C434&amp;" - "&amp;O$331,Input_ForRateCalc[[Cost item]:[Cost item]],0),MATCH(Calc_TUV_Net_2[[#This Row],[Decision ref]:[Decision ref]],Input_ForRateCalc[#Headers],0))*TUProp_Days_2,"-")</f>
        <v>-</v>
      </c>
    </row>
    <row r="435" spans="3:15" hidden="1" outlineLevel="1">
      <c r="C435" s="53" t="s">
        <v>191</v>
      </c>
      <c r="D435" s="75" t="str">
        <f>Calc_TU_values!$D$235</f>
        <v>VDO 2022-23 - Final</v>
      </c>
      <c r="E435" s="20" t="s">
        <v>190</v>
      </c>
      <c r="F435" s="75" t="str">
        <f>INDEX(Inputs!$H$10:$U$10,1,MATCH($D435,Inputs!$H$8:$U$8,0))</f>
        <v>F-CurrentVDO_Input</v>
      </c>
      <c r="G435" s="52"/>
      <c r="H435" s="20" t="s">
        <v>90</v>
      </c>
      <c r="I435" s="20" t="s">
        <v>64</v>
      </c>
      <c r="J435" s="53" t="s">
        <v>66</v>
      </c>
      <c r="K435" s="58">
        <f>IFERROR(SUM(K433:K434),"-")</f>
        <v>0</v>
      </c>
      <c r="L435" s="58">
        <f>IFERROR(SUM(L433:L434),"-")</f>
        <v>0</v>
      </c>
      <c r="M435" s="58">
        <f>IFERROR(SUM(M433:M434),"-")</f>
        <v>0</v>
      </c>
      <c r="N435" s="58">
        <f>IFERROR(SUM(N433:N434),"-")</f>
        <v>0</v>
      </c>
      <c r="O435" s="58">
        <f>IFERROR(SUM(O433:O434),"-")</f>
        <v>0</v>
      </c>
    </row>
    <row r="436" spans="3:15" hidden="1" outlineLevel="1">
      <c r="C436" s="53" t="s">
        <v>234</v>
      </c>
      <c r="D436" s="75" t="str">
        <f>INDEX(Input_DecisionActual[[Decision]:[Decision]],MATCH(Calc_TU_values!$D$235,Input_DecisionActual[[VDO period]:[VDO period]],0),1)</f>
        <v>VDO 2022 - Final</v>
      </c>
      <c r="E436" s="20" t="s">
        <v>192</v>
      </c>
      <c r="F436" s="75" t="str">
        <f>IF($D436="-","-",INDEX(Inputs!$H$10:$U$10,1,MATCH($D436,Inputs!$H$8:$U$8,0)))</f>
        <v>F-PreviousVDO_Input2</v>
      </c>
      <c r="G436" s="52"/>
      <c r="H436" s="20" t="s">
        <v>90</v>
      </c>
      <c r="I436" s="20" t="s">
        <v>64</v>
      </c>
      <c r="J436" s="53" t="s">
        <v>66</v>
      </c>
      <c r="K436" s="60" t="str" cm="1">
        <f t="array" ref="K436">IFERROR(INDEX(Input_ForRateCalc[],MATCH($C436&amp;" - "&amp;K$331,Input_ForRateCalc[[Cost item]:[Cost item]],0),MATCH(Calc_TUV_Net_2[[#This Row],[Decision ref]:[Decision ref]],Input_ForRateCalc[#Headers],0))*TUProp_Days_2,"-")</f>
        <v>-</v>
      </c>
      <c r="L436" s="60" t="str" cm="1">
        <f t="array" ref="L436">IFERROR(INDEX(Input_ForRateCalc[],MATCH($C436&amp;" - "&amp;L$331,Input_ForRateCalc[[Cost item]:[Cost item]],0),MATCH(Calc_TUV_Net_2[[#This Row],[Decision ref]:[Decision ref]],Input_ForRateCalc[#Headers],0))*TUProp_Days_2,"-")</f>
        <v>-</v>
      </c>
      <c r="M436" s="60" t="str" cm="1">
        <f t="array" ref="M436">IFERROR(INDEX(Input_ForRateCalc[],MATCH($C436&amp;" - "&amp;M$331,Input_ForRateCalc[[Cost item]:[Cost item]],0),MATCH(Calc_TUV_Net_2[[#This Row],[Decision ref]:[Decision ref]],Input_ForRateCalc[#Headers],0))*TUProp_Days_2,"-")</f>
        <v>-</v>
      </c>
      <c r="N436" s="60" t="str" cm="1">
        <f t="array" ref="N436">IFERROR(INDEX(Input_ForRateCalc[],MATCH($C436&amp;" - "&amp;N$331,Input_ForRateCalc[[Cost item]:[Cost item]],0),MATCH(Calc_TUV_Net_2[[#This Row],[Decision ref]:[Decision ref]],Input_ForRateCalc[#Headers],0))*TUProp_Days_2,"-")</f>
        <v>-</v>
      </c>
      <c r="O436" s="60" t="str" cm="1">
        <f t="array" ref="O436">IFERROR(INDEX(Input_ForRateCalc[],MATCH($C436&amp;" - "&amp;O$331,Input_ForRateCalc[[Cost item]:[Cost item]],0),MATCH(Calc_TUV_Net_2[[#This Row],[Decision ref]:[Decision ref]],Input_ForRateCalc[#Headers],0))*TUProp_Days_2,"-")</f>
        <v>-</v>
      </c>
    </row>
    <row r="437" spans="3:15" hidden="1" outlineLevel="1">
      <c r="C437" s="53" t="s">
        <v>94</v>
      </c>
      <c r="D437" s="75" t="str">
        <f>INDEX(Input_DecisionActual[[Decision]:[Decision]],MATCH(Calc_TU_values!$D$235,Input_DecisionActual[[VDO period]:[VDO period]],0),1)</f>
        <v>VDO 2022 - Final</v>
      </c>
      <c r="E437" s="20" t="s">
        <v>192</v>
      </c>
      <c r="F437" s="75" t="str">
        <f>IF($D437="-","-",INDEX(Inputs!$H$10:$U$10,1,MATCH($D437,Inputs!$H$8:$U$8,0)))</f>
        <v>F-PreviousVDO_Input2</v>
      </c>
      <c r="G437" s="52"/>
      <c r="H437" s="20" t="s">
        <v>90</v>
      </c>
      <c r="I437" s="20" t="s">
        <v>64</v>
      </c>
      <c r="J437" s="53" t="s">
        <v>66</v>
      </c>
      <c r="K437" s="60" t="str" cm="1">
        <f t="array" ref="K437">IFERROR(INDEX(Input_ForRateCalc[],MATCH($C437&amp;" - "&amp;K$331,Input_ForRateCalc[[Cost item]:[Cost item]],0),MATCH(Calc_TUV_Net_2[[#This Row],[Decision ref]:[Decision ref]],Input_ForRateCalc[#Headers],0))*TUProp_Days_2,"-")</f>
        <v>-</v>
      </c>
      <c r="L437" s="60" t="str" cm="1">
        <f t="array" ref="L437">IFERROR(INDEX(Input_ForRateCalc[],MATCH($C437&amp;" - "&amp;L$331,Input_ForRateCalc[[Cost item]:[Cost item]],0),MATCH(Calc_TUV_Net_2[[#This Row],[Decision ref]:[Decision ref]],Input_ForRateCalc[#Headers],0))*TUProp_Days_2,"-")</f>
        <v>-</v>
      </c>
      <c r="M437" s="60" t="str" cm="1">
        <f t="array" ref="M437">IFERROR(INDEX(Input_ForRateCalc[],MATCH($C437&amp;" - "&amp;M$331,Input_ForRateCalc[[Cost item]:[Cost item]],0),MATCH(Calc_TUV_Net_2[[#This Row],[Decision ref]:[Decision ref]],Input_ForRateCalc[#Headers],0))*TUProp_Days_2,"-")</f>
        <v>-</v>
      </c>
      <c r="N437" s="60" t="str" cm="1">
        <f t="array" ref="N437">IFERROR(INDEX(Input_ForRateCalc[],MATCH($C437&amp;" - "&amp;N$331,Input_ForRateCalc[[Cost item]:[Cost item]],0),MATCH(Calc_TUV_Net_2[[#This Row],[Decision ref]:[Decision ref]],Input_ForRateCalc[#Headers],0))*TUProp_Days_2,"-")</f>
        <v>-</v>
      </c>
      <c r="O437" s="60" t="str" cm="1">
        <f t="array" ref="O437">IFERROR(INDEX(Input_ForRateCalc[],MATCH($C437&amp;" - "&amp;O$331,Input_ForRateCalc[[Cost item]:[Cost item]],0),MATCH(Calc_TUV_Net_2[[#This Row],[Decision ref]:[Decision ref]],Input_ForRateCalc[#Headers],0))*TUProp_Days_2,"-")</f>
        <v>-</v>
      </c>
    </row>
    <row r="438" spans="3:15" hidden="1" outlineLevel="1">
      <c r="C438" s="53" t="s">
        <v>191</v>
      </c>
      <c r="D438" s="75" t="str">
        <f>INDEX(Input_DecisionActual[[Decision]:[Decision]],MATCH(Calc_TU_values!$D$235,Input_DecisionActual[[VDO period]:[VDO period]],0),1)</f>
        <v>VDO 2022 - Final</v>
      </c>
      <c r="E438" s="20" t="s">
        <v>192</v>
      </c>
      <c r="F438" s="75" t="str">
        <f>IF($D438="-","-",INDEX(Inputs!$H$10:$U$10,1,MATCH($D438,Inputs!$H$8:$U$8,0)))</f>
        <v>F-PreviousVDO_Input2</v>
      </c>
      <c r="G438" s="52"/>
      <c r="H438" s="20" t="s">
        <v>90</v>
      </c>
      <c r="I438" s="20" t="s">
        <v>64</v>
      </c>
      <c r="J438" s="53" t="s">
        <v>66</v>
      </c>
      <c r="K438" s="59">
        <f>SUM(K436:K437)</f>
        <v>0</v>
      </c>
      <c r="L438" s="59">
        <f>SUM(L436:L437)</f>
        <v>0</v>
      </c>
      <c r="M438" s="59">
        <f>SUM(M436:M437)</f>
        <v>0</v>
      </c>
      <c r="N438" s="59">
        <f>SUM(N436:N437)</f>
        <v>0</v>
      </c>
      <c r="O438" s="59">
        <f>SUM(O436:O437)</f>
        <v>0</v>
      </c>
    </row>
    <row r="439" spans="3:15" hidden="1" outlineLevel="1">
      <c r="C439" s="53" t="s">
        <v>193</v>
      </c>
      <c r="D439" s="20"/>
      <c r="E439" s="20"/>
      <c r="F439" s="20"/>
      <c r="G439" s="53"/>
      <c r="H439" s="20" t="s">
        <v>90</v>
      </c>
      <c r="I439" s="20" t="s">
        <v>64</v>
      </c>
      <c r="J439" s="53" t="s">
        <v>66</v>
      </c>
      <c r="K439" s="59" t="str">
        <f>IF(K438=0,"-",K435-K438)</f>
        <v>-</v>
      </c>
      <c r="L439" s="59" t="str">
        <f t="shared" ref="L439:O439" si="129">IF(L438=0,"-",L435-L438)</f>
        <v>-</v>
      </c>
      <c r="M439" s="59" t="str">
        <f t="shared" si="129"/>
        <v>-</v>
      </c>
      <c r="N439" s="59" t="str">
        <f t="shared" si="129"/>
        <v>-</v>
      </c>
      <c r="O439" s="59" t="str">
        <f t="shared" si="129"/>
        <v>-</v>
      </c>
    </row>
    <row r="440" spans="3:15" hidden="1" outlineLevel="1">
      <c r="C440" s="53" t="s">
        <v>180</v>
      </c>
      <c r="D440" s="20"/>
      <c r="E440" s="20"/>
      <c r="F440" s="20"/>
      <c r="G440" s="53"/>
      <c r="H440" s="20" t="s">
        <v>90</v>
      </c>
      <c r="I440" s="20" t="s">
        <v>64</v>
      </c>
      <c r="J440" s="53" t="s">
        <v>66</v>
      </c>
      <c r="K440" s="60" t="str">
        <f>IFERROR(IF($D$308="Yes",K439*(1+WACC_adj_2),""),"-")</f>
        <v/>
      </c>
      <c r="L440" s="60" t="str">
        <f>IFERROR(IF($D$308="Yes",L439*(1+WACC_adj_2),""),"-")</f>
        <v/>
      </c>
      <c r="M440" s="60" t="str">
        <f>IFERROR(IF($D$308="Yes",M439*(1+WACC_adj_2),""),"-")</f>
        <v/>
      </c>
      <c r="N440" s="60" t="str">
        <f>IFERROR(IF($D$308="Yes",N439*(1+WACC_adj_2),""),"-")</f>
        <v/>
      </c>
      <c r="O440" s="60" t="str">
        <f>IFERROR(IF($D$308="Yes",O439*(1+WACC_adj_2),""),"-")</f>
        <v/>
      </c>
    </row>
    <row r="441" spans="3:15" hidden="1" outlineLevel="1">
      <c r="C441" s="53" t="s">
        <v>195</v>
      </c>
      <c r="D441" s="75" t="str">
        <f>INDEX(Input_DecisionActual[[Decision]:[Decision]],MATCH(Calc_TU_values!$D$235,Input_DecisionActual[[VDO period]:[VDO period]],0),1)</f>
        <v>VDO 2022 - Final</v>
      </c>
      <c r="E441" s="20" t="s">
        <v>192</v>
      </c>
      <c r="F441" s="75" t="str">
        <f>IF($D441="-","-",INDEX(Inputs!$H$10:$U$10,1,MATCH($D441,Inputs!$H$8:$U$8,0)))</f>
        <v>F-PreviousVDO_Input2</v>
      </c>
      <c r="G441" s="53"/>
      <c r="H441" s="20" t="s">
        <v>90</v>
      </c>
      <c r="I441" s="20" t="s">
        <v>64</v>
      </c>
      <c r="J441" s="53" t="s">
        <v>66</v>
      </c>
      <c r="K441" s="60" cm="1">
        <f t="array" ref="K441">IFERROR(SUM(K439:K440)*(INDEX(Inputs!$H$11:$U$134,MATCH("Retail operating margin",Input_ForRateCalc[[Cost item]:[Cost item]],0),MATCH(Calc_TUV_Net_2[[#This Row],[Decision ref]:[Decision ref]],Inputs!$H$10:$U$10,0))),"-")</f>
        <v>0</v>
      </c>
      <c r="L441" s="60" cm="1">
        <f t="array" ref="L441">IFERROR(SUM(L439:L440)*(INDEX(Inputs!$H$11:$U$134,MATCH("Retail operating margin",Input_ForRateCalc[[Cost item]:[Cost item]],0),MATCH(Calc_TUV_Net_2[[#This Row],[Decision ref]:[Decision ref]],Inputs!$H$10:$U$10,0))),"-")</f>
        <v>0</v>
      </c>
      <c r="M441" s="60" cm="1">
        <f t="array" ref="M441">IFERROR(SUM(M439:M440)*(INDEX(Inputs!$H$11:$U$134,MATCH("Retail operating margin",Input_ForRateCalc[[Cost item]:[Cost item]],0),MATCH(Calc_TUV_Net_2[[#This Row],[Decision ref]:[Decision ref]],Inputs!$H$10:$U$10,0))),"-")</f>
        <v>0</v>
      </c>
      <c r="N441" s="60" cm="1">
        <f t="array" ref="N441">IFERROR(SUM(N439:N440)*(INDEX(Inputs!$H$11:$U$134,MATCH("Retail operating margin",Input_ForRateCalc[[Cost item]:[Cost item]],0),MATCH(Calc_TUV_Net_2[[#This Row],[Decision ref]:[Decision ref]],Inputs!$H$10:$U$10,0))),"-")</f>
        <v>0</v>
      </c>
      <c r="O441" s="60" cm="1">
        <f t="array" ref="O441">IFERROR(SUM(O439:O440)*(INDEX(Inputs!$H$11:$U$134,MATCH("Retail operating margin",Input_ForRateCalc[[Cost item]:[Cost item]],0),MATCH(Calc_TUV_Net_2[[#This Row],[Decision ref]:[Decision ref]],Inputs!$H$10:$U$10,0))),"-")</f>
        <v>0</v>
      </c>
    </row>
    <row r="442" spans="3:15" hidden="1" outlineLevel="1">
      <c r="C442" s="53" t="s">
        <v>196</v>
      </c>
      <c r="D442" s="20"/>
      <c r="E442" s="20"/>
      <c r="F442" s="20"/>
      <c r="G442" s="53"/>
      <c r="H442" s="20" t="s">
        <v>90</v>
      </c>
      <c r="I442" s="20" t="s">
        <v>64</v>
      </c>
      <c r="J442" s="53" t="s">
        <v>66</v>
      </c>
      <c r="K442" s="60" t="str">
        <f>IF(K438=0,"-",SUM(K439:K441)*GST)</f>
        <v>-</v>
      </c>
      <c r="L442" s="60" t="str">
        <f>IF(L438=0,"-",SUM(L439:L441)*GST)</f>
        <v>-</v>
      </c>
      <c r="M442" s="60" t="str">
        <f>IF(M438=0,"-",SUM(M439:M441)*GST)</f>
        <v>-</v>
      </c>
      <c r="N442" s="60" t="str">
        <f>IF(N438=0,"-",SUM(N439:N441)*GST)</f>
        <v>-</v>
      </c>
      <c r="O442" s="60" t="str">
        <f>IF(O438=0,"-",SUM(O439:O441)*GST)</f>
        <v>-</v>
      </c>
    </row>
    <row r="443" spans="3:15" hidden="1" outlineLevel="1">
      <c r="C443" s="20" t="s">
        <v>241</v>
      </c>
      <c r="D443" s="20"/>
      <c r="E443" s="20"/>
      <c r="F443" s="20"/>
      <c r="G443" s="53"/>
      <c r="H443" s="20" t="s">
        <v>90</v>
      </c>
      <c r="I443" s="20" t="s">
        <v>64</v>
      </c>
      <c r="J443" s="53" t="s">
        <v>66</v>
      </c>
      <c r="K443" s="60" t="str">
        <f>IF(K438=0,"-",SUM(K439:K442))</f>
        <v>-</v>
      </c>
      <c r="L443" s="60" t="str">
        <f>IF(L438=0,"-",SUM(L439:L442))</f>
        <v>-</v>
      </c>
      <c r="M443" s="60" t="str">
        <f>IF(M438=0,"-",SUM(M439:M442))</f>
        <v>-</v>
      </c>
      <c r="N443" s="60" t="str">
        <f>IF(N438=0,"-",SUM(N439:N442))</f>
        <v>-</v>
      </c>
      <c r="O443" s="60" t="str">
        <f>IF(O438=0,"-",SUM(O439:O442))</f>
        <v>-</v>
      </c>
    </row>
    <row r="444" spans="3:15" hidden="1" outlineLevel="1">
      <c r="C444" s="53"/>
      <c r="D444" s="53"/>
      <c r="E444" s="53"/>
      <c r="F444" s="53"/>
      <c r="H444" s="53"/>
      <c r="I444" s="20"/>
      <c r="J444" s="20"/>
      <c r="K444" s="106"/>
      <c r="L444" s="106"/>
      <c r="M444" s="106"/>
      <c r="N444" s="106"/>
      <c r="O444" s="106"/>
    </row>
    <row r="445" spans="3:15" hidden="1" outlineLevel="1">
      <c r="C445" s="51" t="s">
        <v>248</v>
      </c>
      <c r="D445" s="53"/>
      <c r="E445" s="53"/>
      <c r="F445" s="53"/>
      <c r="G445" s="62"/>
      <c r="H445" s="53"/>
      <c r="I445" s="20"/>
      <c r="J445" s="20"/>
      <c r="K445" s="106"/>
      <c r="L445" s="106"/>
      <c r="M445" s="106"/>
      <c r="N445" s="106"/>
      <c r="O445" s="106"/>
    </row>
    <row r="446" spans="3:15" hidden="1" outlineLevel="1">
      <c r="C446" s="53" t="s">
        <v>249</v>
      </c>
      <c r="D446" s="75" t="str">
        <f>Calc_TU_values!$D$235</f>
        <v>VDO 2022-23 - Final</v>
      </c>
      <c r="E446" s="20" t="s">
        <v>190</v>
      </c>
      <c r="F446" s="75" t="str">
        <f>INDEX(Inputs!$H$10:$U$10,1,MATCH($D446,Inputs!$H$8:$U$8,0))</f>
        <v>F-CurrentVDO_Input</v>
      </c>
      <c r="G446" s="53"/>
      <c r="H446" s="20" t="s">
        <v>103</v>
      </c>
      <c r="I446" s="20" t="s">
        <v>226</v>
      </c>
      <c r="J446" s="53" t="s">
        <v>66</v>
      </c>
      <c r="K446" s="60" cm="1">
        <f t="array" ref="K446">IFERROR(INDEX(Input_ForRateCalc[],MATCH($C446&amp;" - "&amp;K$331,Input_ForRateCalc[[Cost item]:[Cost item]],0),MATCH(Calc_TUV_Net_2[[#This Row],[Decision ref]:[Decision ref]],Input_ForRateCalc[#Headers],0)),"-")</f>
        <v>19.318200000000001</v>
      </c>
      <c r="L446" s="60" cm="1">
        <f t="array" ref="L446">IFERROR(INDEX(Input_ForRateCalc[],MATCH($C446&amp;" - "&amp;L$331,Input_ForRateCalc[[Cost item]:[Cost item]],0),MATCH(Calc_TUV_Net_2[[#This Row],[Decision ref]:[Decision ref]],Input_ForRateCalc[#Headers],0)),"-")</f>
        <v>13.33</v>
      </c>
      <c r="M446" s="60" cm="1">
        <f t="array" ref="M446">IFERROR(INDEX(Input_ForRateCalc[],MATCH($C446&amp;" - "&amp;M$331,Input_ForRateCalc[[Cost item]:[Cost item]],0),MATCH(Calc_TUV_Net_2[[#This Row],[Decision ref]:[Decision ref]],Input_ForRateCalc[#Headers],0)),"-")</f>
        <v>14.099</v>
      </c>
      <c r="N446" s="60" cm="1">
        <f t="array" ref="N446">IFERROR(INDEX(Input_ForRateCalc[],MATCH($C446&amp;" - "&amp;N$331,Input_ForRateCalc[[Cost item]:[Cost item]],0),MATCH(Calc_TUV_Net_2[[#This Row],[Decision ref]:[Decision ref]],Input_ForRateCalc[#Headers],0)),"-")</f>
        <v>16.190000000000001</v>
      </c>
      <c r="O446" s="60" cm="1">
        <f t="array" ref="O446">IFERROR(INDEX(Input_ForRateCalc[],MATCH($C446&amp;" - "&amp;O$331,Input_ForRateCalc[[Cost item]:[Cost item]],0),MATCH(Calc_TUV_Net_2[[#This Row],[Decision ref]:[Decision ref]],Input_ForRateCalc[#Headers],0)),"-")</f>
        <v>14.98</v>
      </c>
    </row>
    <row r="447" spans="3:15" hidden="1" outlineLevel="1">
      <c r="C447" s="53" t="s">
        <v>250</v>
      </c>
      <c r="D447" s="75" t="str">
        <f>Calc_TU_values!$D$235</f>
        <v>VDO 2022-23 - Final</v>
      </c>
      <c r="E447" s="20" t="s">
        <v>190</v>
      </c>
      <c r="F447" s="75" t="str">
        <f>INDEX(Inputs!$H$10:$U$10,1,MATCH($D447,Inputs!$H$8:$U$8,0))</f>
        <v>F-CurrentVDO_Input</v>
      </c>
      <c r="G447" s="62"/>
      <c r="H447" s="20" t="s">
        <v>103</v>
      </c>
      <c r="I447" s="20" t="s">
        <v>226</v>
      </c>
      <c r="J447" s="53" t="s">
        <v>66</v>
      </c>
      <c r="K447" s="60" cm="1">
        <f t="array" ref="K447">IFERROR(INDEX(Input_ForRateCalc[],MATCH($C447&amp;" - "&amp;K$331,Input_ForRateCalc[[Cost item]:[Cost item]],0),MATCH(Calc_TUV_Net_2[[#This Row],[Decision ref]:[Decision ref]],Input_ForRateCalc[#Headers],0)),"-")</f>
        <v>4.7115</v>
      </c>
      <c r="L447" s="60" cm="1">
        <f t="array" ref="L447">IFERROR(INDEX(Input_ForRateCalc[],MATCH($C447&amp;" - "&amp;L$331,Input_ForRateCalc[[Cost item]:[Cost item]],0),MATCH(Calc_TUV_Net_2[[#This Row],[Decision ref]:[Decision ref]],Input_ForRateCalc[#Headers],0)),"-")</f>
        <v>2.96</v>
      </c>
      <c r="M447" s="60" cm="1">
        <f t="array" ref="M447">IFERROR(INDEX(Input_ForRateCalc[],MATCH($C447&amp;" - "&amp;M$331,Input_ForRateCalc[[Cost item]:[Cost item]],0),MATCH(Calc_TUV_Net_2[[#This Row],[Decision ref]:[Decision ref]],Input_ForRateCalc[#Headers],0)),"-")</f>
        <v>2.9529999999999998</v>
      </c>
      <c r="N447" s="60" cm="1">
        <f t="array" ref="N447">IFERROR(INDEX(Input_ForRateCalc[],MATCH($C447&amp;" - "&amp;N$331,Input_ForRateCalc[[Cost item]:[Cost item]],0),MATCH(Calc_TUV_Net_2[[#This Row],[Decision ref]:[Decision ref]],Input_ForRateCalc[#Headers],0)),"-")</f>
        <v>3.59</v>
      </c>
      <c r="O447" s="60" cm="1">
        <f t="array" ref="O447">IFERROR(INDEX(Input_ForRateCalc[],MATCH($C447&amp;" - "&amp;O$331,Input_ForRateCalc[[Cost item]:[Cost item]],0),MATCH(Calc_TUV_Net_2[[#This Row],[Decision ref]:[Decision ref]],Input_ForRateCalc[#Headers],0)),"-")</f>
        <v>3.33</v>
      </c>
    </row>
    <row r="448" spans="3:15" hidden="1" outlineLevel="1">
      <c r="C448" s="53" t="s">
        <v>191</v>
      </c>
      <c r="D448" s="75" t="str">
        <f>Calc_TU_values!$D$235</f>
        <v>VDO 2022-23 - Final</v>
      </c>
      <c r="E448" s="20" t="s">
        <v>190</v>
      </c>
      <c r="F448" s="75" t="str">
        <f>INDEX(Inputs!$H$10:$U$10,1,MATCH($D448,Inputs!$H$8:$U$8,0))</f>
        <v>F-CurrentVDO_Input</v>
      </c>
      <c r="G448" s="52"/>
      <c r="H448" s="20" t="s">
        <v>103</v>
      </c>
      <c r="I448" s="20" t="s">
        <v>226</v>
      </c>
      <c r="J448" s="53" t="s">
        <v>66</v>
      </c>
      <c r="K448" s="61">
        <f>SUMIFS(TUNet_Usage_Actual_2[Value],TUNet_Usage_Actual_2[Customer type],Calc_TUV_Net_2[[#This Row],[Customer type]],TUNet_Usage_Actual_2[Description],"Usage per customer")*SUM(
IFERROR(K446/100*SUMIFS(Input_TUNet_Props[F-PreviousVDO_Input2],Input_TUNet_Props[Customer type],Calc_TUV_Net_2[[#This Row],[Customer type]],Input_TUNet_Props[Usage type],"Peak"),0),
IFERROR(K447/100*SUMIFS(Input_TUNet_Props[F-PreviousVDO_Input2],Input_TUNet_Props[Customer type],Calc_TUV_Net_2[[#This Row],[Customer type]],Input_TUNet_Props[Usage type],"Off peak"),0))</f>
        <v>0</v>
      </c>
      <c r="L448" s="61">
        <f>SUMIFS(TUNet_Usage_Actual_2[Value],TUNet_Usage_Actual_2[Customer type],Calc_TUV_Net_2[[#This Row],[Customer type]],TUNet_Usage_Actual_2[Description],"Usage per customer")*SUM(
IFERROR(L446/100*SUMIFS(Input_TUNet_Props[F-PreviousVDO_Input2],Input_TUNet_Props[Customer type],Calc_TUV_Net_2[[#This Row],[Customer type]],Input_TUNet_Props[Usage type],"Peak"),0),
IFERROR(L447/100*SUMIFS(Input_TUNet_Props[F-PreviousVDO_Input2],Input_TUNet_Props[Customer type],Calc_TUV_Net_2[[#This Row],[Customer type]],Input_TUNet_Props[Usage type],"Off peak"),0))</f>
        <v>0</v>
      </c>
      <c r="M448" s="61">
        <f>SUMIFS(TUNet_Usage_Actual_2[Value],TUNet_Usage_Actual_2[Customer type],Calc_TUV_Net_2[[#This Row],[Customer type]],TUNet_Usage_Actual_2[Description],"Usage per customer")*SUM(
IFERROR(M446/100*SUMIFS(Input_TUNet_Props[F-PreviousVDO_Input2],Input_TUNet_Props[Customer type],Calc_TUV_Net_2[[#This Row],[Customer type]],Input_TUNet_Props[Usage type],"Peak"),0),
IFERROR(M447/100*SUMIFS(Input_TUNet_Props[F-PreviousVDO_Input2],Input_TUNet_Props[Customer type],Calc_TUV_Net_2[[#This Row],[Customer type]],Input_TUNet_Props[Usage type],"Off peak"),0))</f>
        <v>0</v>
      </c>
      <c r="N448" s="61">
        <f>SUMIFS(TUNet_Usage_Actual_2[Value],TUNet_Usage_Actual_2[Customer type],Calc_TUV_Net_2[[#This Row],[Customer type]],TUNet_Usage_Actual_2[Description],"Usage per customer")*SUM(
IFERROR(N446/100*SUMIFS(Input_TUNet_Props[F-PreviousVDO_Input2],Input_TUNet_Props[Customer type],Calc_TUV_Net_2[[#This Row],[Customer type]],Input_TUNet_Props[Usage type],"Peak"),0),
IFERROR(N447/100*SUMIFS(Input_TUNet_Props[F-PreviousVDO_Input2],Input_TUNet_Props[Customer type],Calc_TUV_Net_2[[#This Row],[Customer type]],Input_TUNet_Props[Usage type],"Off peak"),0))</f>
        <v>0</v>
      </c>
      <c r="O448" s="61">
        <f>SUMIFS(TUNet_Usage_Actual_2[Value],TUNet_Usage_Actual_2[Customer type],Calc_TUV_Net_2[[#This Row],[Customer type]],TUNet_Usage_Actual_2[Description],"Usage per customer")*SUM(
IFERROR(O446/100*SUMIFS(Input_TUNet_Props[F-PreviousVDO_Input2],Input_TUNet_Props[Customer type],Calc_TUV_Net_2[[#This Row],[Customer type]],Input_TUNet_Props[Usage type],"Peak"),0),
IFERROR(O447/100*SUMIFS(Input_TUNet_Props[F-PreviousVDO_Input2],Input_TUNet_Props[Customer type],Calc_TUV_Net_2[[#This Row],[Customer type]],Input_TUNet_Props[Usage type],"Off peak"),0))</f>
        <v>0</v>
      </c>
    </row>
    <row r="449" spans="3:15" hidden="1" outlineLevel="1">
      <c r="C449" s="53" t="s">
        <v>236</v>
      </c>
      <c r="D449" s="75" t="str">
        <f>INDEX(Input_DecisionActual[[Decision]:[Decision]],MATCH(Calc_TU_values!$D$235,Input_DecisionActual[[VDO period]:[VDO period]],0),1)</f>
        <v>VDO 2022 - Final</v>
      </c>
      <c r="E449" s="20" t="s">
        <v>192</v>
      </c>
      <c r="F449" s="75" t="str">
        <f>IF($D449="-","-",INDEX(Inputs!$H$10:$U$10,1,MATCH($D449,Inputs!$H$8:$U$8,0)))</f>
        <v>F-PreviousVDO_Input2</v>
      </c>
      <c r="G449" s="52"/>
      <c r="H449" s="20" t="s">
        <v>103</v>
      </c>
      <c r="I449" s="20" t="s">
        <v>64</v>
      </c>
      <c r="J449" s="53" t="s">
        <v>66</v>
      </c>
      <c r="K449" s="60" cm="1">
        <f t="array" ref="K449">IFERROR(INDEX(Input_ForRateCalc[],MATCH($C449&amp;" - "&amp;K$331,Input_ForRateCalc[[Cost item]:[Cost item]],0),MATCH(Calc_TUV_Net_2[[#This Row],[Decision ref]:[Decision ref]],Input_ForRateCalc[#Headers],0)),"-")</f>
        <v>15.538600000000001</v>
      </c>
      <c r="L449" s="60" t="str" cm="1">
        <f t="array" ref="L449">IFERROR(INDEX(Input_ForRateCalc[],MATCH($C449&amp;" - "&amp;L$331,Input_ForRateCalc[[Cost item]:[Cost item]],0),MATCH(Calc_TUV_Net_2[[#This Row],[Decision ref]:[Decision ref]],Input_ForRateCalc[#Headers],0)),"-")</f>
        <v>-</v>
      </c>
      <c r="M449" s="60" t="str" cm="1">
        <f t="array" ref="M449">IFERROR(INDEX(Input_ForRateCalc[],MATCH($C449&amp;" - "&amp;M$331,Input_ForRateCalc[[Cost item]:[Cost item]],0),MATCH(Calc_TUV_Net_2[[#This Row],[Decision ref]:[Decision ref]],Input_ForRateCalc[#Headers],0)),"-")</f>
        <v>-</v>
      </c>
      <c r="N449" s="60" t="str" cm="1">
        <f t="array" ref="N449">IFERROR(INDEX(Input_ForRateCalc[],MATCH($C449&amp;" - "&amp;N$331,Input_ForRateCalc[[Cost item]:[Cost item]],0),MATCH(Calc_TUV_Net_2[[#This Row],[Decision ref]:[Decision ref]],Input_ForRateCalc[#Headers],0)),"-")</f>
        <v>-</v>
      </c>
      <c r="O449" s="60" t="str" cm="1">
        <f t="array" ref="O449">IFERROR(INDEX(Input_ForRateCalc[],MATCH($C449&amp;" - "&amp;O$331,Input_ForRateCalc[[Cost item]:[Cost item]],0),MATCH(Calc_TUV_Net_2[[#This Row],[Decision ref]:[Decision ref]],Input_ForRateCalc[#Headers],0)),"-")</f>
        <v>-</v>
      </c>
    </row>
    <row r="450" spans="3:15" hidden="1" outlineLevel="1">
      <c r="C450" s="53" t="s">
        <v>237</v>
      </c>
      <c r="D450" s="75" t="str">
        <f>INDEX(Input_DecisionActual[[Decision]:[Decision]],MATCH(Calc_TU_values!$D$235,Input_DecisionActual[[VDO period]:[VDO period]],0),1)</f>
        <v>VDO 2022 - Final</v>
      </c>
      <c r="E450" s="20" t="s">
        <v>192</v>
      </c>
      <c r="F450" s="75" t="str">
        <f>IF($D450="-","-",INDEX(Inputs!$H$10:$U$10,1,MATCH($D450,Inputs!$H$8:$U$8,0)))</f>
        <v>F-PreviousVDO_Input2</v>
      </c>
      <c r="G450" s="52"/>
      <c r="H450" s="20" t="s">
        <v>103</v>
      </c>
      <c r="I450" s="20" t="s">
        <v>226</v>
      </c>
      <c r="J450" s="53" t="s">
        <v>66</v>
      </c>
      <c r="K450" s="60" cm="1">
        <f t="array" ref="K450">IFERROR(INDEX(Input_ForRateCalc[],MATCH($C450&amp;" - "&amp;K$331,Input_ForRateCalc[[Cost item]:[Cost item]],0),MATCH(Calc_TUV_Net_2[[#This Row],[Decision ref]:[Decision ref]],Input_ForRateCalc[#Headers],0)),"-")</f>
        <v>18.2667</v>
      </c>
      <c r="L450" s="60" t="str" cm="1">
        <f t="array" ref="L450">IFERROR(INDEX(Input_ForRateCalc[],MATCH($C450&amp;" - "&amp;L$331,Input_ForRateCalc[[Cost item]:[Cost item]],0),MATCH(Calc_TUV_Net_2[[#This Row],[Decision ref]:[Decision ref]],Input_ForRateCalc[#Headers],0)),"-")</f>
        <v>-</v>
      </c>
      <c r="M450" s="60" t="str" cm="1">
        <f t="array" ref="M450">IFERROR(INDEX(Input_ForRateCalc[],MATCH($C450&amp;" - "&amp;M$331,Input_ForRateCalc[[Cost item]:[Cost item]],0),MATCH(Calc_TUV_Net_2[[#This Row],[Decision ref]:[Decision ref]],Input_ForRateCalc[#Headers],0)),"-")</f>
        <v>-</v>
      </c>
      <c r="N450" s="60" t="str" cm="1">
        <f t="array" ref="N450">IFERROR(INDEX(Input_ForRateCalc[],MATCH($C450&amp;" - "&amp;N$331,Input_ForRateCalc[[Cost item]:[Cost item]],0),MATCH(Calc_TUV_Net_2[[#This Row],[Decision ref]:[Decision ref]],Input_ForRateCalc[#Headers],0)),"-")</f>
        <v>-</v>
      </c>
      <c r="O450" s="60" t="str" cm="1">
        <f t="array" ref="O450">IFERROR(INDEX(Input_ForRateCalc[],MATCH($C450&amp;" - "&amp;O$331,Input_ForRateCalc[[Cost item]:[Cost item]],0),MATCH(Calc_TUV_Net_2[[#This Row],[Decision ref]:[Decision ref]],Input_ForRateCalc[#Headers],0)),"-")</f>
        <v>-</v>
      </c>
    </row>
    <row r="451" spans="3:15" hidden="1" outlineLevel="1">
      <c r="C451" s="53" t="s">
        <v>238</v>
      </c>
      <c r="D451" s="75" t="str">
        <f>INDEX(Input_DecisionActual[[Decision]:[Decision]],MATCH(Calc_TU_values!$D$235,Input_DecisionActual[[VDO period]:[VDO period]],0),1)</f>
        <v>VDO 2022 - Final</v>
      </c>
      <c r="E451" s="20" t="s">
        <v>192</v>
      </c>
      <c r="F451" s="75" t="str">
        <f>IF($D451="-","-",INDEX(Inputs!$H$10:$U$10,1,MATCH($D451,Inputs!$H$8:$U$8,0)))</f>
        <v>F-PreviousVDO_Input2</v>
      </c>
      <c r="G451" s="52"/>
      <c r="H451" s="20" t="s">
        <v>103</v>
      </c>
      <c r="I451" s="20" t="s">
        <v>226</v>
      </c>
      <c r="J451" s="53" t="s">
        <v>66</v>
      </c>
      <c r="K451" s="60" t="str" cm="1">
        <f t="array" ref="K451">IFERROR(INDEX(Input_ForRateCalc[],MATCH($C451&amp;" - "&amp;K$331,Input_ForRateCalc[[Cost item]:[Cost item]],0),MATCH(Calc_TUV_Net_2[[#This Row],[Decision ref]:[Decision ref]],Input_ForRateCalc[#Headers],0)),"-")</f>
        <v>-</v>
      </c>
      <c r="L451" s="60" cm="1">
        <f t="array" ref="L451">IFERROR(INDEX(Input_ForRateCalc[],MATCH($C451&amp;" - "&amp;L$331,Input_ForRateCalc[[Cost item]:[Cost item]],0),MATCH(Calc_TUV_Net_2[[#This Row],[Decision ref]:[Decision ref]],Input_ForRateCalc[#Headers],0)),"-")</f>
        <v>8.2100000000000009</v>
      </c>
      <c r="M451" s="60" cm="1">
        <f t="array" ref="M451">IFERROR(INDEX(Input_ForRateCalc[],MATCH($C451&amp;" - "&amp;M$331,Input_ForRateCalc[[Cost item]:[Cost item]],0),MATCH(Calc_TUV_Net_2[[#This Row],[Decision ref]:[Decision ref]],Input_ForRateCalc[#Headers],0)),"-")</f>
        <v>10.973000000000001</v>
      </c>
      <c r="N451" s="60" cm="1">
        <f t="array" ref="N451">IFERROR(INDEX(Input_ForRateCalc[],MATCH($C451&amp;" - "&amp;N$331,Input_ForRateCalc[[Cost item]:[Cost item]],0),MATCH(Calc_TUV_Net_2[[#This Row],[Decision ref]:[Decision ref]],Input_ForRateCalc[#Headers],0)),"-")</f>
        <v>9.2899999999999991</v>
      </c>
      <c r="O451" s="60" cm="1">
        <f t="array" ref="O451">IFERROR(INDEX(Input_ForRateCalc[],MATCH($C451&amp;" - "&amp;O$331,Input_ForRateCalc[[Cost item]:[Cost item]],0),MATCH(Calc_TUV_Net_2[[#This Row],[Decision ref]:[Decision ref]],Input_ForRateCalc[#Headers],0)),"-")</f>
        <v>8.7899999999999991</v>
      </c>
    </row>
    <row r="452" spans="3:15" hidden="1" outlineLevel="1">
      <c r="C452" s="53" t="s">
        <v>191</v>
      </c>
      <c r="D452" s="75" t="str">
        <f>INDEX(Input_DecisionActual[[Decision]:[Decision]],MATCH(Calc_TU_values!$D$235,Input_DecisionActual[[VDO period]:[VDO period]],0),1)</f>
        <v>VDO 2022 - Final</v>
      </c>
      <c r="E452" s="20" t="s">
        <v>192</v>
      </c>
      <c r="F452" s="75" t="str">
        <f>IF($D452="-","-",INDEX(Inputs!$H$10:$U$10,1,MATCH($D452,Inputs!$H$8:$U$8,0)))</f>
        <v>F-PreviousVDO_Input2</v>
      </c>
      <c r="G452" s="52"/>
      <c r="H452" s="20" t="s">
        <v>103</v>
      </c>
      <c r="I452" s="20" t="s">
        <v>226</v>
      </c>
      <c r="J452" s="53" t="s">
        <v>66</v>
      </c>
      <c r="K452" s="61">
        <f>SUM(
IFERROR(K449/100*SUMIFS(INDEX(TUNet_Usage_PerRate_2[],0,MATCH(K$331,TUNet_Usage_PerRate_2[#Headers],0)),TUNet_Usage_PerRate_2[Customer type],Calc_TUV_Net_2[[#This Row],[Customer type]],TUNet_Usage_PerRate_2[Description],"Usage per customer - Block 1"),0),
IFERROR(K450/100*SUMIFS(INDEX(TUNet_Usage_PerRate_2[],0,MATCH(K$331,TUNet_Usage_PerRate_2[#Headers],0)),TUNet_Usage_PerRate_2[Customer type],Calc_TUV_Net_2[[#This Row],[Customer type]],TUNet_Usage_PerRate_2[Description],"Usage per customer - Balance"),0),
IFERROR(K451/100*SUMIFS(INDEX(TUNet_Usage_PerRate_2[],0,MATCH(K$331,TUNet_Usage_PerRate_2[#Headers],0)),TUNet_Usage_PerRate_2[Customer type],Calc_TUV_Net_2[[#This Row],[Customer type]],TUNet_Usage_PerRate_2[Description],"Usage per customer - Single rate"),0))</f>
        <v>0</v>
      </c>
      <c r="L452" s="61">
        <f>SUM(
IFERROR(L449/100*SUMIFS(INDEX(TUNet_Usage_PerRate_2[],0,MATCH(L$331,TUNet_Usage_PerRate_2[#Headers],0)),TUNet_Usage_PerRate_2[Customer type],Calc_TUV_Net_2[[#This Row],[Customer type]],TUNet_Usage_PerRate_2[Description],"Usage per customer - Block 1"),0),
IFERROR(L450/100*SUMIFS(INDEX(TUNet_Usage_PerRate_2[],0,MATCH(L$331,TUNet_Usage_PerRate_2[#Headers],0)),TUNet_Usage_PerRate_2[Customer type],Calc_TUV_Net_2[[#This Row],[Customer type]],TUNet_Usage_PerRate_2[Description],"Usage per customer - Balance"),0),
IFERROR(L451/100*SUMIFS(INDEX(TUNet_Usage_PerRate_2[],0,MATCH(L$331,TUNet_Usage_PerRate_2[#Headers],0)),TUNet_Usage_PerRate_2[Customer type],Calc_TUV_Net_2[[#This Row],[Customer type]],TUNet_Usage_PerRate_2[Description],"Usage per customer - Single rate"),0))</f>
        <v>0</v>
      </c>
      <c r="M452" s="61">
        <f>SUM(
IFERROR(M449/100*SUMIFS(INDEX(TUNet_Usage_PerRate_2[],0,MATCH(M$331,TUNet_Usage_PerRate_2[#Headers],0)),TUNet_Usage_PerRate_2[Customer type],Calc_TUV_Net_2[[#This Row],[Customer type]],TUNet_Usage_PerRate_2[Description],"Usage per customer - Block 1"),0),
IFERROR(M450/100*SUMIFS(INDEX(TUNet_Usage_PerRate_2[],0,MATCH(M$331,TUNet_Usage_PerRate_2[#Headers],0)),TUNet_Usage_PerRate_2[Customer type],Calc_TUV_Net_2[[#This Row],[Customer type]],TUNet_Usage_PerRate_2[Description],"Usage per customer - Balance"),0),
IFERROR(M451/100*SUMIFS(INDEX(TUNet_Usage_PerRate_2[],0,MATCH(M$331,TUNet_Usage_PerRate_2[#Headers],0)),TUNet_Usage_PerRate_2[Customer type],Calc_TUV_Net_2[[#This Row],[Customer type]],TUNet_Usage_PerRate_2[Description],"Usage per customer - Single rate"),0))</f>
        <v>0</v>
      </c>
      <c r="N452" s="61">
        <f>SUM(
IFERROR(N449/100*SUMIFS(INDEX(TUNet_Usage_PerRate_2[],0,MATCH(N$331,TUNet_Usage_PerRate_2[#Headers],0)),TUNet_Usage_PerRate_2[Customer type],Calc_TUV_Net_2[[#This Row],[Customer type]],TUNet_Usage_PerRate_2[Description],"Usage per customer - Block 1"),0),
IFERROR(N450/100*SUMIFS(INDEX(TUNet_Usage_PerRate_2[],0,MATCH(N$331,TUNet_Usage_PerRate_2[#Headers],0)),TUNet_Usage_PerRate_2[Customer type],Calc_TUV_Net_2[[#This Row],[Customer type]],TUNet_Usage_PerRate_2[Description],"Usage per customer - Balance"),0),
IFERROR(N451/100*SUMIFS(INDEX(TUNet_Usage_PerRate_2[],0,MATCH(N$331,TUNet_Usage_PerRate_2[#Headers],0)),TUNet_Usage_PerRate_2[Customer type],Calc_TUV_Net_2[[#This Row],[Customer type]],TUNet_Usage_PerRate_2[Description],"Usage per customer - Single rate"),0))</f>
        <v>0</v>
      </c>
      <c r="O452" s="61">
        <f>SUM(
IFERROR(O449/100*SUMIFS(INDEX(TUNet_Usage_PerRate_2[],0,MATCH(O$331,TUNet_Usage_PerRate_2[#Headers],0)),TUNet_Usage_PerRate_2[Customer type],Calc_TUV_Net_2[[#This Row],[Customer type]],TUNet_Usage_PerRate_2[Description],"Usage per customer - Block 1"),0),
IFERROR(O450/100*SUMIFS(INDEX(TUNet_Usage_PerRate_2[],0,MATCH(O$331,TUNet_Usage_PerRate_2[#Headers],0)),TUNet_Usage_PerRate_2[Customer type],Calc_TUV_Net_2[[#This Row],[Customer type]],TUNet_Usage_PerRate_2[Description],"Usage per customer - Balance"),0),
IFERROR(O451/100*SUMIFS(INDEX(TUNet_Usage_PerRate_2[],0,MATCH(O$331,TUNet_Usage_PerRate_2[#Headers],0)),TUNet_Usage_PerRate_2[Customer type],Calc_TUV_Net_2[[#This Row],[Customer type]],TUNet_Usage_PerRate_2[Description],"Usage per customer - Single rate"),0))</f>
        <v>0</v>
      </c>
    </row>
    <row r="453" spans="3:15" hidden="1" outlineLevel="1">
      <c r="C453" s="53" t="s">
        <v>193</v>
      </c>
      <c r="D453" s="53"/>
      <c r="E453" s="53"/>
      <c r="F453" s="53"/>
      <c r="G453" s="53"/>
      <c r="H453" s="20" t="s">
        <v>103</v>
      </c>
      <c r="I453" s="20" t="s">
        <v>64</v>
      </c>
      <c r="J453" s="53" t="s">
        <v>66</v>
      </c>
      <c r="K453" s="59" t="str">
        <f>IF(K452=0,"-",K448-K452)</f>
        <v>-</v>
      </c>
      <c r="L453" s="59" t="str">
        <f t="shared" ref="L453:O453" si="130">IF(L452=0,"-",L448-L452)</f>
        <v>-</v>
      </c>
      <c r="M453" s="59" t="str">
        <f t="shared" si="130"/>
        <v>-</v>
      </c>
      <c r="N453" s="59" t="str">
        <f t="shared" si="130"/>
        <v>-</v>
      </c>
      <c r="O453" s="59" t="str">
        <f t="shared" si="130"/>
        <v>-</v>
      </c>
    </row>
    <row r="454" spans="3:15" hidden="1" outlineLevel="1">
      <c r="C454" s="53" t="s">
        <v>180</v>
      </c>
      <c r="D454" s="53"/>
      <c r="E454" s="53"/>
      <c r="F454" s="53"/>
      <c r="G454" s="53"/>
      <c r="H454" s="20" t="s">
        <v>103</v>
      </c>
      <c r="I454" s="20" t="s">
        <v>64</v>
      </c>
      <c r="J454" s="53" t="s">
        <v>66</v>
      </c>
      <c r="K454" s="60" t="str">
        <f>IF($D$308="Yes",K453*(1+WACC_adj_2),"")</f>
        <v/>
      </c>
      <c r="L454" s="60" t="str">
        <f>IF($D$308="Yes",L453*(1+WACC_adj_2),"")</f>
        <v/>
      </c>
      <c r="M454" s="60" t="str">
        <f>IF($D$308="Yes",M453*(1+WACC_adj_2),"")</f>
        <v/>
      </c>
      <c r="N454" s="60" t="str">
        <f>IF($D$308="Yes",N453*(1+WACC_adj_2),"")</f>
        <v/>
      </c>
      <c r="O454" s="60" t="str">
        <f>IF($D$308="Yes",O453*(1+WACC_adj_2),"")</f>
        <v/>
      </c>
    </row>
    <row r="455" spans="3:15" hidden="1" outlineLevel="1">
      <c r="C455" s="53" t="s">
        <v>195</v>
      </c>
      <c r="D455" s="75" t="str">
        <f>INDEX(Input_DecisionActual[[Decision]:[Decision]],MATCH(Calc_TU_values!$D$235,Input_DecisionActual[[VDO period]:[VDO period]],0),1)</f>
        <v>VDO 2022 - Final</v>
      </c>
      <c r="E455" s="20" t="s">
        <v>192</v>
      </c>
      <c r="F455" s="75" t="str">
        <f>IF($D455="-","-",INDEX(Inputs!$H$10:$U$10,1,MATCH($D455,Inputs!$H$8:$U$8,0)))</f>
        <v>F-PreviousVDO_Input2</v>
      </c>
      <c r="G455" s="53"/>
      <c r="H455" s="20" t="s">
        <v>103</v>
      </c>
      <c r="I455" s="20" t="s">
        <v>64</v>
      </c>
      <c r="J455" s="53" t="s">
        <v>66</v>
      </c>
      <c r="K455" s="60" cm="1">
        <f t="array" ref="K455">IFERROR(SUM(K453:K454)*(INDEX(Inputs!$H$11:$U$134,MATCH("Retail operating margin",Input_ForRateCalc[[Cost item]:[Cost item]],0),MATCH(Calc_TUV_Net_2[[#This Row],[Decision ref]:[Decision ref]],Inputs!$H$10:$U$10,0))),"-")</f>
        <v>0</v>
      </c>
      <c r="L455" s="60" cm="1">
        <f t="array" ref="L455">IFERROR(SUM(L453:L454)*(INDEX(Inputs!$H$11:$U$134,MATCH("Retail operating margin",Input_ForRateCalc[[Cost item]:[Cost item]],0),MATCH(Calc_TUV_Net_2[[#This Row],[Decision ref]:[Decision ref]],Inputs!$H$10:$U$10,0))),"-")</f>
        <v>0</v>
      </c>
      <c r="M455" s="60" cm="1">
        <f t="array" ref="M455">IFERROR(SUM(M453:M454)*(INDEX(Inputs!$H$11:$U$134,MATCH("Retail operating margin",Input_ForRateCalc[[Cost item]:[Cost item]],0),MATCH(Calc_TUV_Net_2[[#This Row],[Decision ref]:[Decision ref]],Inputs!$H$10:$U$10,0))),"-")</f>
        <v>0</v>
      </c>
      <c r="N455" s="60" cm="1">
        <f t="array" ref="N455">IFERROR(SUM(N453:N454)*(INDEX(Inputs!$H$11:$U$134,MATCH("Retail operating margin",Input_ForRateCalc[[Cost item]:[Cost item]],0),MATCH(Calc_TUV_Net_2[[#This Row],[Decision ref]:[Decision ref]],Inputs!$H$10:$U$10,0))),"-")</f>
        <v>0</v>
      </c>
      <c r="O455" s="60" cm="1">
        <f t="array" ref="O455">IFERROR(SUM(O453:O454)*(INDEX(Inputs!$H$11:$U$134,MATCH("Retail operating margin",Input_ForRateCalc[[Cost item]:[Cost item]],0),MATCH(Calc_TUV_Net_2[[#This Row],[Decision ref]:[Decision ref]],Inputs!$H$10:$U$10,0))),"-")</f>
        <v>0</v>
      </c>
    </row>
    <row r="456" spans="3:15" hidden="1" outlineLevel="1">
      <c r="C456" s="53" t="s">
        <v>196</v>
      </c>
      <c r="D456" s="53"/>
      <c r="E456" s="53"/>
      <c r="F456" s="53"/>
      <c r="G456" s="53"/>
      <c r="H456" s="20" t="s">
        <v>103</v>
      </c>
      <c r="I456" s="20" t="s">
        <v>64</v>
      </c>
      <c r="J456" s="53" t="s">
        <v>66</v>
      </c>
      <c r="K456" s="60" t="str">
        <f>IF(K452=0,"-",SUM(K453:K455)*GST)</f>
        <v>-</v>
      </c>
      <c r="L456" s="60" t="str">
        <f>IF(L452=0,"-",SUM(L453:L455)*GST)</f>
        <v>-</v>
      </c>
      <c r="M456" s="60" t="str">
        <f>IF(M452=0,"-",SUM(M453:M455)*GST)</f>
        <v>-</v>
      </c>
      <c r="N456" s="60" t="str">
        <f>IF(N452=0,"-",SUM(N453:N455)*GST)</f>
        <v>-</v>
      </c>
      <c r="O456" s="60" t="str">
        <f>IF(O452=0,"-",SUM(O453:O455)*GST)</f>
        <v>-</v>
      </c>
    </row>
    <row r="457" spans="3:15" hidden="1" outlineLevel="1">
      <c r="C457" s="20" t="s">
        <v>245</v>
      </c>
      <c r="D457" s="53"/>
      <c r="E457" s="53"/>
      <c r="F457" s="53"/>
      <c r="H457" s="20" t="s">
        <v>103</v>
      </c>
      <c r="I457" s="20" t="s">
        <v>64</v>
      </c>
      <c r="J457" s="53" t="s">
        <v>66</v>
      </c>
      <c r="K457" s="60" t="str">
        <f>IF(K452=0,"-",SUM(K453:K456))</f>
        <v>-</v>
      </c>
      <c r="L457" s="60" t="str">
        <f t="shared" ref="L457" si="131">IF(L452=0,"-",SUM(L453:L456))</f>
        <v>-</v>
      </c>
      <c r="M457" s="60" t="str">
        <f t="shared" ref="M457" si="132">IF(M452=0,"-",SUM(M453:M456))</f>
        <v>-</v>
      </c>
      <c r="N457" s="60" t="str">
        <f t="shared" ref="N457" si="133">IF(N452=0,"-",SUM(N453:N456))</f>
        <v>-</v>
      </c>
      <c r="O457" s="60" t="str">
        <f t="shared" ref="O457" si="134">IF(O452=0,"-",SUM(O453:O456))</f>
        <v>-</v>
      </c>
    </row>
    <row r="458" spans="3:15" hidden="1" outlineLevel="1">
      <c r="C458" s="51"/>
      <c r="D458" s="51"/>
      <c r="E458" s="51"/>
      <c r="F458" s="51"/>
      <c r="G458" s="62"/>
      <c r="H458" s="62"/>
      <c r="I458" s="53"/>
      <c r="J458" s="53"/>
      <c r="K458" s="60"/>
      <c r="L458" s="53"/>
      <c r="M458" s="53"/>
      <c r="N458" s="53"/>
      <c r="O458" s="53"/>
    </row>
    <row r="459" spans="3:15" hidden="1" outlineLevel="1"/>
  </sheetData>
  <sheetProtection algorithmName="SHA-512" hashValue="Jt40LCLR9kMQ9GKvtk9UBY9+XwMHXfQWMDQzRPMKHxy00DO2YyTO8sAQ8b/HppVi2caFoIkLOvDXZsV5Pvberg==" saltValue="u/NRhgqt4BzLa3YWJ6/p8g==" spinCount="100000" sheet="1" objects="1" scenarios="1"/>
  <mergeCells count="1">
    <mergeCell ref="A2:A3"/>
  </mergeCells>
  <phoneticPr fontId="30" type="noConversion"/>
  <dataValidations count="1">
    <dataValidation type="list" allowBlank="1" showInputMessage="1" showErrorMessage="1" sqref="G458:I458 G374:I374 G17:G23 G260:G266 H17:I17 G31:G37 H31:I31 H260:I260 G45:G51 H45:I45 G273:G279 D308 G389:G395 G401:I402 H404:I404 H273:I273 D80 G247:G253 G335:G340 G417 G375:G380 G387 G230:I230 G447:G452 H247:I247 G403:G410 G432:I432 G433:G438 G203 G373 G431 G333 G445 G419:G424 G334:I334 G349:G355 G347 G146:I146 G161:G167 G173:I174 H176:I176 G107:G112 G189 G147:G152 G159 G219:G224 G134 G204:I204 G205:G210 G119 G175:G182 G145 G105 G217 G191:G196 G106:I106 G121:G127 G362" xr:uid="{1AE6ACDE-CA28-4EF7-9893-0F6188807EA2}">
      <formula1>"Yes,No"</formula1>
    </dataValidation>
  </dataValidations>
  <hyperlinks>
    <hyperlink ref="B1" location="Contents!A1" display="&lt;&lt; Back to contents" xr:uid="{DB3E0CD1-4F8D-4D19-BB45-CFC4317DB9FE}"/>
  </hyperlinks>
  <pageMargins left="0.7" right="0.7" top="0.75" bottom="0.75" header="0.3" footer="0.3"/>
  <pageSetup paperSize="9" orientation="portrait" r:id="rId1"/>
  <headerFooter>
    <oddHeader>&amp;C&amp;B&amp;"Arial"&amp;12&amp;Kff0000​‌OFFICIAL‌​</oddHeader>
  </headerFooter>
  <ignoredErrors>
    <ignoredError sqref="K344:K345 K368 K357:O357 L356:O356 K359:O360 K370:K371" calculatedColumn="1"/>
  </ignoredErrors>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E815EA05-8F41-4BAC-860A-D30B0531C615}">
          <x14:formula1>
            <xm:f>'Lookup refs'!$E$8:$E$20</xm:f>
          </x14:formula1>
          <xm:sqref>I16:I57 I104:I230 F58 F231 I290:I301 I62:I73 I332:I458 I240:I242 I10:I12 I246:I284</xm:sqref>
        </x14:dataValidation>
        <x14:dataValidation type="list" allowBlank="1" showInputMessage="1" showErrorMessage="1" xr:uid="{057ACAD4-5C6C-42F9-B5A1-859B19EB380F}">
          <x14:formula1>
            <xm:f>'Lookup refs'!$G$8:$G$10</xm:f>
          </x14:formula1>
          <xm:sqref>J18:J30 J32:J44 J335:J372 J46:J57 G58 G231 J375:J400 J405:J430 J433:J457 J290 J296 J293 J299 J177:J202 J10:J12 J205:J229 J107:J144 J147:J172 J75:J76 J240:J242 J303:J304 J274:J284 J261:J272 J248:J259</xm:sqref>
        </x14:dataValidation>
        <x14:dataValidation type="list" allowBlank="1" showInputMessage="1" showErrorMessage="1" xr:uid="{5CD920AE-075C-4307-97A9-458228D01FB3}">
          <x14:formula1>
            <xm:f>'Lookup refs'!$C$8:$C$10</xm:f>
          </x14:formula1>
          <xm:sqref>H18:H30 H32:H44 H375:H400 H46:H57 E58 E231 H205:H229 H405:H430 H433:H457 H335:H372 H147:H172 H177:H202 H107:H144 H274:H284 H261:H272 H248:H259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6CEB-3301-4A59-8593-A05FFA1D9B81}">
  <sheetPr>
    <tabColor rgb="FF236192"/>
    <outlinePr summaryBelow="0"/>
    <pageSetUpPr autoPageBreaks="0"/>
  </sheetPr>
  <dimension ref="A1:V267"/>
  <sheetViews>
    <sheetView showGridLines="0" topLeftCell="B1" zoomScale="90" zoomScaleNormal="90" workbookViewId="0">
      <pane ySplit="3" topLeftCell="A4" activePane="bottomLeft" state="frozen"/>
      <selection activeCell="B33" sqref="B33"/>
      <selection pane="bottomLeft" activeCell="B1" sqref="B1"/>
    </sheetView>
  </sheetViews>
  <sheetFormatPr defaultColWidth="9.453125" defaultRowHeight="14.5" outlineLevelRow="1" outlineLevelCol="1"/>
  <cols>
    <col min="1" max="1" width="100.54296875" hidden="1" customWidth="1" outlineLevel="1" collapsed="1"/>
    <col min="2" max="2" width="10.54296875" style="6" customWidth="1" collapsed="1"/>
    <col min="3" max="3" width="50.54296875" customWidth="1"/>
    <col min="4" max="12" width="20.54296875" customWidth="1"/>
  </cols>
  <sheetData>
    <row r="1" spans="1:12" ht="15" customHeight="1">
      <c r="A1" s="1" t="s">
        <v>15</v>
      </c>
      <c r="B1" s="231" t="s">
        <v>569</v>
      </c>
      <c r="C1" s="19"/>
      <c r="D1" s="102" t="s">
        <v>83</v>
      </c>
      <c r="E1" s="87"/>
      <c r="F1" s="19"/>
      <c r="G1" s="19"/>
      <c r="H1" s="19"/>
      <c r="I1" s="19"/>
      <c r="J1" s="19"/>
      <c r="K1" s="19"/>
      <c r="L1" s="19"/>
    </row>
    <row r="2" spans="1:12" s="4" customFormat="1" ht="50.15" customHeight="1">
      <c r="A2" s="236" t="s">
        <v>16</v>
      </c>
      <c r="B2" s="22"/>
      <c r="C2" s="22" t="str">
        <f>Disclaimer!$B$1</f>
        <v>VDO calculation model</v>
      </c>
      <c r="D2" s="156" t="str">
        <f>$D$5</f>
        <v>VDO 2023-24 - Final</v>
      </c>
      <c r="E2" s="156" t="str">
        <f>$D$135</f>
        <v>VDO 2022-23 - Final</v>
      </c>
      <c r="F2" s="22"/>
      <c r="G2" s="22"/>
      <c r="H2" s="22"/>
      <c r="I2" s="22"/>
      <c r="J2" s="22"/>
      <c r="K2" s="22"/>
      <c r="L2" s="22"/>
    </row>
    <row r="3" spans="1:12" s="4" customFormat="1" ht="30" customHeight="1">
      <c r="A3" s="237"/>
      <c r="B3" s="24">
        <f ca="1">_xlfn.SHEET()</f>
        <v>15</v>
      </c>
      <c r="C3" s="23" t="s">
        <v>255</v>
      </c>
      <c r="D3" s="86">
        <f>SUM($H$44:$L$48,$H$100:$L$132)</f>
        <v>0</v>
      </c>
      <c r="E3" s="86">
        <f>SUM($H$174:$L$178,$H$230:$L$262)</f>
        <v>0</v>
      </c>
      <c r="F3" s="23"/>
      <c r="G3" s="23"/>
      <c r="H3" s="23"/>
      <c r="I3" s="23"/>
      <c r="J3" s="23"/>
      <c r="K3" s="23"/>
      <c r="L3" s="23"/>
    </row>
    <row r="4" spans="1:12">
      <c r="B4"/>
    </row>
    <row r="5" spans="1:12" ht="15.5">
      <c r="B5"/>
      <c r="C5" s="49" t="s">
        <v>31</v>
      </c>
      <c r="D5" s="37" t="str">
        <f>Calc_Rates!$D$5</f>
        <v>VDO 2023-24 - Final</v>
      </c>
    </row>
    <row r="6" spans="1:12">
      <c r="B6"/>
    </row>
    <row r="7" spans="1:12" ht="16" collapsed="1" thickBot="1">
      <c r="B7" s="216">
        <f ca="1">MAX(B$3:B6)+0.01</f>
        <v>15.01</v>
      </c>
      <c r="C7" s="25" t="s">
        <v>256</v>
      </c>
      <c r="D7" s="25"/>
      <c r="E7" s="25"/>
      <c r="F7" s="25"/>
      <c r="G7" s="25"/>
      <c r="H7" s="25"/>
      <c r="I7" s="25"/>
      <c r="J7" s="25"/>
      <c r="K7" s="25"/>
      <c r="L7" s="25"/>
    </row>
    <row r="8" spans="1:12" ht="15.5" hidden="1" outlineLevel="1">
      <c r="C8" s="26"/>
    </row>
    <row r="9" spans="1:12" ht="15.5" hidden="1" outlineLevel="1">
      <c r="C9" s="26" t="s">
        <v>257</v>
      </c>
    </row>
    <row r="10" spans="1:12" ht="15.5" hidden="1" outlineLevel="1">
      <c r="C10" s="111" t="s">
        <v>33</v>
      </c>
      <c r="D10" s="111" t="s">
        <v>88</v>
      </c>
      <c r="E10" s="111" t="s">
        <v>56</v>
      </c>
      <c r="F10" s="111" t="s">
        <v>57</v>
      </c>
      <c r="G10" s="111" t="s">
        <v>32</v>
      </c>
      <c r="H10" s="54" t="s">
        <v>58</v>
      </c>
      <c r="I10" s="54" t="s">
        <v>59</v>
      </c>
      <c r="J10" s="54" t="s">
        <v>60</v>
      </c>
      <c r="K10" s="54" t="s">
        <v>61</v>
      </c>
      <c r="L10" s="54" t="s">
        <v>62</v>
      </c>
    </row>
    <row r="11" spans="1:12" hidden="1" outlineLevel="1">
      <c r="C11" s="20" t="str">
        <f>IF(COUNTIFS(Calc_TUV_Net_1[Pass through (Yes/No)],"Yes",Calc_TUV_Net_1[Cost item],"Anytime - "&amp;Calc_TUV_NetGroup_1[[#This Row],[Customer type]])=1,"Anytime - supply","-")</f>
        <v>-</v>
      </c>
      <c r="D11" s="20" t="s">
        <v>90</v>
      </c>
      <c r="E11" s="53" t="s">
        <v>64</v>
      </c>
      <c r="F11" s="20" t="s">
        <v>65</v>
      </c>
      <c r="G11" s="20" t="s">
        <v>80</v>
      </c>
      <c r="H11" s="121">
        <f>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1" s="121" cm="1">
        <f t="array" ref="I11">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1" s="121" cm="1">
        <f t="array" ref="J11">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1" s="121" cm="1">
        <f t="array" ref="K11">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1" s="121" cm="1">
        <f t="array" ref="L1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2" spans="1:12" hidden="1" outlineLevel="1">
      <c r="C12" s="20" t="str">
        <f>IF(COUNTIFS(Calc_TUV_Net_1[Pass through (Yes/No)],"Yes",Calc_TUV_Net_1[Cost item],"Anytime - "&amp;Calc_TUV_NetGroup_1[[#This Row],[Customer type]])=1,"Anytime - usage","-")</f>
        <v>-</v>
      </c>
      <c r="D12" s="20" t="s">
        <v>103</v>
      </c>
      <c r="E12" s="53" t="s">
        <v>64</v>
      </c>
      <c r="F12" s="20" t="s">
        <v>65</v>
      </c>
      <c r="G12" s="20" t="s">
        <v>80</v>
      </c>
      <c r="H12" s="121" cm="1">
        <f t="array" ref="H12">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2" s="121" cm="1">
        <f t="array" ref="I12">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2" s="121" cm="1">
        <f t="array" ref="J12">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2" s="121" cm="1">
        <f t="array" ref="K12">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2" s="121" cm="1">
        <f t="array" ref="L12">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3" spans="1:12" hidden="1" outlineLevel="1">
      <c r="C13" s="20" t="str">
        <f>IF(COUNTIFS(Calc_TUV_Net_1[Pass through (Yes/No)],"Yes",Calc_TUV_Net_1[Cost item],"Anytime - "&amp;Calc_TUV_NetGroup_1[[#This Row],[Customer type]])=1,"Anytime - supply","-")</f>
        <v>-</v>
      </c>
      <c r="D13" s="20" t="s">
        <v>90</v>
      </c>
      <c r="E13" s="53" t="s">
        <v>64</v>
      </c>
      <c r="F13" s="20" t="s">
        <v>66</v>
      </c>
      <c r="G13" s="20" t="s">
        <v>80</v>
      </c>
      <c r="H13" s="121" cm="1">
        <f t="array" ref="H13">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3" s="121" cm="1">
        <f t="array" ref="I13">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3" s="121" cm="1">
        <f t="array" ref="J13">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3" s="121" cm="1">
        <f t="array" ref="K13">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3" s="121" cm="1">
        <f t="array" ref="L13">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4" spans="1:12" hidden="1" outlineLevel="1">
      <c r="C14" s="20" t="str">
        <f>IF(COUNTIFS(Calc_TUV_Net_1[Pass through (Yes/No)],"Yes",Calc_TUV_Net_1[Cost item],"Anytime - "&amp;Calc_TUV_NetGroup_1[[#This Row],[Customer type]])=1,"Anytime - usage","-")</f>
        <v>-</v>
      </c>
      <c r="D14" s="20" t="s">
        <v>103</v>
      </c>
      <c r="E14" s="53" t="s">
        <v>64</v>
      </c>
      <c r="F14" s="20" t="s">
        <v>66</v>
      </c>
      <c r="G14" s="20" t="s">
        <v>80</v>
      </c>
      <c r="H14" s="121" cm="1">
        <f t="array" ref="H14">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4" s="121" cm="1">
        <f t="array" ref="I14">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4" s="121" cm="1">
        <f t="array" ref="J14">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4" s="121" cm="1">
        <f t="array" ref="K14">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4" s="121" cm="1">
        <f t="array" ref="L14">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5" spans="1:12" hidden="1" outlineLevel="1">
      <c r="C15" s="20" t="str">
        <f>IF(COUNTIFS(Calc_TUV_Net_1[Pass through (Yes/No)],"Yes",Calc_TUV_Net_1[Cost item],"Controlled load cost - "&amp;Calc_TUV_NetGroup_1[[#This Row],[Customer type]])=1,"Controlled load - usage","-")</f>
        <v>-</v>
      </c>
      <c r="D15" s="20" t="s">
        <v>103</v>
      </c>
      <c r="E15" s="53" t="s">
        <v>64</v>
      </c>
      <c r="F15" s="20" t="s">
        <v>65</v>
      </c>
      <c r="G15" s="20" t="s">
        <v>80</v>
      </c>
      <c r="H15" s="121" cm="1">
        <f t="array" ref="H15">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5" s="121" cm="1">
        <f t="array" ref="I15">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5" s="121" cm="1">
        <f t="array" ref="J15">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5" s="121" cm="1">
        <f t="array" ref="K15">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5" s="121" cm="1">
        <f t="array" ref="L15">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6" spans="1:12" hidden="1" outlineLevel="1">
      <c r="C16" s="20" t="str">
        <f>IF(COUNTIFS(Calc_TUV_Net_1[Pass through (Yes/No)],"Yes",Calc_TUV_Net_1[Cost item],"TOU - "&amp;Calc_TUV_NetGroup_1[[#This Row],[Customer type]])=1,"TOU - supply","-")</f>
        <v>-</v>
      </c>
      <c r="D16" s="20" t="s">
        <v>90</v>
      </c>
      <c r="E16" s="53" t="s">
        <v>64</v>
      </c>
      <c r="F16" s="20" t="s">
        <v>65</v>
      </c>
      <c r="G16" s="20" t="s">
        <v>80</v>
      </c>
      <c r="H16" s="121" cm="1">
        <f t="array" ref="H16">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6" s="121" cm="1">
        <f t="array" ref="I16">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6" s="121" cm="1">
        <f t="array" ref="J16">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6" s="121" cm="1">
        <f t="array" ref="K16">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6" s="121" cm="1">
        <f t="array" ref="L16">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7" spans="3:12" hidden="1" outlineLevel="1">
      <c r="C17" s="20" t="str">
        <f>IF(COUNTIFS(Calc_TUV_Net_1[Pass through (Yes/No)],"Yes",Calc_TUV_Net_1[Cost item],"TOU - "&amp;Calc_TUV_NetGroup_1[[#This Row],[Customer type]])=1,"TOU - usage","-")</f>
        <v>-</v>
      </c>
      <c r="D17" s="20" t="s">
        <v>103</v>
      </c>
      <c r="E17" s="53" t="s">
        <v>64</v>
      </c>
      <c r="F17" s="20" t="s">
        <v>65</v>
      </c>
      <c r="G17" s="20" t="s">
        <v>80</v>
      </c>
      <c r="H17" s="121" cm="1">
        <f t="array" ref="H17">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7" s="121" cm="1">
        <f t="array" ref="I17">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7" s="121" cm="1">
        <f t="array" ref="J17">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7" s="121" cm="1">
        <f t="array" ref="K17">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7" s="121" cm="1">
        <f t="array" ref="L17">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8" spans="3:12" hidden="1" outlineLevel="1">
      <c r="C18" s="20" t="str">
        <f>IF(COUNTIFS(Calc_TUV_Net_1[Pass through (Yes/No)],"Yes",Calc_TUV_Net_1[Cost item],"TOU - "&amp;Calc_TUV_NetGroup_1[[#This Row],[Customer type]])=1,"TOU - supply","-")</f>
        <v>-</v>
      </c>
      <c r="D18" s="20" t="s">
        <v>90</v>
      </c>
      <c r="E18" s="53" t="s">
        <v>64</v>
      </c>
      <c r="F18" s="20" t="s">
        <v>66</v>
      </c>
      <c r="G18" s="20" t="s">
        <v>80</v>
      </c>
      <c r="H18" s="121" cm="1">
        <f t="array" ref="H18">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8" s="121" cm="1">
        <f t="array" ref="I18">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8" s="121" cm="1">
        <f t="array" ref="J18">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8" s="121" cm="1">
        <f t="array" ref="K18">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8" s="121" cm="1">
        <f t="array" ref="L18">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9" spans="3:12" hidden="1" outlineLevel="1">
      <c r="C19" s="20" t="str">
        <f>IF(COUNTIFS(Calc_TUV_Net_1[Pass through (Yes/No)],"Yes",Calc_TUV_Net_1[Cost item],"TOU - "&amp;Calc_TUV_NetGroup_1[[#This Row],[Customer type]])=1,"TOU - usage","-")</f>
        <v>-</v>
      </c>
      <c r="D19" s="20" t="s">
        <v>103</v>
      </c>
      <c r="E19" s="53" t="s">
        <v>64</v>
      </c>
      <c r="F19" s="20" t="s">
        <v>66</v>
      </c>
      <c r="G19" s="20" t="s">
        <v>80</v>
      </c>
      <c r="H19" s="121" cm="1">
        <f t="array" ref="H19">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9" s="121" cm="1">
        <f t="array" ref="I19">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9" s="121" cm="1">
        <f t="array" ref="J19">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9" s="121" cm="1">
        <f t="array" ref="K19">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9" s="121" cm="1">
        <f t="array" ref="L19">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20" spans="3:12" ht="15.5" hidden="1" outlineLevel="1">
      <c r="C20" s="26"/>
    </row>
    <row r="21" spans="3:12" ht="15.5" hidden="1" outlineLevel="1">
      <c r="C21" s="49" t="s">
        <v>258</v>
      </c>
      <c r="D21" s="75" t="str">
        <f>INDEX(Inputs!$C$10:$Y$10,1,MATCH($D$5,Inputs!$C$8:$Y$8,0))</f>
        <v>F-NextVDO_Input</v>
      </c>
      <c r="E21" s="149" t="str">
        <f>IFERROR(INDEX(Input_TUNet_Dates[[F-PreviousVDO_Input]:[F-PreviousVDO_Input2]],MATCH(Calc_TU_rates!C21,Input_TUNet_Dates[Item],0),MATCH(Calc_TU_rates!D21,Input_TUNet_Dates[[#Headers],[F-PreviousVDO_Input]:[F-PreviousVDO_Input2]],0)),"-")</f>
        <v>-</v>
      </c>
    </row>
    <row r="22" spans="3:12" ht="15.5" hidden="1" outlineLevel="1">
      <c r="C22" s="49" t="s">
        <v>259</v>
      </c>
      <c r="D22" s="75" t="str">
        <f>INDEX(Inputs!$C$10:$Y$10,1,MATCH($D$5,Inputs!$C$8:$Y$8,0))</f>
        <v>F-NextVDO_Input</v>
      </c>
      <c r="E22" s="149" t="str">
        <f>IFERROR(INDEX(Input_TUNet_Dates[[F-PreviousVDO_Input]:[F-PreviousVDO_Input2]],MATCH(Calc_TU_rates!C22,Input_TUNet_Dates[Item],0),MATCH(Calc_TU_rates!D22,Input_TUNet_Dates[[#Headers],[F-PreviousVDO_Input]:[F-PreviousVDO_Input2]],0)),"-")</f>
        <v>-</v>
      </c>
    </row>
    <row r="23" spans="3:12" ht="15.5" hidden="1" outlineLevel="1">
      <c r="C23" s="26"/>
    </row>
    <row r="24" spans="3:12" ht="15.5" hidden="1" outlineLevel="1">
      <c r="C24" s="49" t="s">
        <v>209</v>
      </c>
      <c r="E24" s="171" t="str">
        <f>IFERROR(_xlfn.DAYS(E22,E21)+1,"-")</f>
        <v>-</v>
      </c>
    </row>
    <row r="25" spans="3:12" ht="15.5" hidden="1" outlineLevel="1">
      <c r="C25" s="26"/>
    </row>
    <row r="26" spans="3:12" ht="15.5" hidden="1" outlineLevel="1">
      <c r="C26" s="26" t="s">
        <v>260</v>
      </c>
    </row>
    <row r="27" spans="3:12" ht="15.5" hidden="1" outlineLevel="1">
      <c r="C27" s="39" t="s">
        <v>261</v>
      </c>
      <c r="D27" s="111" t="s">
        <v>88</v>
      </c>
      <c r="E27" s="111" t="s">
        <v>56</v>
      </c>
      <c r="F27" s="111" t="s">
        <v>57</v>
      </c>
      <c r="G27" s="111" t="s">
        <v>32</v>
      </c>
      <c r="H27" s="54" t="s">
        <v>58</v>
      </c>
      <c r="I27" s="54" t="s">
        <v>59</v>
      </c>
      <c r="J27" s="54" t="s">
        <v>60</v>
      </c>
      <c r="K27" s="54" t="s">
        <v>61</v>
      </c>
      <c r="L27" s="54" t="s">
        <v>62</v>
      </c>
    </row>
    <row r="28" spans="3:12" hidden="1" outlineLevel="1" collapsed="1">
      <c r="C28" s="20" t="s">
        <v>79</v>
      </c>
      <c r="D28" s="20" t="s">
        <v>90</v>
      </c>
      <c r="E28" s="53" t="s">
        <v>64</v>
      </c>
      <c r="F28" s="20" t="s">
        <v>65</v>
      </c>
      <c r="G28" s="20" t="s">
        <v>80</v>
      </c>
      <c r="H28" s="122" t="str">
        <f>IFERROR(
(SUMIFS(Calc_TUV_NetGroup_1[Ausnet],
Calc_TUV_NetGroup_1[Cost item],Calc_TUR_Net_1[[#This Row],[Rate type]]&amp;" - supply",
Calc_TUV_NetGroup_1[Customer type],Calc_TUR_Net_1[[#This Row],[Customer type]],
Calc_TUV_NetGroup_1[Cost element],Calc_TUR_Net_1[[#This Row],[Cost element]])+
SUMIFS(Calc_TUV_NetGroup_1[Ausnet],
Calc_TUV_NetGroup_1[Cost item],Calc_TUR_Net_1[[#This Row],[Rate type]]&amp;" - usage",
Calc_TUV_NetGroup_1[Customer type],Calc_TUR_Net_1[[#This Row],[Customer type]],
Calc_TUV_NetGroup_1[Cost element],Calc_TUR_Net_1[[#This Row],[Cost element]]))
/$E$24,"-")</f>
        <v>-</v>
      </c>
      <c r="I28" s="122" t="str" cm="1">
        <f t="array" ref="I28">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8" s="122" t="str" cm="1">
        <f t="array" ref="J28">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8" s="122" t="str" cm="1">
        <f t="array" ref="K28">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8" s="122" t="str" cm="1">
        <f t="array" ref="L28">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29" spans="3:12" hidden="1" outlineLevel="1">
      <c r="C29" s="20" t="s">
        <v>79</v>
      </c>
      <c r="D29" s="20" t="s">
        <v>90</v>
      </c>
      <c r="E29" s="53" t="s">
        <v>64</v>
      </c>
      <c r="F29" s="20" t="s">
        <v>66</v>
      </c>
      <c r="G29" s="20" t="s">
        <v>80</v>
      </c>
      <c r="H29" s="122" t="str" cm="1">
        <f t="array" ref="H29">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29" s="122" t="str" cm="1">
        <f t="array" ref="I29">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9" s="122" t="str" cm="1">
        <f t="array" ref="J29">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9" s="122" t="str" cm="1">
        <f t="array" ref="K29">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9" s="122" t="str" cm="1">
        <f t="array" ref="L29">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0" spans="3:12" hidden="1" outlineLevel="1">
      <c r="C30" s="20" t="s">
        <v>81</v>
      </c>
      <c r="D30" s="20" t="s">
        <v>90</v>
      </c>
      <c r="E30" s="53" t="s">
        <v>64</v>
      </c>
      <c r="F30" s="20" t="s">
        <v>65</v>
      </c>
      <c r="G30" s="20" t="s">
        <v>80</v>
      </c>
      <c r="H30" s="122" t="str" cm="1">
        <f t="array" ref="H30">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0" s="122" t="str" cm="1">
        <f t="array" ref="I30">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0" s="122" t="str" cm="1">
        <f t="array" ref="J30">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0" s="122" t="str" cm="1">
        <f t="array" ref="K30">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0" s="122" t="str" cm="1">
        <f t="array" ref="L30">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1" spans="3:12" hidden="1" outlineLevel="1">
      <c r="C31" s="20" t="s">
        <v>81</v>
      </c>
      <c r="D31" s="20" t="s">
        <v>90</v>
      </c>
      <c r="E31" s="53" t="s">
        <v>64</v>
      </c>
      <c r="F31" s="20" t="s">
        <v>66</v>
      </c>
      <c r="G31" s="20" t="s">
        <v>80</v>
      </c>
      <c r="H31" s="122" t="str" cm="1">
        <f t="array" ref="H3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1" s="122" t="str" cm="1">
        <f t="array" ref="I3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1" s="122" t="str" cm="1">
        <f t="array" ref="J3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1" s="122" t="str" cm="1">
        <f t="array" ref="K3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1" s="122" t="str" cm="1">
        <f t="array" ref="L3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2" spans="3:12" hidden="1" outlineLevel="1">
      <c r="C32" s="116"/>
      <c r="D32" s="116"/>
      <c r="E32" s="117"/>
      <c r="F32" s="116"/>
      <c r="G32" s="116"/>
      <c r="H32" s="116"/>
      <c r="I32" s="116"/>
      <c r="J32" s="116"/>
      <c r="K32" s="116"/>
      <c r="L32" s="116"/>
    </row>
    <row r="33" spans="3:12" ht="15.5" hidden="1" outlineLevel="1">
      <c r="C33" s="49" t="s">
        <v>262</v>
      </c>
      <c r="E33" s="125" t="str">
        <f>IFERROR((_xlfn.DAYS(E22,E21)+1)/DiLY,"-")</f>
        <v>-</v>
      </c>
    </row>
    <row r="34" spans="3:12" ht="15.5" hidden="1" outlineLevel="1">
      <c r="C34" s="49" t="s">
        <v>263</v>
      </c>
      <c r="E34" s="176" t="str">
        <f>IFERROR(
INDEX(Input_Usage[[F-PreviousVDO_Input]:[F-PreviousVDO_Input2]],MATCH("Residential - medium - Controlled load",Input_Usage[Ref],0),MATCH($D$5,Inputs!$I$140:$M$140,0))*E33,"-")</f>
        <v>-</v>
      </c>
      <c r="G34" s="175"/>
    </row>
    <row r="35" spans="3:12" ht="15.5" hidden="1" outlineLevel="1">
      <c r="C35" s="49" t="s">
        <v>264</v>
      </c>
      <c r="D35" s="75" t="str">
        <f>INDEX(Inputs!$C$10:$Y$10,1,MATCH($D$5,Inputs!$C$8:$Y$8,0))</f>
        <v>F-NextVDO_Input</v>
      </c>
      <c r="E35" s="125" t="str" cm="1">
        <f t="array" ref="E35">IFERROR(INDEX(Input_TUNet_Actual[],MATCH(1,(Input_TUNet_Actual[Item]="Total usage - Controlled Load")*(Input_TUNet_Actual[Customer type]="Residential")*(Input_TUNet_Actual[Month]="January 2021 to June 2021"),0),MATCH($D$35,Input_TUNet_Actual[#Headers],0))
/INDEX(Input_TUNet_Actual[],MATCH(1,(Input_TUNet_Actual[Item]="Total usage - Controlled Load")*(Input_TUNet_Actual[Customer type]="Residential")*(Input_TUNet_Actual[Month]="July 2020 to June 2021"),0),MATCH($D$35,Input_TUNet_Actual[#Headers],0)),"-")</f>
        <v>-</v>
      </c>
      <c r="G35" s="175"/>
    </row>
    <row r="36" spans="3:12" ht="15.5" hidden="1" outlineLevel="1">
      <c r="C36" s="49" t="s">
        <v>265</v>
      </c>
      <c r="E36" s="176" t="str">
        <f>IFERROR(
INDEX(Input_Usage[[F-PreviousVDO_Input]:[F-PreviousVDO_Input2]],MATCH("Residential - medium - Controlled load",Input_Usage[Ref],0),MATCH(Calc_TU_rates!$D$135,Inputs!$I$140:$M$140,0))*E35,"-")</f>
        <v>-</v>
      </c>
      <c r="G36" s="175"/>
    </row>
    <row r="37" spans="3:12" hidden="1" outlineLevel="1"/>
    <row r="38" spans="3:12" ht="15.5" hidden="1" outlineLevel="1">
      <c r="C38" s="26" t="s">
        <v>266</v>
      </c>
    </row>
    <row r="39" spans="3:12" ht="15.5" hidden="1" outlineLevel="1">
      <c r="C39" s="39" t="s">
        <v>261</v>
      </c>
      <c r="D39" s="111" t="s">
        <v>88</v>
      </c>
      <c r="E39" s="111" t="s">
        <v>56</v>
      </c>
      <c r="F39" s="111" t="s">
        <v>57</v>
      </c>
      <c r="G39" s="111" t="s">
        <v>32</v>
      </c>
      <c r="H39" s="54" t="s">
        <v>58</v>
      </c>
      <c r="I39" s="54" t="s">
        <v>59</v>
      </c>
      <c r="J39" s="54" t="s">
        <v>60</v>
      </c>
      <c r="K39" s="54" t="s">
        <v>61</v>
      </c>
      <c r="L39" s="54" t="s">
        <v>62</v>
      </c>
    </row>
    <row r="40" spans="3:12" hidden="1" outlineLevel="1">
      <c r="C40" s="20" t="s">
        <v>74</v>
      </c>
      <c r="D40" s="20" t="s">
        <v>103</v>
      </c>
      <c r="E40" s="53" t="s">
        <v>64</v>
      </c>
      <c r="F40" s="20" t="s">
        <v>65</v>
      </c>
      <c r="G40" s="20" t="s">
        <v>80</v>
      </c>
      <c r="H40" s="122" t="str" cm="1">
        <f t="array" ref="H40">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I40" s="122" t="str" cm="1">
        <f t="array" ref="I40">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J40" s="122" t="str" cm="1">
        <f t="array" ref="J40">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K40" s="122" t="str" cm="1">
        <f t="array" ref="K40">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L40" s="122" t="str" cm="1">
        <f t="array" ref="L40">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row>
    <row r="41" spans="3:12" hidden="1" outlineLevel="1">
      <c r="C41" s="116"/>
      <c r="D41" s="116"/>
      <c r="E41" s="117"/>
      <c r="F41" s="116"/>
      <c r="G41" s="116"/>
      <c r="H41" s="116"/>
      <c r="I41" s="116"/>
      <c r="J41" s="116"/>
      <c r="K41" s="116"/>
      <c r="L41" s="116"/>
    </row>
    <row r="42" spans="3:12" ht="15.5" hidden="1" outlineLevel="1">
      <c r="C42" s="26" t="s">
        <v>14</v>
      </c>
    </row>
    <row r="43" spans="3:12" ht="15.5" hidden="1" outlineLevel="1">
      <c r="C43" s="110" t="s">
        <v>261</v>
      </c>
      <c r="D43" s="110" t="s">
        <v>88</v>
      </c>
      <c r="E43" s="110" t="s">
        <v>56</v>
      </c>
      <c r="F43" s="110" t="s">
        <v>57</v>
      </c>
      <c r="G43" s="126" t="s">
        <v>32</v>
      </c>
      <c r="H43" s="45" t="s">
        <v>58</v>
      </c>
      <c r="I43" s="45" t="s">
        <v>59</v>
      </c>
      <c r="J43" s="45" t="s">
        <v>60</v>
      </c>
      <c r="K43" s="45" t="s">
        <v>61</v>
      </c>
      <c r="L43" s="45" t="s">
        <v>62</v>
      </c>
    </row>
    <row r="44" spans="3:12" ht="15.5" hidden="1" outlineLevel="1">
      <c r="C44" s="20" t="s">
        <v>79</v>
      </c>
      <c r="D44" s="20" t="s">
        <v>90</v>
      </c>
      <c r="E44" s="20" t="s">
        <v>64</v>
      </c>
      <c r="F44" s="20" t="s">
        <v>65</v>
      </c>
      <c r="G44" s="20" t="s">
        <v>80</v>
      </c>
      <c r="H44" s="84" t="str">
        <f>IFERROR(
IF(
(SUMIFS(Calc_TUV_NetGroup_1[Ausnet],Calc_TUV_NetGroup_1[[Customer type]:[Customer type]],$F44,Calc_TUV_NetGroup_1[[Cost item]:[Cost item]],$C44&amp;" - supply")+
SUMIFS(Calc_TUV_NetGroup_1[Ausnet],Calc_TUV_NetGroup_1[[Customer type]:[Customer type]],$F44,Calc_TUV_NetGroup_1[[Cost item]:[Cost item]],$C44&amp;" - usage"))/
IF($C44&lt;&gt;"Controlled load",$E$24,$E$34)=H28,
0,1),"-")</f>
        <v>-</v>
      </c>
      <c r="I44" s="84" t="str">
        <f>IFERROR(
IF(
(SUMIFS(Calc_TUV_NetGroup_1[Citipower],Calc_TUV_NetGroup_1[[Customer type]:[Customer type]],$F44,Calc_TUV_NetGroup_1[[Cost item]:[Cost item]],$C44&amp;" - supply")+
SUMIFS(Calc_TUV_NetGroup_1[Citipower],Calc_TUV_NetGroup_1[[Customer type]:[Customer type]],$F44,Calc_TUV_NetGroup_1[[Cost item]:[Cost item]],$C44&amp;" - usage"))/
IF($C44&lt;&gt;"Controlled load",$E$24,$E$34)=I28,
0,1),"-")</f>
        <v>-</v>
      </c>
      <c r="J44" s="84" t="str">
        <f>IFERROR(
IF(
(SUMIFS(Calc_TUV_NetGroup_1[Jemena],Calc_TUV_NetGroup_1[[Customer type]:[Customer type]],$F44,Calc_TUV_NetGroup_1[[Cost item]:[Cost item]],$C44&amp;" - supply")+
SUMIFS(Calc_TUV_NetGroup_1[Jemena],Calc_TUV_NetGroup_1[[Customer type]:[Customer type]],$F44,Calc_TUV_NetGroup_1[[Cost item]:[Cost item]],$C44&amp;" - usage"))/
IF($C44&lt;&gt;"Controlled load",$E$24,$E$34)=J28,
0,1),"-")</f>
        <v>-</v>
      </c>
      <c r="K44" s="84" t="str">
        <f>IFERROR(
IF(
(SUMIFS(Calc_TUV_NetGroup_1[Powercor],Calc_TUV_NetGroup_1[[Customer type]:[Customer type]],$F44,Calc_TUV_NetGroup_1[[Cost item]:[Cost item]],$C44&amp;" - supply")+
SUMIFS(Calc_TUV_NetGroup_1[Powercor],Calc_TUV_NetGroup_1[[Customer type]:[Customer type]],$F44,Calc_TUV_NetGroup_1[[Cost item]:[Cost item]],$C44&amp;" - usage"))/
IF($C44&lt;&gt;"Controlled load",$E$24,$E$34)=K28,
0,1),"-")</f>
        <v>-</v>
      </c>
      <c r="L44" s="84" t="str">
        <f>IFERROR(
IF(
(SUMIFS(Calc_TUV_NetGroup_1[United Energy],Calc_TUV_NetGroup_1[[Customer type]:[Customer type]],$F44,Calc_TUV_NetGroup_1[[Cost item]:[Cost item]],$C44&amp;" - supply")+
SUMIFS(Calc_TUV_NetGroup_1[United Energy],Calc_TUV_NetGroup_1[[Customer type]:[Customer type]],$F44,Calc_TUV_NetGroup_1[[Cost item]:[Cost item]],$C44&amp;" - usage"))/
IF($C44&lt;&gt;"Controlled load",$E$24,$E$34)=L28,
0,1),"-")</f>
        <v>-</v>
      </c>
    </row>
    <row r="45" spans="3:12" ht="15.5" hidden="1" outlineLevel="1">
      <c r="C45" s="20" t="s">
        <v>79</v>
      </c>
      <c r="D45" s="20" t="s">
        <v>90</v>
      </c>
      <c r="E45" s="53" t="s">
        <v>64</v>
      </c>
      <c r="F45" s="20" t="s">
        <v>66</v>
      </c>
      <c r="G45" s="20" t="s">
        <v>80</v>
      </c>
      <c r="H45" s="84" t="str">
        <f>IFERROR(
IF(
(SUMIFS(Calc_TUV_NetGroup_1[Ausnet],Calc_TUV_NetGroup_1[[Customer type]:[Customer type]],$F45,Calc_TUV_NetGroup_1[[Cost item]:[Cost item]],$C45&amp;" - supply")+
SUMIFS(Calc_TUV_NetGroup_1[Ausnet],Calc_TUV_NetGroup_1[[Customer type]:[Customer type]],$F45,Calc_TUV_NetGroup_1[[Cost item]:[Cost item]],$C45&amp;" - usage"))/
IF($C45&lt;&gt;"Controlled load",$E$24,$E$34)=H29,
0,1),"-")</f>
        <v>-</v>
      </c>
      <c r="I45" s="84" t="str">
        <f>IFERROR(
IF(
(SUMIFS(Calc_TUV_NetGroup_1[Citipower],Calc_TUV_NetGroup_1[[Customer type]:[Customer type]],$F45,Calc_TUV_NetGroup_1[[Cost item]:[Cost item]],$C45&amp;" - supply")+
SUMIFS(Calc_TUV_NetGroup_1[Citipower],Calc_TUV_NetGroup_1[[Customer type]:[Customer type]],$F45,Calc_TUV_NetGroup_1[[Cost item]:[Cost item]],$C45&amp;" - usage"))/
IF($C45&lt;&gt;"Controlled load",$E$24,$E$34)=I29,
0,1),"-")</f>
        <v>-</v>
      </c>
      <c r="J45" s="84" t="str">
        <f>IFERROR(
IF(
(SUMIFS(Calc_TUV_NetGroup_1[Jemena],Calc_TUV_NetGroup_1[[Customer type]:[Customer type]],$F45,Calc_TUV_NetGroup_1[[Cost item]:[Cost item]],$C45&amp;" - supply")+
SUMIFS(Calc_TUV_NetGroup_1[Jemena],Calc_TUV_NetGroup_1[[Customer type]:[Customer type]],$F45,Calc_TUV_NetGroup_1[[Cost item]:[Cost item]],$C45&amp;" - usage"))/
IF($C45&lt;&gt;"Controlled load",$E$24,$E$34)=J29,
0,1),"-")</f>
        <v>-</v>
      </c>
      <c r="K45" s="84" t="str">
        <f>IFERROR(
IF(
(SUMIFS(Calc_TUV_NetGroup_1[Powercor],Calc_TUV_NetGroup_1[[Customer type]:[Customer type]],$F45,Calc_TUV_NetGroup_1[[Cost item]:[Cost item]],$C45&amp;" - supply")+
SUMIFS(Calc_TUV_NetGroup_1[Powercor],Calc_TUV_NetGroup_1[[Customer type]:[Customer type]],$F45,Calc_TUV_NetGroup_1[[Cost item]:[Cost item]],$C45&amp;" - usage"))/
IF($C45&lt;&gt;"Controlled load",$E$24,$E$34)=K29,
0,1),"-")</f>
        <v>-</v>
      </c>
      <c r="L45" s="84" t="str">
        <f>IFERROR(
IF(
(SUMIFS(Calc_TUV_NetGroup_1[United Energy],Calc_TUV_NetGroup_1[[Customer type]:[Customer type]],$F45,Calc_TUV_NetGroup_1[[Cost item]:[Cost item]],$C45&amp;" - supply")+
SUMIFS(Calc_TUV_NetGroup_1[United Energy],Calc_TUV_NetGroup_1[[Customer type]:[Customer type]],$F45,Calc_TUV_NetGroup_1[[Cost item]:[Cost item]],$C45&amp;" - usage"))/
IF($C45&lt;&gt;"Controlled load",$E$24,$E$34)=L29,
0,1),"-")</f>
        <v>-</v>
      </c>
    </row>
    <row r="46" spans="3:12" ht="15.5" hidden="1" outlineLevel="1">
      <c r="C46" s="20" t="s">
        <v>81</v>
      </c>
      <c r="D46" s="20" t="s">
        <v>90</v>
      </c>
      <c r="E46" s="53" t="s">
        <v>64</v>
      </c>
      <c r="F46" s="20" t="s">
        <v>65</v>
      </c>
      <c r="G46" s="20" t="s">
        <v>80</v>
      </c>
      <c r="H46" s="84" t="str">
        <f>IFERROR(
IF(
(SUMIFS(Calc_TUV_NetGroup_1[Ausnet],Calc_TUV_NetGroup_1[[Customer type]:[Customer type]],$F46,Calc_TUV_NetGroup_1[[Cost item]:[Cost item]],$C46&amp;" - supply")+
SUMIFS(Calc_TUV_NetGroup_1[Ausnet],Calc_TUV_NetGroup_1[[Customer type]:[Customer type]],$F46,Calc_TUV_NetGroup_1[[Cost item]:[Cost item]],$C46&amp;" - usage"))/
IF($C46&lt;&gt;"Controlled load",$E$24,$E$34)=H30,
0,1),"-")</f>
        <v>-</v>
      </c>
      <c r="I46" s="84" t="str">
        <f>IFERROR(
IF(
(SUMIFS(Calc_TUV_NetGroup_1[Citipower],Calc_TUV_NetGroup_1[[Customer type]:[Customer type]],$F46,Calc_TUV_NetGroup_1[[Cost item]:[Cost item]],$C46&amp;" - supply")+
SUMIFS(Calc_TUV_NetGroup_1[Citipower],Calc_TUV_NetGroup_1[[Customer type]:[Customer type]],$F46,Calc_TUV_NetGroup_1[[Cost item]:[Cost item]],$C46&amp;" - usage"))/
IF($C46&lt;&gt;"Controlled load",$E$24,$E$34)=I30,
0,1),"-")</f>
        <v>-</v>
      </c>
      <c r="J46" s="84" t="str">
        <f>IFERROR(
IF(
(SUMIFS(Calc_TUV_NetGroup_1[Jemena],Calc_TUV_NetGroup_1[[Customer type]:[Customer type]],$F46,Calc_TUV_NetGroup_1[[Cost item]:[Cost item]],$C46&amp;" - supply")+
SUMIFS(Calc_TUV_NetGroup_1[Jemena],Calc_TUV_NetGroup_1[[Customer type]:[Customer type]],$F46,Calc_TUV_NetGroup_1[[Cost item]:[Cost item]],$C46&amp;" - usage"))/
IF($C46&lt;&gt;"Controlled load",$E$24,$E$34)=J30,
0,1),"-")</f>
        <v>-</v>
      </c>
      <c r="K46" s="84" t="str">
        <f>IFERROR(
IF(
(SUMIFS(Calc_TUV_NetGroup_1[Powercor],Calc_TUV_NetGroup_1[[Customer type]:[Customer type]],$F46,Calc_TUV_NetGroup_1[[Cost item]:[Cost item]],$C46&amp;" - supply")+
SUMIFS(Calc_TUV_NetGroup_1[Powercor],Calc_TUV_NetGroup_1[[Customer type]:[Customer type]],$F46,Calc_TUV_NetGroup_1[[Cost item]:[Cost item]],$C46&amp;" - usage"))/
IF($C46&lt;&gt;"Controlled load",$E$24,$E$34)=K30,
0,1),"-")</f>
        <v>-</v>
      </c>
      <c r="L46" s="84" t="str">
        <f>IFERROR(
IF(
(SUMIFS(Calc_TUV_NetGroup_1[United Energy],Calc_TUV_NetGroup_1[[Customer type]:[Customer type]],$F46,Calc_TUV_NetGroup_1[[Cost item]:[Cost item]],$C46&amp;" - supply")+
SUMIFS(Calc_TUV_NetGroup_1[United Energy],Calc_TUV_NetGroup_1[[Customer type]:[Customer type]],$F46,Calc_TUV_NetGroup_1[[Cost item]:[Cost item]],$C46&amp;" - usage"))/
IF($C46&lt;&gt;"Controlled load",$E$24,$E$34)=L30,
0,1),"-")</f>
        <v>-</v>
      </c>
    </row>
    <row r="47" spans="3:12" ht="15.5" hidden="1" outlineLevel="1">
      <c r="C47" s="20" t="s">
        <v>81</v>
      </c>
      <c r="D47" s="20" t="s">
        <v>90</v>
      </c>
      <c r="E47" s="53" t="s">
        <v>64</v>
      </c>
      <c r="F47" s="20" t="s">
        <v>66</v>
      </c>
      <c r="G47" s="20" t="s">
        <v>80</v>
      </c>
      <c r="H47" s="84" t="str">
        <f>IFERROR(
IF(
(SUMIFS(Calc_TUV_NetGroup_1[Ausnet],Calc_TUV_NetGroup_1[[Customer type]:[Customer type]],$F47,Calc_TUV_NetGroup_1[[Cost item]:[Cost item]],$C47&amp;" - supply")+
SUMIFS(Calc_TUV_NetGroup_1[Ausnet],Calc_TUV_NetGroup_1[[Customer type]:[Customer type]],$F47,Calc_TUV_NetGroup_1[[Cost item]:[Cost item]],$C47&amp;" - usage"))/
IF($C47&lt;&gt;"Controlled load",$E$24,$E$34)=H31,
0,1),"-")</f>
        <v>-</v>
      </c>
      <c r="I47" s="84" t="str">
        <f>IFERROR(
IF(
(SUMIFS(Calc_TUV_NetGroup_1[Citipower],Calc_TUV_NetGroup_1[[Customer type]:[Customer type]],$F47,Calc_TUV_NetGroup_1[[Cost item]:[Cost item]],$C47&amp;" - supply")+
SUMIFS(Calc_TUV_NetGroup_1[Citipower],Calc_TUV_NetGroup_1[[Customer type]:[Customer type]],$F47,Calc_TUV_NetGroup_1[[Cost item]:[Cost item]],$C47&amp;" - usage"))/
IF($C47&lt;&gt;"Controlled load",$E$24,$E$34)=I31,
0,1),"-")</f>
        <v>-</v>
      </c>
      <c r="J47" s="84" t="str">
        <f>IFERROR(
IF(
(SUMIFS(Calc_TUV_NetGroup_1[Jemena],Calc_TUV_NetGroup_1[[Customer type]:[Customer type]],$F47,Calc_TUV_NetGroup_1[[Cost item]:[Cost item]],$C47&amp;" - supply")+
SUMIFS(Calc_TUV_NetGroup_1[Jemena],Calc_TUV_NetGroup_1[[Customer type]:[Customer type]],$F47,Calc_TUV_NetGroup_1[[Cost item]:[Cost item]],$C47&amp;" - usage"))/
IF($C47&lt;&gt;"Controlled load",$E$24,$E$34)=J31,
0,1),"-")</f>
        <v>-</v>
      </c>
      <c r="K47" s="84" t="str">
        <f>IFERROR(
IF(
(SUMIFS(Calc_TUV_NetGroup_1[Powercor],Calc_TUV_NetGroup_1[[Customer type]:[Customer type]],$F47,Calc_TUV_NetGroup_1[[Cost item]:[Cost item]],$C47&amp;" - supply")+
SUMIFS(Calc_TUV_NetGroup_1[Powercor],Calc_TUV_NetGroup_1[[Customer type]:[Customer type]],$F47,Calc_TUV_NetGroup_1[[Cost item]:[Cost item]],$C47&amp;" - usage"))/
IF($C47&lt;&gt;"Controlled load",$E$24,$E$34)=K31,
0,1),"-")</f>
        <v>-</v>
      </c>
      <c r="L47" s="84" t="str">
        <f>IFERROR(
IF(
(SUMIFS(Calc_TUV_NetGroup_1[United Energy],Calc_TUV_NetGroup_1[[Customer type]:[Customer type]],$F47,Calc_TUV_NetGroup_1[[Cost item]:[Cost item]],$C47&amp;" - supply")+
SUMIFS(Calc_TUV_NetGroup_1[United Energy],Calc_TUV_NetGroup_1[[Customer type]:[Customer type]],$F47,Calc_TUV_NetGroup_1[[Cost item]:[Cost item]],$C47&amp;" - usage"))/
IF($C47&lt;&gt;"Controlled load",$E$24,$E$34)=L31,
0,1),"-")</f>
        <v>-</v>
      </c>
    </row>
    <row r="48" spans="3:12" ht="15.5" hidden="1" outlineLevel="1">
      <c r="C48" s="20" t="s">
        <v>74</v>
      </c>
      <c r="D48" s="20" t="s">
        <v>103</v>
      </c>
      <c r="E48" s="53" t="s">
        <v>64</v>
      </c>
      <c r="F48" s="20" t="s">
        <v>65</v>
      </c>
      <c r="G48" s="20" t="s">
        <v>80</v>
      </c>
      <c r="H48" s="84" t="str">
        <f>IFERROR(
IF(
(SUMIFS(Calc_TUV_NetGroup_1[Ausnet],Calc_TUV_NetGroup_1[[Customer type]:[Customer type]],$F48,Calc_TUV_NetGroup_1[[Cost item]:[Cost item]],$C48&amp;" - supply")+
SUMIFS(Calc_TUV_NetGroup_1[Ausnet],Calc_TUV_NetGroup_1[[Customer type]:[Customer type]],$F48,Calc_TUV_NetGroup_1[[Cost item]:[Cost item]],$C48&amp;" - usage"))/
IF($C48&lt;&gt;"Controlled load",$E$24,$E$34)=H40,
0,1),"-")</f>
        <v>-</v>
      </c>
      <c r="I48" s="84" t="str">
        <f>IFERROR(
IF(
(SUMIFS(Calc_TUV_NetGroup_1[Citipower],Calc_TUV_NetGroup_1[[Customer type]:[Customer type]],$F48,Calc_TUV_NetGroup_1[[Cost item]:[Cost item]],$C48&amp;" - supply")+
SUMIFS(Calc_TUV_NetGroup_1[Citipower],Calc_TUV_NetGroup_1[[Customer type]:[Customer type]],$F48,Calc_TUV_NetGroup_1[[Cost item]:[Cost item]],$C48&amp;" - usage"))/
IF($C48&lt;&gt;"Controlled load",$E$24,$E$34)=I40,
0,1),"-")</f>
        <v>-</v>
      </c>
      <c r="J48" s="84" t="str">
        <f>IFERROR(
IF(
(SUMIFS(Calc_TUV_NetGroup_1[Jemena],Calc_TUV_NetGroup_1[[Customer type]:[Customer type]],$F48,Calc_TUV_NetGroup_1[[Cost item]:[Cost item]],$C48&amp;" - supply")+
SUMIFS(Calc_TUV_NetGroup_1[Jemena],Calc_TUV_NetGroup_1[[Customer type]:[Customer type]],$F48,Calc_TUV_NetGroup_1[[Cost item]:[Cost item]],$C48&amp;" - usage"))/
IF($C48&lt;&gt;"Controlled load",$E$24,$E$34)=J40,
0,1),"-")</f>
        <v>-</v>
      </c>
      <c r="K48" s="84" t="str">
        <f>IFERROR(
IF(
(SUMIFS(Calc_TUV_NetGroup_1[Powercor],Calc_TUV_NetGroup_1[[Customer type]:[Customer type]],$F48,Calc_TUV_NetGroup_1[[Cost item]:[Cost item]],$C48&amp;" - supply")+
SUMIFS(Calc_TUV_NetGroup_1[Powercor],Calc_TUV_NetGroup_1[[Customer type]:[Customer type]],$F48,Calc_TUV_NetGroup_1[[Cost item]:[Cost item]],$C48&amp;" - usage"))/
IF($C48&lt;&gt;"Controlled load",$E$24,$E$34)=K40,
0,1),"-")</f>
        <v>-</v>
      </c>
      <c r="L48" s="84" t="str">
        <f>IFERROR(
IF(
(SUMIFS(Calc_TUV_NetGroup_1[United Energy],Calc_TUV_NetGroup_1[[Customer type]:[Customer type]],$F48,Calc_TUV_NetGroup_1[[Cost item]:[Cost item]],$C48&amp;" - supply")+
SUMIFS(Calc_TUV_NetGroup_1[United Energy],Calc_TUV_NetGroup_1[[Customer type]:[Customer type]],$F48,Calc_TUV_NetGroup_1[[Cost item]:[Cost item]],$C48&amp;" - usage"))/
IF($C48&lt;&gt;"Controlled load",$E$24,$E$34)=L40,
0,1),"-")</f>
        <v>-</v>
      </c>
    </row>
    <row r="50" spans="2:12" ht="16" thickBot="1">
      <c r="B50" s="216">
        <f ca="1">MAX(B$3:B49)+0.01</f>
        <v>15.02</v>
      </c>
      <c r="C50" s="25" t="s">
        <v>267</v>
      </c>
      <c r="D50" s="25"/>
      <c r="E50" s="25"/>
      <c r="F50" s="25"/>
      <c r="G50" s="25"/>
      <c r="H50" s="25"/>
      <c r="I50" s="25"/>
      <c r="J50" s="25"/>
      <c r="K50" s="25"/>
      <c r="L50" s="25"/>
    </row>
    <row r="51" spans="2:12" outlineLevel="1"/>
    <row r="52" spans="2:12" ht="15.5" outlineLevel="1">
      <c r="C52" s="26" t="s">
        <v>268</v>
      </c>
    </row>
    <row r="53" spans="2:12" ht="15.5" outlineLevel="1">
      <c r="C53" s="39" t="s">
        <v>33</v>
      </c>
      <c r="D53" s="39" t="s">
        <v>88</v>
      </c>
      <c r="E53" s="39" t="s">
        <v>56</v>
      </c>
      <c r="F53" s="39" t="s">
        <v>57</v>
      </c>
      <c r="G53" s="39" t="s">
        <v>32</v>
      </c>
      <c r="H53" s="54" t="s">
        <v>58</v>
      </c>
      <c r="I53" s="54" t="s">
        <v>59</v>
      </c>
      <c r="J53" s="54" t="s">
        <v>60</v>
      </c>
      <c r="K53" s="54" t="s">
        <v>61</v>
      </c>
      <c r="L53" s="54" t="s">
        <v>62</v>
      </c>
    </row>
    <row r="54" spans="2:12" outlineLevel="1">
      <c r="C54" s="53" t="str">
        <f>IF(COUNTIFS(Calc_TUV_Env_1[Pass through (Yes/No)],"Yes",Calc_TUV_Env_1[Cost item],"Large-scale renewable energy target (LRET)")=1,"LRET True Up","-")</f>
        <v>LRET True Up</v>
      </c>
      <c r="D54" s="53" t="s">
        <v>103</v>
      </c>
      <c r="E54" s="53" t="s">
        <v>68</v>
      </c>
      <c r="F54" s="53" t="s">
        <v>91</v>
      </c>
      <c r="G54" s="53" t="s">
        <v>82</v>
      </c>
      <c r="H54" s="129" cm="1">
        <f t="array" ref="H54">IFERROR(SUMIFS(INDEX(Calc_TUV_Env_1[[Ausnet]:[United Energy]],0,MATCH(Calc_TUV_EnvGroup_1[[#Headers],[Ausnet]],Calc_TUV_Env_1[[#Headers],[Ausnet]:[United Energy]],0)),
Calc_TUV_Env_1[Cost item],Calc_TUV_EnvGroup_1[[#This Row],[Cost item]],
Calc_TUV_Env_1[Customer type],Calc_TUV_EnvGroup_1[[#This Row],[Customer type]]),"-")</f>
        <v>7.1411889574377822E-5</v>
      </c>
      <c r="I54" s="129" cm="1">
        <f t="array" ref="I54">IFERROR(SUMIFS(INDEX(Calc_TUV_Env_1[[Ausnet]:[United Energy]],0,MATCH(Calc_TUV_EnvGroup_1[[#Headers],[Citipower]],Calc_TUV_Env_1[[#Headers],[Ausnet]:[United Energy]],0)),
Calc_TUV_Env_1[Cost item],Calc_TUV_EnvGroup_1[[#This Row],[Cost item]],
Calc_TUV_Env_1[Customer type],Calc_TUV_EnvGroup_1[[#This Row],[Customer type]]),"-")</f>
        <v>6.9262229545457419E-5</v>
      </c>
      <c r="J54" s="129" cm="1">
        <f t="array" ref="J54">IFERROR(SUMIFS(INDEX(Calc_TUV_Env_1[[Ausnet]:[United Energy]],0,MATCH(Calc_TUV_EnvGroup_1[[#Headers],[Jemena]],Calc_TUV_Env_1[[#Headers],[Ausnet]:[United Energy]],0)),
Calc_TUV_Env_1[Cost item],Calc_TUV_EnvGroup_1[[#This Row],[Cost item]],
Calc_TUV_Env_1[Customer type],Calc_TUV_EnvGroup_1[[#This Row],[Customer type]]),"-")</f>
        <v>6.8672733182471396E-5</v>
      </c>
      <c r="K54" s="129" cm="1">
        <f t="array" ref="K54">IFERROR(SUMIFS(INDEX(Calc_TUV_Env_1[[Ausnet]:[United Energy]],0,MATCH(Calc_TUV_EnvGroup_1[[#Headers],[Powercor]],Calc_TUV_Env_1[[#Headers],[Ausnet]:[United Energy]],0)),
Calc_TUV_Env_1[Cost item],Calc_TUV_EnvGroup_1[[#This Row],[Cost item]],
Calc_TUV_Env_1[Customer type],Calc_TUV_EnvGroup_1[[#This Row],[Customer type]]),"-")</f>
        <v>7.0779916457632067E-5</v>
      </c>
      <c r="L54" s="129" cm="1">
        <f t="array" ref="L54">IFERROR(SUMIFS(INDEX(Calc_TUV_Env_1[[Ausnet]:[United Energy]],0,MATCH(Calc_TUV_EnvGroup_1[[#Headers],[United Energy]],Calc_TUV_Env_1[[#Headers],[Ausnet]:[United Energy]],0)),
Calc_TUV_Env_1[Cost item],Calc_TUV_EnvGroup_1[[#This Row],[Cost item]],
Calc_TUV_Env_1[Customer type],Calc_TUV_EnvGroup_1[[#This Row],[Customer type]]),"-")</f>
        <v>6.9073799593706765E-5</v>
      </c>
    </row>
    <row r="55" spans="2:12" outlineLevel="1">
      <c r="C55" s="53" t="str">
        <f>IF(COUNTIFS(Calc_TUV_Env_1[Pass through (Yes/No)],"Yes",Calc_TUV_Env_1[Cost item],"Small-scale renewable energy scheme (SRES)")=1,"SRES True Up","-")</f>
        <v>SRES True Up</v>
      </c>
      <c r="D55" s="53" t="s">
        <v>103</v>
      </c>
      <c r="E55" s="53" t="s">
        <v>68</v>
      </c>
      <c r="F55" s="53" t="s">
        <v>91</v>
      </c>
      <c r="G55" s="53" t="s">
        <v>82</v>
      </c>
      <c r="H55" s="129" cm="1">
        <f t="array" ref="H55">IFERROR(SUMIFS(INDEX(Calc_TUV_Env_1[[Ausnet]:[United Energy]],0,MATCH(Calc_TUV_EnvGroup_1[[#Headers],[Ausnet]],Calc_TUV_Env_1[[#Headers],[Ausnet]:[United Energy]],0)),
Calc_TUV_Env_1[Cost item],Calc_TUV_EnvGroup_1[[#This Row],[Cost item]],
Calc_TUV_Env_1[Customer type],Calc_TUV_EnvGroup_1[[#This Row],[Customer type]]),"-")</f>
        <v>-1.5204731141753008E-3</v>
      </c>
      <c r="I55" s="129" cm="1">
        <f t="array" ref="I55">IFERROR(SUMIFS(INDEX(Calc_TUV_Env_1[[Ausnet]:[United Energy]],0,MATCH(Calc_TUV_EnvGroup_1[[#Headers],[Citipower]],Calc_TUV_Env_1[[#Headers],[Ausnet]:[United Energy]],0)),
Calc_TUV_Env_1[Cost item],Calc_TUV_EnvGroup_1[[#This Row],[Cost item]],
Calc_TUV_Env_1[Customer type],Calc_TUV_EnvGroup_1[[#This Row],[Customer type]]),"-")</f>
        <v>-1.4747034209481452E-3</v>
      </c>
      <c r="J55" s="129" cm="1">
        <f t="array" ref="J55">IFERROR(SUMIFS(INDEX(Calc_TUV_Env_1[[Ausnet]:[United Energy]],0,MATCH(Calc_TUV_EnvGroup_1[[#Headers],[Jemena]],Calc_TUV_Env_1[[#Headers],[Ausnet]:[United Energy]],0)),
Calc_TUV_Env_1[Cost item],Calc_TUV_EnvGroup_1[[#This Row],[Cost item]],
Calc_TUV_Env_1[Customer type],Calc_TUV_EnvGroup_1[[#This Row],[Customer type]]),"-")</f>
        <v>-1.4621521024468919E-3</v>
      </c>
      <c r="K55" s="129" cm="1">
        <f t="array" ref="K55">IFERROR(SUMIFS(INDEX(Calc_TUV_Env_1[[Ausnet]:[United Energy]],0,MATCH(Calc_TUV_EnvGroup_1[[#Headers],[Powercor]],Calc_TUV_Env_1[[#Headers],[Ausnet]:[United Energy]],0)),
Calc_TUV_Env_1[Cost item],Calc_TUV_EnvGroup_1[[#This Row],[Cost item]],
Calc_TUV_Env_1[Customer type],Calc_TUV_EnvGroup_1[[#This Row],[Customer type]]),"-")</f>
        <v>-1.5070173977866077E-3</v>
      </c>
      <c r="L55" s="129" cm="1">
        <f t="array" ref="L55">IFERROR(SUMIFS(INDEX(Calc_TUV_Env_1[[Ausnet]:[United Energy]],0,MATCH(Calc_TUV_EnvGroup_1[[#Headers],[United Energy]],Calc_TUV_Env_1[[#Headers],[Ausnet]:[United Energy]],0)),
Calc_TUV_Env_1[Cost item],Calc_TUV_EnvGroup_1[[#This Row],[Cost item]],
Calc_TUV_Env_1[Customer type],Calc_TUV_EnvGroup_1[[#This Row],[Customer type]]),"-")</f>
        <v>-1.470691446510138E-3</v>
      </c>
    </row>
    <row r="56" spans="2:12" outlineLevel="1">
      <c r="C56" s="53" t="str">
        <f>IF(COUNTIFS(Calc_TUV_Env_1[Pass through (Yes/No)],"Yes",Calc_TUV_Env_1[Cost item],"Victorian energy upgrades (VEU)")=1,"VEU True Up","-")</f>
        <v>-</v>
      </c>
      <c r="D56" s="53" t="s">
        <v>103</v>
      </c>
      <c r="E56" s="53" t="s">
        <v>68</v>
      </c>
      <c r="F56" s="53" t="s">
        <v>91</v>
      </c>
      <c r="G56" s="53" t="s">
        <v>82</v>
      </c>
      <c r="H56" s="129" cm="1">
        <f t="array" ref="H56">IFERROR(SUMIFS(INDEX(Calc_TUV_Env_1[[Ausnet]:[United Energy]],0,MATCH(Calc_TUV_EnvGroup_1[[#Headers],[Ausnet]],Calc_TUV_Env_1[[#Headers],[Ausnet]:[United Energy]],0)),
Calc_TUV_Env_1[Cost item],Calc_TUV_EnvGroup_1[[#This Row],[Cost item]],
Calc_TUV_Env_1[Customer type],Calc_TUV_EnvGroup_1[[#This Row],[Customer type]]),"-")</f>
        <v>0</v>
      </c>
      <c r="I56" s="129" cm="1">
        <f t="array" ref="I56">IFERROR(SUMIFS(INDEX(Calc_TUV_Env_1[[Ausnet]:[United Energy]],0,MATCH(Calc_TUV_EnvGroup_1[[#Headers],[Citipower]],Calc_TUV_Env_1[[#Headers],[Ausnet]:[United Energy]],0)),
Calc_TUV_Env_1[Cost item],Calc_TUV_EnvGroup_1[[#This Row],[Cost item]],
Calc_TUV_Env_1[Customer type],Calc_TUV_EnvGroup_1[[#This Row],[Customer type]]),"-")</f>
        <v>0</v>
      </c>
      <c r="J56" s="129" cm="1">
        <f t="array" ref="J56">IFERROR(SUMIFS(INDEX(Calc_TUV_Env_1[[Ausnet]:[United Energy]],0,MATCH(Calc_TUV_EnvGroup_1[[#Headers],[Jemena]],Calc_TUV_Env_1[[#Headers],[Ausnet]:[United Energy]],0)),
Calc_TUV_Env_1[Cost item],Calc_TUV_EnvGroup_1[[#This Row],[Cost item]],
Calc_TUV_Env_1[Customer type],Calc_TUV_EnvGroup_1[[#This Row],[Customer type]]),"-")</f>
        <v>0</v>
      </c>
      <c r="K56" s="129" cm="1">
        <f t="array" ref="K56">IFERROR(SUMIFS(INDEX(Calc_TUV_Env_1[[Ausnet]:[United Energy]],0,MATCH(Calc_TUV_EnvGroup_1[[#Headers],[Powercor]],Calc_TUV_Env_1[[#Headers],[Ausnet]:[United Energy]],0)),
Calc_TUV_Env_1[Cost item],Calc_TUV_EnvGroup_1[[#This Row],[Cost item]],
Calc_TUV_Env_1[Customer type],Calc_TUV_EnvGroup_1[[#This Row],[Customer type]]),"-")</f>
        <v>0</v>
      </c>
      <c r="L56" s="129" cm="1">
        <f t="array" ref="L56">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7" spans="2:12" outlineLevel="1"/>
    <row r="58" spans="2:12" ht="15.5" outlineLevel="1">
      <c r="C58" s="49" t="s">
        <v>269</v>
      </c>
      <c r="D58" t="s">
        <v>192</v>
      </c>
      <c r="E58" s="75" t="str">
        <f>INDEX(Input_DecisionActual[Decision],MATCH(Calc_TU_rates!E59,Input_DecisionActual[Actual],0),1)</f>
        <v>VDO 2022-23 - Final</v>
      </c>
      <c r="F58" s="69">
        <f>INDEX(Input_TU_Periods[],2,MATCH($E58,Inputs!$C$244:$N$244,0))</f>
        <v>365</v>
      </c>
    </row>
    <row r="59" spans="2:12" ht="15.5" outlineLevel="1">
      <c r="C59" s="49" t="s">
        <v>269</v>
      </c>
      <c r="D59" t="s">
        <v>190</v>
      </c>
      <c r="E59" s="75" t="str">
        <f>D5</f>
        <v>VDO 2023-24 - Final</v>
      </c>
      <c r="F59" s="69">
        <f>INDEX(Input_TU_Periods[],2,MATCH($E59,Inputs!$C$244:$N$244,0))</f>
        <v>366</v>
      </c>
    </row>
    <row r="60" spans="2:12" ht="15.5" outlineLevel="1">
      <c r="C60" s="49" t="s">
        <v>270</v>
      </c>
      <c r="F60" s="177">
        <f>F58/F59</f>
        <v>0.99726775956284153</v>
      </c>
    </row>
    <row r="61" spans="2:12" outlineLevel="1"/>
    <row r="62" spans="2:12" ht="15.5" outlineLevel="1">
      <c r="C62" s="26" t="s">
        <v>271</v>
      </c>
    </row>
    <row r="63" spans="2:12" ht="15.5" outlineLevel="1">
      <c r="C63" s="39" t="s">
        <v>261</v>
      </c>
      <c r="D63" s="111" t="s">
        <v>173</v>
      </c>
      <c r="E63" s="111" t="s">
        <v>56</v>
      </c>
      <c r="F63" s="111" t="s">
        <v>57</v>
      </c>
      <c r="G63" s="111" t="s">
        <v>32</v>
      </c>
      <c r="H63" s="54" t="s">
        <v>58</v>
      </c>
      <c r="I63" s="54" t="s">
        <v>59</v>
      </c>
      <c r="J63" s="54" t="s">
        <v>60</v>
      </c>
      <c r="K63" s="54" t="s">
        <v>61</v>
      </c>
      <c r="L63" s="54" t="s">
        <v>62</v>
      </c>
    </row>
    <row r="64" spans="2:12" outlineLevel="1">
      <c r="C64" s="20" t="s">
        <v>70</v>
      </c>
      <c r="D64" s="20" t="s">
        <v>272</v>
      </c>
      <c r="E64" s="53" t="s">
        <v>68</v>
      </c>
      <c r="F64" s="20" t="s">
        <v>65</v>
      </c>
      <c r="G64" s="20" t="s">
        <v>82</v>
      </c>
      <c r="H64" s="131" t="str" cm="1">
        <f t="array" ref="H6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4" s="131" cm="1">
        <f t="array" ref="I6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6.9072988481125571E-5</v>
      </c>
      <c r="J64" s="131" cm="1">
        <f t="array" ref="J6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6.848510276394005E-5</v>
      </c>
      <c r="K64" s="131" cm="1">
        <f t="array" ref="K6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7.0586528707747821E-5</v>
      </c>
      <c r="L64" s="131" cm="1">
        <f t="array" ref="L6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6.8885073365308663E-5</v>
      </c>
    </row>
    <row r="65" spans="3:12" outlineLevel="1">
      <c r="C65" s="20" t="s">
        <v>67</v>
      </c>
      <c r="D65" s="20" t="s">
        <v>272</v>
      </c>
      <c r="E65" s="53" t="s">
        <v>68</v>
      </c>
      <c r="F65" s="20" t="s">
        <v>65</v>
      </c>
      <c r="G65" s="20" t="s">
        <v>82</v>
      </c>
      <c r="H65" s="131" cm="1">
        <f t="array" ref="H6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65" s="131" t="str" cm="1">
        <f t="array" ref="I6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5" s="131" t="str" cm="1">
        <f t="array" ref="J6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5" s="131" t="str" cm="1">
        <f t="array" ref="K6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5" s="131" t="str" cm="1">
        <f t="array" ref="L6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6" spans="3:12" outlineLevel="1">
      <c r="C66" s="20" t="s">
        <v>69</v>
      </c>
      <c r="D66" s="20" t="s">
        <v>272</v>
      </c>
      <c r="E66" s="53" t="s">
        <v>68</v>
      </c>
      <c r="F66" s="20" t="s">
        <v>65</v>
      </c>
      <c r="G66" s="20" t="s">
        <v>82</v>
      </c>
      <c r="H66" s="131" cm="1">
        <f t="array" ref="H6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66" s="131" t="str" cm="1">
        <f t="array" ref="I6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6" s="131" t="str" cm="1">
        <f t="array" ref="J6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6" s="131" t="str" cm="1">
        <f t="array" ref="K6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6" s="131" t="str" cm="1">
        <f t="array" ref="L6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7" spans="3:12" outlineLevel="1">
      <c r="C67" s="20" t="s">
        <v>74</v>
      </c>
      <c r="D67" s="20" t="s">
        <v>272</v>
      </c>
      <c r="E67" s="53" t="s">
        <v>68</v>
      </c>
      <c r="F67" s="20" t="s">
        <v>65</v>
      </c>
      <c r="G67" s="20" t="s">
        <v>82</v>
      </c>
      <c r="H67" s="131" cm="1">
        <f t="array" ref="H6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67" s="131" cm="1">
        <f t="array" ref="I6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6.9072988481125571E-5</v>
      </c>
      <c r="J67" s="131" cm="1">
        <f t="array" ref="J6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6.848510276394005E-5</v>
      </c>
      <c r="K67" s="131" cm="1">
        <f t="array" ref="K6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7.0586528707747821E-5</v>
      </c>
      <c r="L67" s="131" cm="1">
        <f t="array" ref="L6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6.8885073365308663E-5</v>
      </c>
    </row>
    <row r="68" spans="3:12" outlineLevel="1">
      <c r="C68" s="20" t="s">
        <v>72</v>
      </c>
      <c r="D68" s="20" t="s">
        <v>272</v>
      </c>
      <c r="E68" s="53" t="s">
        <v>68</v>
      </c>
      <c r="F68" s="20" t="s">
        <v>65</v>
      </c>
      <c r="G68" s="20" t="s">
        <v>82</v>
      </c>
      <c r="H68" s="131" cm="1">
        <f t="array" ref="H6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68" s="131" cm="1">
        <f t="array" ref="I6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6.9072988481125571E-5</v>
      </c>
      <c r="J68" s="131" cm="1">
        <f t="array" ref="J6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6.848510276394005E-5</v>
      </c>
      <c r="K68" s="131" cm="1">
        <f t="array" ref="K6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7.0586528707747821E-5</v>
      </c>
      <c r="L68" s="131" cm="1">
        <f t="array" ref="L6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6.8885073365308663E-5</v>
      </c>
    </row>
    <row r="69" spans="3:12" outlineLevel="1">
      <c r="C69" s="20" t="s">
        <v>73</v>
      </c>
      <c r="D69" s="20" t="s">
        <v>272</v>
      </c>
      <c r="E69" s="53" t="s">
        <v>68</v>
      </c>
      <c r="F69" s="20" t="s">
        <v>65</v>
      </c>
      <c r="G69" s="20" t="s">
        <v>82</v>
      </c>
      <c r="H69" s="131" cm="1">
        <f t="array" ref="H6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69" s="131" cm="1">
        <f t="array" ref="I6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6.9072988481125571E-5</v>
      </c>
      <c r="J69" s="131" cm="1">
        <f t="array" ref="J6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6.848510276394005E-5</v>
      </c>
      <c r="K69" s="131" cm="1">
        <f t="array" ref="K6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7.0586528707747821E-5</v>
      </c>
      <c r="L69" s="131" cm="1">
        <f t="array" ref="L6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6.8885073365308663E-5</v>
      </c>
    </row>
    <row r="70" spans="3:12" outlineLevel="1">
      <c r="C70" s="20" t="s">
        <v>70</v>
      </c>
      <c r="D70" s="20" t="s">
        <v>273</v>
      </c>
      <c r="E70" s="53" t="s">
        <v>68</v>
      </c>
      <c r="F70" s="20" t="s">
        <v>65</v>
      </c>
      <c r="G70" s="20" t="s">
        <v>82</v>
      </c>
      <c r="H70" s="131" t="str" cm="1">
        <f t="array" ref="H7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0" s="131" cm="1">
        <f t="array" ref="I7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-1.4706741766286147E-3</v>
      </c>
      <c r="J70" s="131" cm="1">
        <f t="array" ref="J7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-1.4581571513473102E-3</v>
      </c>
      <c r="K70" s="131" cm="1">
        <f t="array" ref="K7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-1.5028998639128738E-3</v>
      </c>
      <c r="L70" s="131" cm="1">
        <f t="array" ref="L7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-1.4666731638694E-3</v>
      </c>
    </row>
    <row r="71" spans="3:12" outlineLevel="1">
      <c r="C71" s="20" t="s">
        <v>67</v>
      </c>
      <c r="D71" s="20" t="s">
        <v>273</v>
      </c>
      <c r="E71" s="53" t="s">
        <v>68</v>
      </c>
      <c r="F71" s="20" t="s">
        <v>65</v>
      </c>
      <c r="G71" s="20" t="s">
        <v>82</v>
      </c>
      <c r="H71" s="131" cm="1">
        <f t="array" ref="H7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71" s="131" t="str" cm="1">
        <f t="array" ref="I7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1" s="131" t="str" cm="1">
        <f t="array" ref="J7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1" s="131" t="str" cm="1">
        <f t="array" ref="K7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1" s="131" t="str" cm="1">
        <f t="array" ref="L7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2" spans="3:12" outlineLevel="1">
      <c r="C72" s="20" t="s">
        <v>69</v>
      </c>
      <c r="D72" s="20" t="s">
        <v>273</v>
      </c>
      <c r="E72" s="53" t="s">
        <v>68</v>
      </c>
      <c r="F72" s="20" t="s">
        <v>65</v>
      </c>
      <c r="G72" s="20" t="s">
        <v>82</v>
      </c>
      <c r="H72" s="131" cm="1">
        <f t="array" ref="H7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72" s="131" t="str" cm="1">
        <f t="array" ref="I7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2" s="131" t="str" cm="1">
        <f t="array" ref="J7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2" s="131" t="str" cm="1">
        <f t="array" ref="K7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2" s="131" t="str" cm="1">
        <f t="array" ref="L7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3" spans="3:12" outlineLevel="1">
      <c r="C73" s="20" t="s">
        <v>74</v>
      </c>
      <c r="D73" s="20" t="s">
        <v>273</v>
      </c>
      <c r="E73" s="53" t="s">
        <v>68</v>
      </c>
      <c r="F73" s="20" t="s">
        <v>65</v>
      </c>
      <c r="G73" s="20" t="s">
        <v>82</v>
      </c>
      <c r="H73" s="131" cm="1">
        <f t="array" ref="H7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73" s="131" cm="1">
        <f t="array" ref="I7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-1.4706741766286147E-3</v>
      </c>
      <c r="J73" s="131" cm="1">
        <f t="array" ref="J7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-1.4581571513473102E-3</v>
      </c>
      <c r="K73" s="131" cm="1">
        <f t="array" ref="K7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-1.5028998639128738E-3</v>
      </c>
      <c r="L73" s="131" cm="1">
        <f t="array" ref="L7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-1.4666731638694E-3</v>
      </c>
    </row>
    <row r="74" spans="3:12" outlineLevel="1">
      <c r="C74" s="20" t="s">
        <v>72</v>
      </c>
      <c r="D74" s="20" t="s">
        <v>273</v>
      </c>
      <c r="E74" s="53" t="s">
        <v>68</v>
      </c>
      <c r="F74" s="20" t="s">
        <v>65</v>
      </c>
      <c r="G74" s="20" t="s">
        <v>82</v>
      </c>
      <c r="H74" s="131" cm="1">
        <f t="array" ref="H7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74" s="131" cm="1">
        <f t="array" ref="I7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-1.4706741766286147E-3</v>
      </c>
      <c r="J74" s="131" cm="1">
        <f t="array" ref="J7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-1.4581571513473102E-3</v>
      </c>
      <c r="K74" s="131" cm="1">
        <f t="array" ref="K7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-1.5028998639128738E-3</v>
      </c>
      <c r="L74" s="131" cm="1">
        <f t="array" ref="L7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-1.4666731638694E-3</v>
      </c>
    </row>
    <row r="75" spans="3:12" outlineLevel="1">
      <c r="C75" s="20" t="s">
        <v>73</v>
      </c>
      <c r="D75" s="20" t="s">
        <v>273</v>
      </c>
      <c r="E75" s="53" t="s">
        <v>68</v>
      </c>
      <c r="F75" s="20" t="s">
        <v>65</v>
      </c>
      <c r="G75" s="20" t="s">
        <v>82</v>
      </c>
      <c r="H75" s="131" cm="1">
        <f t="array" ref="H7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75" s="131" cm="1">
        <f t="array" ref="I7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-1.4706741766286147E-3</v>
      </c>
      <c r="J75" s="131" cm="1">
        <f t="array" ref="J7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-1.4581571513473102E-3</v>
      </c>
      <c r="K75" s="131" cm="1">
        <f t="array" ref="K7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-1.5028998639128738E-3</v>
      </c>
      <c r="L75" s="131" cm="1">
        <f t="array" ref="L7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-1.4666731638694E-3</v>
      </c>
    </row>
    <row r="76" spans="3:12" outlineLevel="1">
      <c r="C76" s="20" t="s">
        <v>70</v>
      </c>
      <c r="D76" s="20" t="s">
        <v>274</v>
      </c>
      <c r="E76" s="53" t="s">
        <v>68</v>
      </c>
      <c r="F76" s="20" t="s">
        <v>65</v>
      </c>
      <c r="G76" s="20" t="s">
        <v>82</v>
      </c>
      <c r="H76" s="131" t="str" cm="1">
        <f t="array" ref="H7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6" s="131" cm="1">
        <f t="array" ref="I7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6" s="131" cm="1">
        <f t="array" ref="J7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6" s="131" cm="1">
        <f t="array" ref="K7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6" s="131" cm="1">
        <f t="array" ref="L7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7" spans="3:12" outlineLevel="1">
      <c r="C77" s="20" t="s">
        <v>67</v>
      </c>
      <c r="D77" s="20" t="s">
        <v>274</v>
      </c>
      <c r="E77" s="53" t="s">
        <v>68</v>
      </c>
      <c r="F77" s="20" t="s">
        <v>65</v>
      </c>
      <c r="G77" s="20" t="s">
        <v>82</v>
      </c>
      <c r="H77" s="131" cm="1">
        <f t="array" ref="H7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7" s="131" t="str" cm="1">
        <f t="array" ref="I7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7" s="131" t="str" cm="1">
        <f t="array" ref="J7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7" s="131" t="str" cm="1">
        <f t="array" ref="K7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7" s="131" t="str" cm="1">
        <f t="array" ref="L7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8" spans="3:12" outlineLevel="1">
      <c r="C78" s="20" t="s">
        <v>69</v>
      </c>
      <c r="D78" s="20" t="s">
        <v>274</v>
      </c>
      <c r="E78" s="53" t="s">
        <v>68</v>
      </c>
      <c r="F78" s="20" t="s">
        <v>65</v>
      </c>
      <c r="G78" s="20" t="s">
        <v>82</v>
      </c>
      <c r="H78" s="131" cm="1">
        <f t="array" ref="H7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8" s="131" t="str" cm="1">
        <f t="array" ref="I7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8" s="131" t="str" cm="1">
        <f t="array" ref="J7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8" s="131" t="str" cm="1">
        <f t="array" ref="K7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8" s="131" t="str" cm="1">
        <f t="array" ref="L7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9" spans="3:12" outlineLevel="1">
      <c r="C79" s="20" t="s">
        <v>74</v>
      </c>
      <c r="D79" s="20" t="s">
        <v>274</v>
      </c>
      <c r="E79" s="53" t="s">
        <v>68</v>
      </c>
      <c r="F79" s="20" t="s">
        <v>65</v>
      </c>
      <c r="G79" s="20" t="s">
        <v>82</v>
      </c>
      <c r="H79" s="131" cm="1">
        <f t="array" ref="H7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9" s="131" cm="1">
        <f t="array" ref="I7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9" s="131" cm="1">
        <f t="array" ref="J7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9" s="131" cm="1">
        <f t="array" ref="K7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9" s="131" cm="1">
        <f t="array" ref="L7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0" spans="3:12" outlineLevel="1">
      <c r="C80" s="20" t="s">
        <v>72</v>
      </c>
      <c r="D80" s="20" t="s">
        <v>274</v>
      </c>
      <c r="E80" s="53" t="s">
        <v>68</v>
      </c>
      <c r="F80" s="20" t="s">
        <v>65</v>
      </c>
      <c r="G80" s="20" t="s">
        <v>82</v>
      </c>
      <c r="H80" s="131" cm="1">
        <f t="array" ref="H8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0" s="131" cm="1">
        <f t="array" ref="I8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0" s="131" cm="1">
        <f t="array" ref="J8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0" s="131" cm="1">
        <f t="array" ref="K8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0" s="131" cm="1">
        <f t="array" ref="L8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1" spans="3:12" outlineLevel="1">
      <c r="C81" s="20" t="s">
        <v>73</v>
      </c>
      <c r="D81" s="20" t="s">
        <v>274</v>
      </c>
      <c r="E81" s="53" t="s">
        <v>68</v>
      </c>
      <c r="F81" s="20" t="s">
        <v>65</v>
      </c>
      <c r="G81" s="20" t="s">
        <v>82</v>
      </c>
      <c r="H81" s="131" cm="1">
        <f t="array" ref="H8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1" s="131" cm="1">
        <f t="array" ref="I8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1" s="131" cm="1">
        <f t="array" ref="J8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1" s="131" cm="1">
        <f t="array" ref="K8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1" s="131" cm="1">
        <f t="array" ref="L8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2" spans="3:12" outlineLevel="1">
      <c r="C82" s="20" t="s">
        <v>70</v>
      </c>
      <c r="D82" s="20" t="s">
        <v>272</v>
      </c>
      <c r="E82" s="53" t="s">
        <v>68</v>
      </c>
      <c r="F82" s="20" t="s">
        <v>66</v>
      </c>
      <c r="G82" s="20" t="s">
        <v>82</v>
      </c>
      <c r="H82" s="131" t="str" cm="1">
        <f t="array" ref="H8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2" s="131" cm="1">
        <f t="array" ref="I8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6.9072988481125571E-5</v>
      </c>
      <c r="J82" s="131" cm="1">
        <f t="array" ref="J8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6.848510276394005E-5</v>
      </c>
      <c r="K82" s="131" cm="1">
        <f t="array" ref="K8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7.0586528707747821E-5</v>
      </c>
      <c r="L82" s="131" cm="1">
        <f t="array" ref="L8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6.8885073365308663E-5</v>
      </c>
    </row>
    <row r="83" spans="3:12" outlineLevel="1">
      <c r="C83" s="20" t="s">
        <v>67</v>
      </c>
      <c r="D83" s="20" t="s">
        <v>272</v>
      </c>
      <c r="E83" s="53" t="s">
        <v>68</v>
      </c>
      <c r="F83" s="20" t="s">
        <v>66</v>
      </c>
      <c r="G83" s="20" t="s">
        <v>82</v>
      </c>
      <c r="H83" s="131" cm="1">
        <f t="array" ref="H8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83" s="131" t="str" cm="1">
        <f t="array" ref="I8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3" s="131" t="str" cm="1">
        <f t="array" ref="J8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3" s="131" t="str" cm="1">
        <f t="array" ref="K8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3" s="131" t="str" cm="1">
        <f t="array" ref="L8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4" spans="3:12" outlineLevel="1">
      <c r="C84" s="20" t="s">
        <v>69</v>
      </c>
      <c r="D84" s="20" t="s">
        <v>272</v>
      </c>
      <c r="E84" s="53" t="s">
        <v>68</v>
      </c>
      <c r="F84" s="20" t="s">
        <v>66</v>
      </c>
      <c r="G84" s="20" t="s">
        <v>82</v>
      </c>
      <c r="H84" s="131" cm="1">
        <f t="array" ref="H8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84" s="131" t="str" cm="1">
        <f t="array" ref="I8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4" s="131" t="str" cm="1">
        <f t="array" ref="J8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4" s="131" t="str" cm="1">
        <f t="array" ref="K8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4" s="131" t="str" cm="1">
        <f t="array" ref="L8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5" spans="3:12" outlineLevel="1">
      <c r="C85" s="20" t="s">
        <v>72</v>
      </c>
      <c r="D85" s="20" t="s">
        <v>272</v>
      </c>
      <c r="E85" s="53" t="s">
        <v>68</v>
      </c>
      <c r="F85" s="20" t="s">
        <v>66</v>
      </c>
      <c r="G85" s="20" t="s">
        <v>82</v>
      </c>
      <c r="H85" s="131" cm="1">
        <f t="array" ref="H8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85" s="131" cm="1">
        <f t="array" ref="I8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6.9072988481125571E-5</v>
      </c>
      <c r="J85" s="131" cm="1">
        <f t="array" ref="J8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6.848510276394005E-5</v>
      </c>
      <c r="K85" s="131" cm="1">
        <f t="array" ref="K8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7.0586528707747821E-5</v>
      </c>
      <c r="L85" s="131" cm="1">
        <f t="array" ref="L8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6.8885073365308663E-5</v>
      </c>
    </row>
    <row r="86" spans="3:12" outlineLevel="1">
      <c r="C86" s="20" t="s">
        <v>73</v>
      </c>
      <c r="D86" s="20" t="s">
        <v>272</v>
      </c>
      <c r="E86" s="53" t="s">
        <v>68</v>
      </c>
      <c r="F86" s="20" t="s">
        <v>66</v>
      </c>
      <c r="G86" s="20" t="s">
        <v>82</v>
      </c>
      <c r="H86" s="131" cm="1">
        <f t="array" ref="H8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7.1216775121988815E-5</v>
      </c>
      <c r="I86" s="131" cm="1">
        <f t="array" ref="I8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6.9072988481125571E-5</v>
      </c>
      <c r="J86" s="131" cm="1">
        <f t="array" ref="J8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6.848510276394005E-5</v>
      </c>
      <c r="K86" s="131" cm="1">
        <f t="array" ref="K8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7.0586528707747821E-5</v>
      </c>
      <c r="L86" s="131" cm="1">
        <f t="array" ref="L8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6.8885073365308663E-5</v>
      </c>
    </row>
    <row r="87" spans="3:12" outlineLevel="1">
      <c r="C87" s="20" t="s">
        <v>70</v>
      </c>
      <c r="D87" s="20" t="s">
        <v>273</v>
      </c>
      <c r="E87" s="53" t="s">
        <v>68</v>
      </c>
      <c r="F87" s="20" t="s">
        <v>66</v>
      </c>
      <c r="G87" s="20" t="s">
        <v>82</v>
      </c>
      <c r="H87" s="131" t="str" cm="1">
        <f t="array" ref="H8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7" s="131" cm="1">
        <f t="array" ref="I8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-1.4706741766286147E-3</v>
      </c>
      <c r="J87" s="131" cm="1">
        <f t="array" ref="J8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-1.4581571513473102E-3</v>
      </c>
      <c r="K87" s="131" cm="1">
        <f t="array" ref="K8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-1.5028998639128738E-3</v>
      </c>
      <c r="L87" s="131" cm="1">
        <f t="array" ref="L8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-1.4666731638694E-3</v>
      </c>
    </row>
    <row r="88" spans="3:12" outlineLevel="1">
      <c r="C88" s="20" t="s">
        <v>67</v>
      </c>
      <c r="D88" s="20" t="s">
        <v>273</v>
      </c>
      <c r="E88" s="53" t="s">
        <v>68</v>
      </c>
      <c r="F88" s="20" t="s">
        <v>66</v>
      </c>
      <c r="G88" s="20" t="s">
        <v>82</v>
      </c>
      <c r="H88" s="131" cm="1">
        <f t="array" ref="H8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88" s="131" t="str" cm="1">
        <f t="array" ref="I8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8" s="131" t="str" cm="1">
        <f t="array" ref="J8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8" s="131" t="str" cm="1">
        <f t="array" ref="K8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8" s="131" t="str" cm="1">
        <f t="array" ref="L8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9" spans="3:12" outlineLevel="1">
      <c r="C89" s="20" t="s">
        <v>69</v>
      </c>
      <c r="D89" s="20" t="s">
        <v>273</v>
      </c>
      <c r="E89" s="53" t="s">
        <v>68</v>
      </c>
      <c r="F89" s="20" t="s">
        <v>66</v>
      </c>
      <c r="G89" s="20" t="s">
        <v>82</v>
      </c>
      <c r="H89" s="131" cm="1">
        <f t="array" ref="H8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89" s="131" t="str" cm="1">
        <f t="array" ref="I8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9" s="131" t="str" cm="1">
        <f t="array" ref="J8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9" s="131" t="str" cm="1">
        <f t="array" ref="K8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9" s="131" t="str" cm="1">
        <f t="array" ref="L8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0" spans="3:12" outlineLevel="1">
      <c r="C90" s="20" t="s">
        <v>72</v>
      </c>
      <c r="D90" s="20" t="s">
        <v>273</v>
      </c>
      <c r="E90" s="53" t="s">
        <v>68</v>
      </c>
      <c r="F90" s="20" t="s">
        <v>66</v>
      </c>
      <c r="G90" s="20" t="s">
        <v>82</v>
      </c>
      <c r="H90" s="131" cm="1">
        <f t="array" ref="H9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90" s="131" cm="1">
        <f t="array" ref="I9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-1.4706741766286147E-3</v>
      </c>
      <c r="J90" s="131" cm="1">
        <f t="array" ref="J9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-1.4581571513473102E-3</v>
      </c>
      <c r="K90" s="131" cm="1">
        <f t="array" ref="K9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-1.5028998639128738E-3</v>
      </c>
      <c r="L90" s="131" cm="1">
        <f t="array" ref="L9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-1.4666731638694E-3</v>
      </c>
    </row>
    <row r="91" spans="3:12" outlineLevel="1">
      <c r="C91" s="20" t="s">
        <v>73</v>
      </c>
      <c r="D91" s="20" t="s">
        <v>273</v>
      </c>
      <c r="E91" s="53" t="s">
        <v>68</v>
      </c>
      <c r="F91" s="20" t="s">
        <v>66</v>
      </c>
      <c r="G91" s="20" t="s">
        <v>82</v>
      </c>
      <c r="H91" s="131" cm="1">
        <f t="array" ref="H9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-1.5163188160491386E-3</v>
      </c>
      <c r="I91" s="131" cm="1">
        <f t="array" ref="I9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-1.4706741766286147E-3</v>
      </c>
      <c r="J91" s="131" cm="1">
        <f t="array" ref="J9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-1.4581571513473102E-3</v>
      </c>
      <c r="K91" s="131" cm="1">
        <f t="array" ref="K9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-1.5028998639128738E-3</v>
      </c>
      <c r="L91" s="131" cm="1">
        <f t="array" ref="L9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-1.4666731638694E-3</v>
      </c>
    </row>
    <row r="92" spans="3:12" outlineLevel="1">
      <c r="C92" s="20" t="s">
        <v>70</v>
      </c>
      <c r="D92" s="20" t="s">
        <v>274</v>
      </c>
      <c r="E92" s="53" t="s">
        <v>68</v>
      </c>
      <c r="F92" s="20" t="s">
        <v>66</v>
      </c>
      <c r="G92" s="20" t="s">
        <v>82</v>
      </c>
      <c r="H92" s="131" t="str" cm="1">
        <f t="array" ref="H9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92" s="131" cm="1">
        <f t="array" ref="I9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2" s="131" cm="1">
        <f t="array" ref="J9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2" s="131" cm="1">
        <f t="array" ref="K9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2" s="131" cm="1">
        <f t="array" ref="L9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3" spans="3:12" outlineLevel="1">
      <c r="C93" s="20" t="s">
        <v>67</v>
      </c>
      <c r="D93" s="20" t="s">
        <v>274</v>
      </c>
      <c r="E93" s="53" t="s">
        <v>68</v>
      </c>
      <c r="F93" s="20" t="s">
        <v>66</v>
      </c>
      <c r="G93" s="20" t="s">
        <v>82</v>
      </c>
      <c r="H93" s="131" cm="1">
        <f t="array" ref="H9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3" s="131" t="str" cm="1">
        <f t="array" ref="I9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3" s="131" t="str" cm="1">
        <f t="array" ref="J9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3" s="131" t="str" cm="1">
        <f t="array" ref="K9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3" s="131" t="str" cm="1">
        <f t="array" ref="L9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4" spans="3:12" outlineLevel="1">
      <c r="C94" s="20" t="s">
        <v>69</v>
      </c>
      <c r="D94" s="20" t="s">
        <v>274</v>
      </c>
      <c r="E94" s="53" t="s">
        <v>68</v>
      </c>
      <c r="F94" s="20" t="s">
        <v>66</v>
      </c>
      <c r="G94" s="20" t="s">
        <v>82</v>
      </c>
      <c r="H94" s="131" cm="1">
        <f t="array" ref="H9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4" s="131" t="str" cm="1">
        <f t="array" ref="I9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4" s="131" t="str" cm="1">
        <f t="array" ref="J9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4" s="131" t="str" cm="1">
        <f t="array" ref="K9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4" s="131" t="str" cm="1">
        <f t="array" ref="L9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5" spans="3:12" outlineLevel="1">
      <c r="C95" s="20" t="s">
        <v>72</v>
      </c>
      <c r="D95" s="20" t="s">
        <v>274</v>
      </c>
      <c r="E95" s="53" t="s">
        <v>68</v>
      </c>
      <c r="F95" s="20" t="s">
        <v>66</v>
      </c>
      <c r="G95" s="20" t="s">
        <v>82</v>
      </c>
      <c r="H95" s="131" cm="1">
        <f t="array" ref="H9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5" s="131" cm="1">
        <f t="array" ref="I9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5" s="131" cm="1">
        <f t="array" ref="J9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5" s="131" cm="1">
        <f t="array" ref="K9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5" s="131" cm="1">
        <f t="array" ref="L9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6" spans="3:12" outlineLevel="1">
      <c r="C96" s="20" t="s">
        <v>73</v>
      </c>
      <c r="D96" s="20" t="s">
        <v>274</v>
      </c>
      <c r="E96" s="53" t="s">
        <v>68</v>
      </c>
      <c r="F96" s="20" t="s">
        <v>66</v>
      </c>
      <c r="G96" s="20" t="s">
        <v>82</v>
      </c>
      <c r="H96" s="131" cm="1">
        <f t="array" ref="H9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6" s="131" cm="1">
        <f t="array" ref="I9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6" s="131" cm="1">
        <f t="array" ref="J9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6" s="131" cm="1">
        <f t="array" ref="K9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6" s="131" cm="1">
        <f t="array" ref="L9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7" spans="3:12" outlineLevel="1"/>
    <row r="98" spans="3:12" ht="15.5" outlineLevel="1">
      <c r="C98" s="26" t="s">
        <v>14</v>
      </c>
    </row>
    <row r="99" spans="3:12" ht="15.5" outlineLevel="1">
      <c r="C99" s="110" t="s">
        <v>261</v>
      </c>
      <c r="D99" s="110" t="s">
        <v>173</v>
      </c>
      <c r="E99" s="110" t="s">
        <v>56</v>
      </c>
      <c r="F99" s="110" t="s">
        <v>57</v>
      </c>
      <c r="G99" s="110" t="s">
        <v>32</v>
      </c>
      <c r="H99" s="45" t="s">
        <v>58</v>
      </c>
      <c r="I99" s="45" t="s">
        <v>59</v>
      </c>
      <c r="J99" s="45" t="s">
        <v>60</v>
      </c>
      <c r="K99" s="45" t="s">
        <v>61</v>
      </c>
      <c r="L99" s="45" t="s">
        <v>62</v>
      </c>
    </row>
    <row r="100" spans="3:12" ht="15.5" outlineLevel="1">
      <c r="C100" s="20" t="s">
        <v>70</v>
      </c>
      <c r="D100" s="20" t="s">
        <v>272</v>
      </c>
      <c r="E100" s="53" t="s">
        <v>68</v>
      </c>
      <c r="F100" s="20" t="s">
        <v>65</v>
      </c>
      <c r="G100" s="20" t="s">
        <v>82</v>
      </c>
      <c r="H100" s="84" t="str">
        <f>IF(H64="-","-",
IF(
ROUND(H64,8)=
ROUND(SUMIFS(Calc_TUV_EnvGroup_1[Ausnet],Calc_TUV_EnvGroup_1[[Cost item]:[Cost item]],$D100,Calc_TUV_EnvGroup_1[[Cost element]:[Cost element]],$G100)*($F$58/$F$59),8),
0,1))</f>
        <v>-</v>
      </c>
      <c r="I100" s="84">
        <f>IF(I64="-","-",
IF(
ROUND(I64,8)=
ROUND(SUMIFS(Calc_TUV_EnvGroup_1[Citipower],Calc_TUV_EnvGroup_1[[Cost item]:[Cost item]],$D100,Calc_TUV_EnvGroup_1[[Cost element]:[Cost element]],$G100)*($F$58/$F$59),8),
0,1))</f>
        <v>0</v>
      </c>
      <c r="J100" s="84">
        <f>IF(J64="-","-",
IF(
ROUND(J64,8)=
ROUND(SUMIFS(Calc_TUV_EnvGroup_1[Jemena],Calc_TUV_EnvGroup_1[[Cost item]:[Cost item]],$D100,Calc_TUV_EnvGroup_1[[Cost element]:[Cost element]],$G100)*($F$58/$F$59),8),
0,1))</f>
        <v>0</v>
      </c>
      <c r="K100" s="84">
        <f>IF(K64="-","-",
IF(
ROUND(K64,8)=
ROUND(SUMIFS(Calc_TUV_EnvGroup_1[Powercor],Calc_TUV_EnvGroup_1[[Cost item]:[Cost item]],$D100,Calc_TUV_EnvGroup_1[[Cost element]:[Cost element]],$G100)*($F$58/$F$59),8),
0,1))</f>
        <v>0</v>
      </c>
      <c r="L100" s="84">
        <f>IF(L64="-","-",
IF(
ROUND(L64,8)=
ROUND(SUMIFS(Calc_TUV_EnvGroup_1[United Energy],Calc_TUV_EnvGroup_1[[Cost item]:[Cost item]],$D100,Calc_TUV_EnvGroup_1[[Cost element]:[Cost element]],$G100)*($F$58/$F$59),8),
0,1))</f>
        <v>0</v>
      </c>
    </row>
    <row r="101" spans="3:12" ht="15.5" outlineLevel="1">
      <c r="C101" s="20" t="s">
        <v>67</v>
      </c>
      <c r="D101" s="20" t="s">
        <v>272</v>
      </c>
      <c r="E101" s="53" t="s">
        <v>68</v>
      </c>
      <c r="F101" s="20" t="s">
        <v>65</v>
      </c>
      <c r="G101" s="20" t="s">
        <v>82</v>
      </c>
      <c r="H101" s="84">
        <f>IF(H65="-","-",
IF(
ROUND(H65,8)=
ROUND(SUMIFS(Calc_TUV_EnvGroup_1[Ausnet],Calc_TUV_EnvGroup_1[[Cost item]:[Cost item]],$D101,Calc_TUV_EnvGroup_1[[Cost element]:[Cost element]],$G101)*($F$58/$F$59),8),
0,1))</f>
        <v>0</v>
      </c>
      <c r="I101" s="84" t="str">
        <f>IF(I65="-","-",
IF(
ROUND(I65,8)=
ROUND(SUMIFS(Calc_TUV_EnvGroup_1[Citipower],Calc_TUV_EnvGroup_1[[Cost item]:[Cost item]],$D101,Calc_TUV_EnvGroup_1[[Cost element]:[Cost element]],$G101)*($F$58/$F$59),8),
0,1))</f>
        <v>-</v>
      </c>
      <c r="J101" s="84" t="str">
        <f>IF(J65="-","-",
IF(
ROUND(J65,8)=
ROUND(SUMIFS(Calc_TUV_EnvGroup_1[Jemena],Calc_TUV_EnvGroup_1[[Cost item]:[Cost item]],$D101,Calc_TUV_EnvGroup_1[[Cost element]:[Cost element]],$G101)*($F$58/$F$59),8),
0,1))</f>
        <v>-</v>
      </c>
      <c r="K101" s="84" t="str">
        <f>IF(K65="-","-",
IF(
ROUND(K65,8)=
ROUND(SUMIFS(Calc_TUV_EnvGroup_1[Powercor],Calc_TUV_EnvGroup_1[[Cost item]:[Cost item]],$D101,Calc_TUV_EnvGroup_1[[Cost element]:[Cost element]],$G101)*($F$58/$F$59),8),
0,1))</f>
        <v>-</v>
      </c>
      <c r="L101" s="84" t="str">
        <f>IF(L65="-","-",
IF(
ROUND(L65,8)=
ROUND(SUMIFS(Calc_TUV_EnvGroup_1[United Energy],Calc_TUV_EnvGroup_1[[Cost item]:[Cost item]],$D101,Calc_TUV_EnvGroup_1[[Cost element]:[Cost element]],$G101)*($F$58/$F$59),8),
0,1))</f>
        <v>-</v>
      </c>
    </row>
    <row r="102" spans="3:12" ht="15.5" outlineLevel="1">
      <c r="C102" s="20" t="s">
        <v>69</v>
      </c>
      <c r="D102" s="20" t="s">
        <v>272</v>
      </c>
      <c r="E102" s="53" t="s">
        <v>68</v>
      </c>
      <c r="F102" s="20" t="s">
        <v>65</v>
      </c>
      <c r="G102" s="20" t="s">
        <v>82</v>
      </c>
      <c r="H102" s="84">
        <f>IF(H66="-","-",
IF(
ROUND(H66,8)=
ROUND(SUMIFS(Calc_TUV_EnvGroup_1[Ausnet],Calc_TUV_EnvGroup_1[[Cost item]:[Cost item]],$D102,Calc_TUV_EnvGroup_1[[Cost element]:[Cost element]],$G102)*($F$58/$F$59),8),
0,1))</f>
        <v>0</v>
      </c>
      <c r="I102" s="84" t="str">
        <f>IF(I66="-","-",
IF(
ROUND(I66,8)=
ROUND(SUMIFS(Calc_TUV_EnvGroup_1[Citipower],Calc_TUV_EnvGroup_1[[Cost item]:[Cost item]],$D102,Calc_TUV_EnvGroup_1[[Cost element]:[Cost element]],$G102)*($F$58/$F$59),8),
0,1))</f>
        <v>-</v>
      </c>
      <c r="J102" s="84" t="str">
        <f>IF(J66="-","-",
IF(
ROUND(J66,8)=
ROUND(SUMIFS(Calc_TUV_EnvGroup_1[Jemena],Calc_TUV_EnvGroup_1[[Cost item]:[Cost item]],$D102,Calc_TUV_EnvGroup_1[[Cost element]:[Cost element]],$G102)*($F$58/$F$59),8),
0,1))</f>
        <v>-</v>
      </c>
      <c r="K102" s="84" t="str">
        <f>IF(K66="-","-",
IF(
ROUND(K66,8)=
ROUND(SUMIFS(Calc_TUV_EnvGroup_1[Powercor],Calc_TUV_EnvGroup_1[[Cost item]:[Cost item]],$D102,Calc_TUV_EnvGroup_1[[Cost element]:[Cost element]],$G102)*($F$58/$F$59),8),
0,1))</f>
        <v>-</v>
      </c>
      <c r="L102" s="84" t="str">
        <f>IF(L66="-","-",
IF(
ROUND(L66,8)=
ROUND(SUMIFS(Calc_TUV_EnvGroup_1[United Energy],Calc_TUV_EnvGroup_1[[Cost item]:[Cost item]],$D102,Calc_TUV_EnvGroup_1[[Cost element]:[Cost element]],$G102)*($F$58/$F$59),8),
0,1))</f>
        <v>-</v>
      </c>
    </row>
    <row r="103" spans="3:12" ht="15.5" outlineLevel="1">
      <c r="C103" s="20" t="s">
        <v>74</v>
      </c>
      <c r="D103" s="20" t="s">
        <v>272</v>
      </c>
      <c r="E103" s="53" t="s">
        <v>68</v>
      </c>
      <c r="F103" s="20" t="s">
        <v>65</v>
      </c>
      <c r="G103" s="20" t="s">
        <v>82</v>
      </c>
      <c r="H103" s="84">
        <f>IF(H67="-","-",
IF(
ROUND(H67,8)=
ROUND(SUMIFS(Calc_TUV_EnvGroup_1[Ausnet],Calc_TUV_EnvGroup_1[[Cost item]:[Cost item]],$D103,Calc_TUV_EnvGroup_1[[Cost element]:[Cost element]],$G103)*($F$58/$F$59),8),
0,1))</f>
        <v>0</v>
      </c>
      <c r="I103" s="84">
        <f>IF(I67="-","-",
IF(
ROUND(I67,8)=
ROUND(SUMIFS(Calc_TUV_EnvGroup_1[Citipower],Calc_TUV_EnvGroup_1[[Cost item]:[Cost item]],$D103,Calc_TUV_EnvGroup_1[[Cost element]:[Cost element]],$G103)*($F$58/$F$59),8),
0,1))</f>
        <v>0</v>
      </c>
      <c r="J103" s="84">
        <f>IF(J67="-","-",
IF(
ROUND(J67,8)=
ROUND(SUMIFS(Calc_TUV_EnvGroup_1[Jemena],Calc_TUV_EnvGroup_1[[Cost item]:[Cost item]],$D103,Calc_TUV_EnvGroup_1[[Cost element]:[Cost element]],$G103)*($F$58/$F$59),8),
0,1))</f>
        <v>0</v>
      </c>
      <c r="K103" s="84">
        <f>IF(K67="-","-",
IF(
ROUND(K67,8)=
ROUND(SUMIFS(Calc_TUV_EnvGroup_1[Powercor],Calc_TUV_EnvGroup_1[[Cost item]:[Cost item]],$D103,Calc_TUV_EnvGroup_1[[Cost element]:[Cost element]],$G103)*($F$58/$F$59),8),
0,1))</f>
        <v>0</v>
      </c>
      <c r="L103" s="84">
        <f>IF(L67="-","-",
IF(
ROUND(L67,8)=
ROUND(SUMIFS(Calc_TUV_EnvGroup_1[United Energy],Calc_TUV_EnvGroup_1[[Cost item]:[Cost item]],$D103,Calc_TUV_EnvGroup_1[[Cost element]:[Cost element]],$G103)*($F$58/$F$59),8),
0,1))</f>
        <v>0</v>
      </c>
    </row>
    <row r="104" spans="3:12" ht="15.5" outlineLevel="1">
      <c r="C104" s="20" t="s">
        <v>72</v>
      </c>
      <c r="D104" s="20" t="s">
        <v>272</v>
      </c>
      <c r="E104" s="53" t="s">
        <v>68</v>
      </c>
      <c r="F104" s="20" t="s">
        <v>65</v>
      </c>
      <c r="G104" s="20" t="s">
        <v>82</v>
      </c>
      <c r="H104" s="84">
        <f>IF(H68="-","-",
IF(
ROUND(H68,8)=
ROUND(SUMIFS(Calc_TUV_EnvGroup_1[Ausnet],Calc_TUV_EnvGroup_1[[Cost item]:[Cost item]],$D104,Calc_TUV_EnvGroup_1[[Cost element]:[Cost element]],$G104)*($F$58/$F$59),8),
0,1))</f>
        <v>0</v>
      </c>
      <c r="I104" s="84">
        <f>IF(I68="-","-",
IF(
ROUND(I68,8)=
ROUND(SUMIFS(Calc_TUV_EnvGroup_1[Citipower],Calc_TUV_EnvGroup_1[[Cost item]:[Cost item]],$D104,Calc_TUV_EnvGroup_1[[Cost element]:[Cost element]],$G104)*($F$58/$F$59),8),
0,1))</f>
        <v>0</v>
      </c>
      <c r="J104" s="84">
        <f>IF(J68="-","-",
IF(
ROUND(J68,8)=
ROUND(SUMIFS(Calc_TUV_EnvGroup_1[Jemena],Calc_TUV_EnvGroup_1[[Cost item]:[Cost item]],$D104,Calc_TUV_EnvGroup_1[[Cost element]:[Cost element]],$G104)*($F$58/$F$59),8),
0,1))</f>
        <v>0</v>
      </c>
      <c r="K104" s="84">
        <f>IF(K68="-","-",
IF(
ROUND(K68,8)=
ROUND(SUMIFS(Calc_TUV_EnvGroup_1[Powercor],Calc_TUV_EnvGroup_1[[Cost item]:[Cost item]],$D104,Calc_TUV_EnvGroup_1[[Cost element]:[Cost element]],$G104)*($F$58/$F$59),8),
0,1))</f>
        <v>0</v>
      </c>
      <c r="L104" s="84">
        <f>IF(L68="-","-",
IF(
ROUND(L68,8)=
ROUND(SUMIFS(Calc_TUV_EnvGroup_1[United Energy],Calc_TUV_EnvGroup_1[[Cost item]:[Cost item]],$D104,Calc_TUV_EnvGroup_1[[Cost element]:[Cost element]],$G104)*($F$58/$F$59),8),
0,1))</f>
        <v>0</v>
      </c>
    </row>
    <row r="105" spans="3:12" ht="15.5" outlineLevel="1">
      <c r="C105" s="20" t="s">
        <v>73</v>
      </c>
      <c r="D105" s="20" t="s">
        <v>272</v>
      </c>
      <c r="E105" s="53" t="s">
        <v>68</v>
      </c>
      <c r="F105" s="20" t="s">
        <v>65</v>
      </c>
      <c r="G105" s="20" t="s">
        <v>82</v>
      </c>
      <c r="H105" s="84">
        <f>IF(H69="-","-",
IF(
ROUND(H69,8)=
ROUND(SUMIFS(Calc_TUV_EnvGroup_1[Ausnet],Calc_TUV_EnvGroup_1[[Cost item]:[Cost item]],$D105,Calc_TUV_EnvGroup_1[[Cost element]:[Cost element]],$G105)*($F$58/$F$59),8),
0,1))</f>
        <v>0</v>
      </c>
      <c r="I105" s="84">
        <f>IF(I69="-","-",
IF(
ROUND(I69,8)=
ROUND(SUMIFS(Calc_TUV_EnvGroup_1[Citipower],Calc_TUV_EnvGroup_1[[Cost item]:[Cost item]],$D105,Calc_TUV_EnvGroup_1[[Cost element]:[Cost element]],$G105)*($F$58/$F$59),8),
0,1))</f>
        <v>0</v>
      </c>
      <c r="J105" s="84">
        <f>IF(J69="-","-",
IF(
ROUND(J69,8)=
ROUND(SUMIFS(Calc_TUV_EnvGroup_1[Jemena],Calc_TUV_EnvGroup_1[[Cost item]:[Cost item]],$D105,Calc_TUV_EnvGroup_1[[Cost element]:[Cost element]],$G105)*($F$58/$F$59),8),
0,1))</f>
        <v>0</v>
      </c>
      <c r="K105" s="84">
        <f>IF(K69="-","-",
IF(
ROUND(K69,8)=
ROUND(SUMIFS(Calc_TUV_EnvGroup_1[Powercor],Calc_TUV_EnvGroup_1[[Cost item]:[Cost item]],$D105,Calc_TUV_EnvGroup_1[[Cost element]:[Cost element]],$G105)*($F$58/$F$59),8),
0,1))</f>
        <v>0</v>
      </c>
      <c r="L105" s="84">
        <f>IF(L69="-","-",
IF(
ROUND(L69,8)=
ROUND(SUMIFS(Calc_TUV_EnvGroup_1[United Energy],Calc_TUV_EnvGroup_1[[Cost item]:[Cost item]],$D105,Calc_TUV_EnvGroup_1[[Cost element]:[Cost element]],$G105)*($F$58/$F$59),8),
0,1))</f>
        <v>0</v>
      </c>
    </row>
    <row r="106" spans="3:12" ht="15.5" outlineLevel="1">
      <c r="C106" s="20" t="s">
        <v>70</v>
      </c>
      <c r="D106" s="20" t="s">
        <v>273</v>
      </c>
      <c r="E106" s="53" t="s">
        <v>68</v>
      </c>
      <c r="F106" s="20" t="s">
        <v>65</v>
      </c>
      <c r="G106" s="20" t="s">
        <v>82</v>
      </c>
      <c r="H106" s="84" t="str">
        <f>IF(H70="-","-",
IF(
ROUND(H70,8)=
ROUND(SUMIFS(Calc_TUV_EnvGroup_1[Ausnet],Calc_TUV_EnvGroup_1[[Cost item]:[Cost item]],$D106,Calc_TUV_EnvGroup_1[[Cost element]:[Cost element]],$G106)*($F$58/$F$59),8),
0,1))</f>
        <v>-</v>
      </c>
      <c r="I106" s="84">
        <f>IF(I70="-","-",
IF(
ROUND(I70,8)=
ROUND(SUMIFS(Calc_TUV_EnvGroup_1[Citipower],Calc_TUV_EnvGroup_1[[Cost item]:[Cost item]],$D106,Calc_TUV_EnvGroup_1[[Cost element]:[Cost element]],$G106)*($F$58/$F$59),8),
0,1))</f>
        <v>0</v>
      </c>
      <c r="J106" s="84">
        <f>IF(J70="-","-",
IF(
ROUND(J70,8)=
ROUND(SUMIFS(Calc_TUV_EnvGroup_1[Jemena],Calc_TUV_EnvGroup_1[[Cost item]:[Cost item]],$D106,Calc_TUV_EnvGroup_1[[Cost element]:[Cost element]],$G106)*($F$58/$F$59),8),
0,1))</f>
        <v>0</v>
      </c>
      <c r="K106" s="84">
        <f>IF(K70="-","-",
IF(
ROUND(K70,8)=
ROUND(SUMIFS(Calc_TUV_EnvGroup_1[Powercor],Calc_TUV_EnvGroup_1[[Cost item]:[Cost item]],$D106,Calc_TUV_EnvGroup_1[[Cost element]:[Cost element]],$G106)*($F$58/$F$59),8),
0,1))</f>
        <v>0</v>
      </c>
      <c r="L106" s="84">
        <f>IF(L70="-","-",
IF(
ROUND(L70,8)=
ROUND(SUMIFS(Calc_TUV_EnvGroup_1[United Energy],Calc_TUV_EnvGroup_1[[Cost item]:[Cost item]],$D106,Calc_TUV_EnvGroup_1[[Cost element]:[Cost element]],$G106)*($F$58/$F$59),8),
0,1))</f>
        <v>0</v>
      </c>
    </row>
    <row r="107" spans="3:12" ht="15.5" outlineLevel="1">
      <c r="C107" s="20" t="s">
        <v>67</v>
      </c>
      <c r="D107" s="20" t="s">
        <v>273</v>
      </c>
      <c r="E107" s="53" t="s">
        <v>68</v>
      </c>
      <c r="F107" s="20" t="s">
        <v>65</v>
      </c>
      <c r="G107" s="20" t="s">
        <v>82</v>
      </c>
      <c r="H107" s="84">
        <f>IF(H71="-","-",
IF(
ROUND(H71,8)=
ROUND(SUMIFS(Calc_TUV_EnvGroup_1[Ausnet],Calc_TUV_EnvGroup_1[[Cost item]:[Cost item]],$D107,Calc_TUV_EnvGroup_1[[Cost element]:[Cost element]],$G107)*($F$58/$F$59),8),
0,1))</f>
        <v>0</v>
      </c>
      <c r="I107" s="84" t="str">
        <f>IF(I71="-","-",
IF(
ROUND(I71,8)=
ROUND(SUMIFS(Calc_TUV_EnvGroup_1[Citipower],Calc_TUV_EnvGroup_1[[Cost item]:[Cost item]],$D107,Calc_TUV_EnvGroup_1[[Cost element]:[Cost element]],$G107)*($F$58/$F$59),8),
0,1))</f>
        <v>-</v>
      </c>
      <c r="J107" s="84" t="str">
        <f>IF(J71="-","-",
IF(
ROUND(J71,8)=
ROUND(SUMIFS(Calc_TUV_EnvGroup_1[Jemena],Calc_TUV_EnvGroup_1[[Cost item]:[Cost item]],$D107,Calc_TUV_EnvGroup_1[[Cost element]:[Cost element]],$G107)*($F$58/$F$59),8),
0,1))</f>
        <v>-</v>
      </c>
      <c r="K107" s="84" t="str">
        <f>IF(K71="-","-",
IF(
ROUND(K71,8)=
ROUND(SUMIFS(Calc_TUV_EnvGroup_1[Powercor],Calc_TUV_EnvGroup_1[[Cost item]:[Cost item]],$D107,Calc_TUV_EnvGroup_1[[Cost element]:[Cost element]],$G107)*($F$58/$F$59),8),
0,1))</f>
        <v>-</v>
      </c>
      <c r="L107" s="84" t="str">
        <f>IF(L71="-","-",
IF(
ROUND(L71,8)=
ROUND(SUMIFS(Calc_TUV_EnvGroup_1[United Energy],Calc_TUV_EnvGroup_1[[Cost item]:[Cost item]],$D107,Calc_TUV_EnvGroup_1[[Cost element]:[Cost element]],$G107)*($F$58/$F$59),8),
0,1))</f>
        <v>-</v>
      </c>
    </row>
    <row r="108" spans="3:12" ht="15.5" outlineLevel="1">
      <c r="C108" s="20" t="s">
        <v>69</v>
      </c>
      <c r="D108" s="20" t="s">
        <v>273</v>
      </c>
      <c r="E108" s="53" t="s">
        <v>68</v>
      </c>
      <c r="F108" s="20" t="s">
        <v>65</v>
      </c>
      <c r="G108" s="20" t="s">
        <v>82</v>
      </c>
      <c r="H108" s="84">
        <f>IF(H72="-","-",
IF(
ROUND(H72,8)=
ROUND(SUMIFS(Calc_TUV_EnvGroup_1[Ausnet],Calc_TUV_EnvGroup_1[[Cost item]:[Cost item]],$D108,Calc_TUV_EnvGroup_1[[Cost element]:[Cost element]],$G108)*($F$58/$F$59),8),
0,1))</f>
        <v>0</v>
      </c>
      <c r="I108" s="84" t="str">
        <f>IF(I72="-","-",
IF(
ROUND(I72,8)=
ROUND(SUMIFS(Calc_TUV_EnvGroup_1[Citipower],Calc_TUV_EnvGroup_1[[Cost item]:[Cost item]],$D108,Calc_TUV_EnvGroup_1[[Cost element]:[Cost element]],$G108)*($F$58/$F$59),8),
0,1))</f>
        <v>-</v>
      </c>
      <c r="J108" s="84" t="str">
        <f>IF(J72="-","-",
IF(
ROUND(J72,8)=
ROUND(SUMIFS(Calc_TUV_EnvGroup_1[Jemena],Calc_TUV_EnvGroup_1[[Cost item]:[Cost item]],$D108,Calc_TUV_EnvGroup_1[[Cost element]:[Cost element]],$G108)*($F$58/$F$59),8),
0,1))</f>
        <v>-</v>
      </c>
      <c r="K108" s="84" t="str">
        <f>IF(K72="-","-",
IF(
ROUND(K72,8)=
ROUND(SUMIFS(Calc_TUV_EnvGroup_1[Powercor],Calc_TUV_EnvGroup_1[[Cost item]:[Cost item]],$D108,Calc_TUV_EnvGroup_1[[Cost element]:[Cost element]],$G108)*($F$58/$F$59),8),
0,1))</f>
        <v>-</v>
      </c>
      <c r="L108" s="84" t="str">
        <f>IF(L72="-","-",
IF(
ROUND(L72,8)=
ROUND(SUMIFS(Calc_TUV_EnvGroup_1[United Energy],Calc_TUV_EnvGroup_1[[Cost item]:[Cost item]],$D108,Calc_TUV_EnvGroup_1[[Cost element]:[Cost element]],$G108)*($F$58/$F$59),8),
0,1))</f>
        <v>-</v>
      </c>
    </row>
    <row r="109" spans="3:12" ht="15.5" outlineLevel="1">
      <c r="C109" s="20" t="s">
        <v>74</v>
      </c>
      <c r="D109" s="20" t="s">
        <v>273</v>
      </c>
      <c r="E109" s="53" t="s">
        <v>68</v>
      </c>
      <c r="F109" s="20" t="s">
        <v>65</v>
      </c>
      <c r="G109" s="20" t="s">
        <v>82</v>
      </c>
      <c r="H109" s="84">
        <f>IF(H73="-","-",
IF(
ROUND(H73,8)=
ROUND(SUMIFS(Calc_TUV_EnvGroup_1[Ausnet],Calc_TUV_EnvGroup_1[[Cost item]:[Cost item]],$D109,Calc_TUV_EnvGroup_1[[Cost element]:[Cost element]],$G109)*($F$58/$F$59),8),
0,1))</f>
        <v>0</v>
      </c>
      <c r="I109" s="84">
        <f>IF(I73="-","-",
IF(
ROUND(I73,8)=
ROUND(SUMIFS(Calc_TUV_EnvGroup_1[Citipower],Calc_TUV_EnvGroup_1[[Cost item]:[Cost item]],$D109,Calc_TUV_EnvGroup_1[[Cost element]:[Cost element]],$G109)*($F$58/$F$59),8),
0,1))</f>
        <v>0</v>
      </c>
      <c r="J109" s="84">
        <f>IF(J73="-","-",
IF(
ROUND(J73,8)=
ROUND(SUMIFS(Calc_TUV_EnvGroup_1[Jemena],Calc_TUV_EnvGroup_1[[Cost item]:[Cost item]],$D109,Calc_TUV_EnvGroup_1[[Cost element]:[Cost element]],$G109)*($F$58/$F$59),8),
0,1))</f>
        <v>0</v>
      </c>
      <c r="K109" s="84">
        <f>IF(K73="-","-",
IF(
ROUND(K73,8)=
ROUND(SUMIFS(Calc_TUV_EnvGroup_1[Powercor],Calc_TUV_EnvGroup_1[[Cost item]:[Cost item]],$D109,Calc_TUV_EnvGroup_1[[Cost element]:[Cost element]],$G109)*($F$58/$F$59),8),
0,1))</f>
        <v>0</v>
      </c>
      <c r="L109" s="84">
        <f>IF(L73="-","-",
IF(
ROUND(L73,8)=
ROUND(SUMIFS(Calc_TUV_EnvGroup_1[United Energy],Calc_TUV_EnvGroup_1[[Cost item]:[Cost item]],$D109,Calc_TUV_EnvGroup_1[[Cost element]:[Cost element]],$G109)*($F$58/$F$59),8),
0,1))</f>
        <v>0</v>
      </c>
    </row>
    <row r="110" spans="3:12" ht="15.5" outlineLevel="1">
      <c r="C110" s="20" t="s">
        <v>72</v>
      </c>
      <c r="D110" s="20" t="s">
        <v>273</v>
      </c>
      <c r="E110" s="53" t="s">
        <v>68</v>
      </c>
      <c r="F110" s="20" t="s">
        <v>65</v>
      </c>
      <c r="G110" s="20" t="s">
        <v>82</v>
      </c>
      <c r="H110" s="84">
        <f>IF(H74="-","-",
IF(
ROUND(H74,8)=
ROUND(SUMIFS(Calc_TUV_EnvGroup_1[Ausnet],Calc_TUV_EnvGroup_1[[Cost item]:[Cost item]],$D110,Calc_TUV_EnvGroup_1[[Cost element]:[Cost element]],$G110)*($F$58/$F$59),8),
0,1))</f>
        <v>0</v>
      </c>
      <c r="I110" s="84">
        <f>IF(I74="-","-",
IF(
ROUND(I74,8)=
ROUND(SUMIFS(Calc_TUV_EnvGroup_1[Citipower],Calc_TUV_EnvGroup_1[[Cost item]:[Cost item]],$D110,Calc_TUV_EnvGroup_1[[Cost element]:[Cost element]],$G110)*($F$58/$F$59),8),
0,1))</f>
        <v>0</v>
      </c>
      <c r="J110" s="84">
        <f>IF(J74="-","-",
IF(
ROUND(J74,8)=
ROUND(SUMIFS(Calc_TUV_EnvGroup_1[Jemena],Calc_TUV_EnvGroup_1[[Cost item]:[Cost item]],$D110,Calc_TUV_EnvGroup_1[[Cost element]:[Cost element]],$G110)*($F$58/$F$59),8),
0,1))</f>
        <v>0</v>
      </c>
      <c r="K110" s="84">
        <f>IF(K74="-","-",
IF(
ROUND(K74,8)=
ROUND(SUMIFS(Calc_TUV_EnvGroup_1[Powercor],Calc_TUV_EnvGroup_1[[Cost item]:[Cost item]],$D110,Calc_TUV_EnvGroup_1[[Cost element]:[Cost element]],$G110)*($F$58/$F$59),8),
0,1))</f>
        <v>0</v>
      </c>
      <c r="L110" s="84">
        <f>IF(L74="-","-",
IF(
ROUND(L74,8)=
ROUND(SUMIFS(Calc_TUV_EnvGroup_1[United Energy],Calc_TUV_EnvGroup_1[[Cost item]:[Cost item]],$D110,Calc_TUV_EnvGroup_1[[Cost element]:[Cost element]],$G110)*($F$58/$F$59),8),
0,1))</f>
        <v>0</v>
      </c>
    </row>
    <row r="111" spans="3:12" ht="15.5" outlineLevel="1">
      <c r="C111" s="20" t="s">
        <v>73</v>
      </c>
      <c r="D111" s="20" t="s">
        <v>273</v>
      </c>
      <c r="E111" s="53" t="s">
        <v>68</v>
      </c>
      <c r="F111" s="20" t="s">
        <v>65</v>
      </c>
      <c r="G111" s="20" t="s">
        <v>82</v>
      </c>
      <c r="H111" s="84">
        <f>IF(H75="-","-",
IF(
ROUND(H75,8)=
ROUND(SUMIFS(Calc_TUV_EnvGroup_1[Ausnet],Calc_TUV_EnvGroup_1[[Cost item]:[Cost item]],$D111,Calc_TUV_EnvGroup_1[[Cost element]:[Cost element]],$G111)*($F$58/$F$59),8),
0,1))</f>
        <v>0</v>
      </c>
      <c r="I111" s="84">
        <f>IF(I75="-","-",
IF(
ROUND(I75,8)=
ROUND(SUMIFS(Calc_TUV_EnvGroup_1[Citipower],Calc_TUV_EnvGroup_1[[Cost item]:[Cost item]],$D111,Calc_TUV_EnvGroup_1[[Cost element]:[Cost element]],$G111)*($F$58/$F$59),8),
0,1))</f>
        <v>0</v>
      </c>
      <c r="J111" s="84">
        <f>IF(J75="-","-",
IF(
ROUND(J75,8)=
ROUND(SUMIFS(Calc_TUV_EnvGroup_1[Jemena],Calc_TUV_EnvGroup_1[[Cost item]:[Cost item]],$D111,Calc_TUV_EnvGroup_1[[Cost element]:[Cost element]],$G111)*($F$58/$F$59),8),
0,1))</f>
        <v>0</v>
      </c>
      <c r="K111" s="84">
        <f>IF(K75="-","-",
IF(
ROUND(K75,8)=
ROUND(SUMIFS(Calc_TUV_EnvGroup_1[Powercor],Calc_TUV_EnvGroup_1[[Cost item]:[Cost item]],$D111,Calc_TUV_EnvGroup_1[[Cost element]:[Cost element]],$G111)*($F$58/$F$59),8),
0,1))</f>
        <v>0</v>
      </c>
      <c r="L111" s="84">
        <f>IF(L75="-","-",
IF(
ROUND(L75,8)=
ROUND(SUMIFS(Calc_TUV_EnvGroup_1[United Energy],Calc_TUV_EnvGroup_1[[Cost item]:[Cost item]],$D111,Calc_TUV_EnvGroup_1[[Cost element]:[Cost element]],$G111)*($F$58/$F$59),8),
0,1))</f>
        <v>0</v>
      </c>
    </row>
    <row r="112" spans="3:12" ht="15.5" outlineLevel="1">
      <c r="C112" s="20" t="s">
        <v>70</v>
      </c>
      <c r="D112" s="20" t="s">
        <v>274</v>
      </c>
      <c r="E112" s="53" t="s">
        <v>68</v>
      </c>
      <c r="F112" s="20" t="s">
        <v>65</v>
      </c>
      <c r="G112" s="20" t="s">
        <v>82</v>
      </c>
      <c r="H112" s="84" t="str">
        <f>IF(H76="-","-",
IF(
ROUND(H76,8)=
ROUND(SUMIFS(Calc_TUV_EnvGroup_1[Ausnet],Calc_TUV_EnvGroup_1[[Cost item]:[Cost item]],$D112,Calc_TUV_EnvGroup_1[[Cost element]:[Cost element]],$G112)*($F$58/$F$59),8),
0,1))</f>
        <v>-</v>
      </c>
      <c r="I112" s="84">
        <f>IF(I76="-","-",
IF(
ROUND(I76,8)=
ROUND(SUMIFS(Calc_TUV_EnvGroup_1[Citipower],Calc_TUV_EnvGroup_1[[Cost item]:[Cost item]],$D112,Calc_TUV_EnvGroup_1[[Cost element]:[Cost element]],$G112)*($F$58/$F$59),8),
0,1))</f>
        <v>0</v>
      </c>
      <c r="J112" s="84">
        <f>IF(J76="-","-",
IF(
ROUND(J76,8)=
ROUND(SUMIFS(Calc_TUV_EnvGroup_1[Jemena],Calc_TUV_EnvGroup_1[[Cost item]:[Cost item]],$D112,Calc_TUV_EnvGroup_1[[Cost element]:[Cost element]],$G112)*($F$58/$F$59),8),
0,1))</f>
        <v>0</v>
      </c>
      <c r="K112" s="84">
        <f>IF(K76="-","-",
IF(
ROUND(K76,8)=
ROUND(SUMIFS(Calc_TUV_EnvGroup_1[Powercor],Calc_TUV_EnvGroup_1[[Cost item]:[Cost item]],$D112,Calc_TUV_EnvGroup_1[[Cost element]:[Cost element]],$G112)*($F$58/$F$59),8),
0,1))</f>
        <v>0</v>
      </c>
      <c r="L112" s="84">
        <f>IF(L76="-","-",
IF(
ROUND(L76,8)=
ROUND(SUMIFS(Calc_TUV_EnvGroup_1[United Energy],Calc_TUV_EnvGroup_1[[Cost item]:[Cost item]],$D112,Calc_TUV_EnvGroup_1[[Cost element]:[Cost element]],$G112)*($F$58/$F$59),8),
0,1))</f>
        <v>0</v>
      </c>
    </row>
    <row r="113" spans="3:12" ht="15.5" outlineLevel="1">
      <c r="C113" s="20" t="s">
        <v>67</v>
      </c>
      <c r="D113" s="20" t="s">
        <v>274</v>
      </c>
      <c r="E113" s="53" t="s">
        <v>68</v>
      </c>
      <c r="F113" s="20" t="s">
        <v>65</v>
      </c>
      <c r="G113" s="20" t="s">
        <v>82</v>
      </c>
      <c r="H113" s="84">
        <f>IF(H77="-","-",
IF(
ROUND(H77,8)=
ROUND(SUMIFS(Calc_TUV_EnvGroup_1[Ausnet],Calc_TUV_EnvGroup_1[[Cost item]:[Cost item]],$D113,Calc_TUV_EnvGroup_1[[Cost element]:[Cost element]],$G113)*($F$58/$F$59),8),
0,1))</f>
        <v>0</v>
      </c>
      <c r="I113" s="84" t="str">
        <f>IF(I77="-","-",
IF(
ROUND(I77,8)=
ROUND(SUMIFS(Calc_TUV_EnvGroup_1[Citipower],Calc_TUV_EnvGroup_1[[Cost item]:[Cost item]],$D113,Calc_TUV_EnvGroup_1[[Cost element]:[Cost element]],$G113)*($F$58/$F$59),8),
0,1))</f>
        <v>-</v>
      </c>
      <c r="J113" s="84" t="str">
        <f>IF(J77="-","-",
IF(
ROUND(J77,8)=
ROUND(SUMIFS(Calc_TUV_EnvGroup_1[Jemena],Calc_TUV_EnvGroup_1[[Cost item]:[Cost item]],$D113,Calc_TUV_EnvGroup_1[[Cost element]:[Cost element]],$G113)*($F$58/$F$59),8),
0,1))</f>
        <v>-</v>
      </c>
      <c r="K113" s="84" t="str">
        <f>IF(K77="-","-",
IF(
ROUND(K77,8)=
ROUND(SUMIFS(Calc_TUV_EnvGroup_1[Powercor],Calc_TUV_EnvGroup_1[[Cost item]:[Cost item]],$D113,Calc_TUV_EnvGroup_1[[Cost element]:[Cost element]],$G113)*($F$58/$F$59),8),
0,1))</f>
        <v>-</v>
      </c>
      <c r="L113" s="84" t="str">
        <f>IF(L77="-","-",
IF(
ROUND(L77,8)=
ROUND(SUMIFS(Calc_TUV_EnvGroup_1[United Energy],Calc_TUV_EnvGroup_1[[Cost item]:[Cost item]],$D113,Calc_TUV_EnvGroup_1[[Cost element]:[Cost element]],$G113)*($F$58/$F$59),8),
0,1))</f>
        <v>-</v>
      </c>
    </row>
    <row r="114" spans="3:12" ht="15.5" outlineLevel="1">
      <c r="C114" s="20" t="s">
        <v>69</v>
      </c>
      <c r="D114" s="20" t="s">
        <v>274</v>
      </c>
      <c r="E114" s="53" t="s">
        <v>68</v>
      </c>
      <c r="F114" s="20" t="s">
        <v>65</v>
      </c>
      <c r="G114" s="20" t="s">
        <v>82</v>
      </c>
      <c r="H114" s="84">
        <f>IF(H78="-","-",
IF(
ROUND(H78,8)=
ROUND(SUMIFS(Calc_TUV_EnvGroup_1[Ausnet],Calc_TUV_EnvGroup_1[[Cost item]:[Cost item]],$D114,Calc_TUV_EnvGroup_1[[Cost element]:[Cost element]],$G114)*($F$58/$F$59),8),
0,1))</f>
        <v>0</v>
      </c>
      <c r="I114" s="84" t="str">
        <f>IF(I78="-","-",
IF(
ROUND(I78,8)=
ROUND(SUMIFS(Calc_TUV_EnvGroup_1[Citipower],Calc_TUV_EnvGroup_1[[Cost item]:[Cost item]],$D114,Calc_TUV_EnvGroup_1[[Cost element]:[Cost element]],$G114)*($F$58/$F$59),8),
0,1))</f>
        <v>-</v>
      </c>
      <c r="J114" s="84" t="str">
        <f>IF(J78="-","-",
IF(
ROUND(J78,8)=
ROUND(SUMIFS(Calc_TUV_EnvGroup_1[Jemena],Calc_TUV_EnvGroup_1[[Cost item]:[Cost item]],$D114,Calc_TUV_EnvGroup_1[[Cost element]:[Cost element]],$G114)*($F$58/$F$59),8),
0,1))</f>
        <v>-</v>
      </c>
      <c r="K114" s="84" t="str">
        <f>IF(K78="-","-",
IF(
ROUND(K78,8)=
ROUND(SUMIFS(Calc_TUV_EnvGroup_1[Powercor],Calc_TUV_EnvGroup_1[[Cost item]:[Cost item]],$D114,Calc_TUV_EnvGroup_1[[Cost element]:[Cost element]],$G114)*($F$58/$F$59),8),
0,1))</f>
        <v>-</v>
      </c>
      <c r="L114" s="84" t="str">
        <f>IF(L78="-","-",
IF(
ROUND(L78,8)=
ROUND(SUMIFS(Calc_TUV_EnvGroup_1[United Energy],Calc_TUV_EnvGroup_1[[Cost item]:[Cost item]],$D114,Calc_TUV_EnvGroup_1[[Cost element]:[Cost element]],$G114)*($F$58/$F$59),8),
0,1))</f>
        <v>-</v>
      </c>
    </row>
    <row r="115" spans="3:12" ht="15.5" outlineLevel="1">
      <c r="C115" s="20" t="s">
        <v>74</v>
      </c>
      <c r="D115" s="20" t="s">
        <v>274</v>
      </c>
      <c r="E115" s="53" t="s">
        <v>68</v>
      </c>
      <c r="F115" s="20" t="s">
        <v>65</v>
      </c>
      <c r="G115" s="20" t="s">
        <v>82</v>
      </c>
      <c r="H115" s="84">
        <f>IF(H79="-","-",
IF(
ROUND(H79,8)=
ROUND(SUMIFS(Calc_TUV_EnvGroup_1[Ausnet],Calc_TUV_EnvGroup_1[[Cost item]:[Cost item]],$D115,Calc_TUV_EnvGroup_1[[Cost element]:[Cost element]],$G115)*($F$58/$F$59),8),
0,1))</f>
        <v>0</v>
      </c>
      <c r="I115" s="84">
        <f>IF(I79="-","-",
IF(
ROUND(I79,8)=
ROUND(SUMIFS(Calc_TUV_EnvGroup_1[Citipower],Calc_TUV_EnvGroup_1[[Cost item]:[Cost item]],$D115,Calc_TUV_EnvGroup_1[[Cost element]:[Cost element]],$G115)*($F$58/$F$59),8),
0,1))</f>
        <v>0</v>
      </c>
      <c r="J115" s="84">
        <f>IF(J79="-","-",
IF(
ROUND(J79,8)=
ROUND(SUMIFS(Calc_TUV_EnvGroup_1[Jemena],Calc_TUV_EnvGroup_1[[Cost item]:[Cost item]],$D115,Calc_TUV_EnvGroup_1[[Cost element]:[Cost element]],$G115)*($F$58/$F$59),8),
0,1))</f>
        <v>0</v>
      </c>
      <c r="K115" s="84">
        <f>IF(K79="-","-",
IF(
ROUND(K79,8)=
ROUND(SUMIFS(Calc_TUV_EnvGroup_1[Powercor],Calc_TUV_EnvGroup_1[[Cost item]:[Cost item]],$D115,Calc_TUV_EnvGroup_1[[Cost element]:[Cost element]],$G115)*($F$58/$F$59),8),
0,1))</f>
        <v>0</v>
      </c>
      <c r="L115" s="84">
        <f>IF(L79="-","-",
IF(
ROUND(L79,8)=
ROUND(SUMIFS(Calc_TUV_EnvGroup_1[United Energy],Calc_TUV_EnvGroup_1[[Cost item]:[Cost item]],$D115,Calc_TUV_EnvGroup_1[[Cost element]:[Cost element]],$G115)*($F$58/$F$59),8),
0,1))</f>
        <v>0</v>
      </c>
    </row>
    <row r="116" spans="3:12" ht="15.5" outlineLevel="1">
      <c r="C116" s="20" t="s">
        <v>72</v>
      </c>
      <c r="D116" s="20" t="s">
        <v>274</v>
      </c>
      <c r="E116" s="53" t="s">
        <v>68</v>
      </c>
      <c r="F116" s="20" t="s">
        <v>65</v>
      </c>
      <c r="G116" s="20" t="s">
        <v>82</v>
      </c>
      <c r="H116" s="84">
        <f>IF(H80="-","-",
IF(
ROUND(H80,8)=
ROUND(SUMIFS(Calc_TUV_EnvGroup_1[Ausnet],Calc_TUV_EnvGroup_1[[Cost item]:[Cost item]],$D116,Calc_TUV_EnvGroup_1[[Cost element]:[Cost element]],$G116)*($F$58/$F$59),8),
0,1))</f>
        <v>0</v>
      </c>
      <c r="I116" s="84">
        <f>IF(I80="-","-",
IF(
ROUND(I80,8)=
ROUND(SUMIFS(Calc_TUV_EnvGroup_1[Citipower],Calc_TUV_EnvGroup_1[[Cost item]:[Cost item]],$D116,Calc_TUV_EnvGroup_1[[Cost element]:[Cost element]],$G116)*($F$58/$F$59),8),
0,1))</f>
        <v>0</v>
      </c>
      <c r="J116" s="84">
        <f>IF(J80="-","-",
IF(
ROUND(J80,8)=
ROUND(SUMIFS(Calc_TUV_EnvGroup_1[Jemena],Calc_TUV_EnvGroup_1[[Cost item]:[Cost item]],$D116,Calc_TUV_EnvGroup_1[[Cost element]:[Cost element]],$G116)*($F$58/$F$59),8),
0,1))</f>
        <v>0</v>
      </c>
      <c r="K116" s="84">
        <f>IF(K80="-","-",
IF(
ROUND(K80,8)=
ROUND(SUMIFS(Calc_TUV_EnvGroup_1[Powercor],Calc_TUV_EnvGroup_1[[Cost item]:[Cost item]],$D116,Calc_TUV_EnvGroup_1[[Cost element]:[Cost element]],$G116)*($F$58/$F$59),8),
0,1))</f>
        <v>0</v>
      </c>
      <c r="L116" s="84">
        <f>IF(L80="-","-",
IF(
ROUND(L80,8)=
ROUND(SUMIFS(Calc_TUV_EnvGroup_1[United Energy],Calc_TUV_EnvGroup_1[[Cost item]:[Cost item]],$D116,Calc_TUV_EnvGroup_1[[Cost element]:[Cost element]],$G116)*($F$58/$F$59),8),
0,1))</f>
        <v>0</v>
      </c>
    </row>
    <row r="117" spans="3:12" ht="15.5" outlineLevel="1">
      <c r="C117" s="20" t="s">
        <v>73</v>
      </c>
      <c r="D117" s="20" t="s">
        <v>274</v>
      </c>
      <c r="E117" s="53" t="s">
        <v>68</v>
      </c>
      <c r="F117" s="20" t="s">
        <v>65</v>
      </c>
      <c r="G117" s="20" t="s">
        <v>82</v>
      </c>
      <c r="H117" s="84">
        <f>IF(H81="-","-",
IF(
ROUND(H81,8)=
ROUND(SUMIFS(Calc_TUV_EnvGroup_1[Ausnet],Calc_TUV_EnvGroup_1[[Cost item]:[Cost item]],$D117,Calc_TUV_EnvGroup_1[[Cost element]:[Cost element]],$G117)*($F$58/$F$59),8),
0,1))</f>
        <v>0</v>
      </c>
      <c r="I117" s="84">
        <f>IF(I81="-","-",
IF(
ROUND(I81,8)=
ROUND(SUMIFS(Calc_TUV_EnvGroup_1[Citipower],Calc_TUV_EnvGroup_1[[Cost item]:[Cost item]],$D117,Calc_TUV_EnvGroup_1[[Cost element]:[Cost element]],$G117)*($F$58/$F$59),8),
0,1))</f>
        <v>0</v>
      </c>
      <c r="J117" s="84">
        <f>IF(J81="-","-",
IF(
ROUND(J81,8)=
ROUND(SUMIFS(Calc_TUV_EnvGroup_1[Jemena],Calc_TUV_EnvGroup_1[[Cost item]:[Cost item]],$D117,Calc_TUV_EnvGroup_1[[Cost element]:[Cost element]],$G117)*($F$58/$F$59),8),
0,1))</f>
        <v>0</v>
      </c>
      <c r="K117" s="84">
        <f>IF(K81="-","-",
IF(
ROUND(K81,8)=
ROUND(SUMIFS(Calc_TUV_EnvGroup_1[Powercor],Calc_TUV_EnvGroup_1[[Cost item]:[Cost item]],$D117,Calc_TUV_EnvGroup_1[[Cost element]:[Cost element]],$G117)*($F$58/$F$59),8),
0,1))</f>
        <v>0</v>
      </c>
      <c r="L117" s="84">
        <f>IF(L81="-","-",
IF(
ROUND(L81,8)=
ROUND(SUMIFS(Calc_TUV_EnvGroup_1[United Energy],Calc_TUV_EnvGroup_1[[Cost item]:[Cost item]],$D117,Calc_TUV_EnvGroup_1[[Cost element]:[Cost element]],$G117)*($F$58/$F$59),8),
0,1))</f>
        <v>0</v>
      </c>
    </row>
    <row r="118" spans="3:12" ht="15.5" outlineLevel="1">
      <c r="C118" s="20" t="s">
        <v>70</v>
      </c>
      <c r="D118" s="20" t="s">
        <v>272</v>
      </c>
      <c r="E118" s="53" t="s">
        <v>68</v>
      </c>
      <c r="F118" s="20" t="s">
        <v>66</v>
      </c>
      <c r="G118" s="20" t="s">
        <v>82</v>
      </c>
      <c r="H118" s="84" t="str">
        <f>IF(H82="-","-",
IF(
ROUND(H82,8)=
ROUND(SUMIFS(Calc_TUV_EnvGroup_1[Ausnet],Calc_TUV_EnvGroup_1[[Cost item]:[Cost item]],$D118,Calc_TUV_EnvGroup_1[[Cost element]:[Cost element]],$G118)*($F$58/$F$59),8),
0,1))</f>
        <v>-</v>
      </c>
      <c r="I118" s="84">
        <f>IF(I82="-","-",
IF(
ROUND(I82,8)=
ROUND(SUMIFS(Calc_TUV_EnvGroup_1[Citipower],Calc_TUV_EnvGroup_1[[Cost item]:[Cost item]],$D118,Calc_TUV_EnvGroup_1[[Cost element]:[Cost element]],$G118)*($F$58/$F$59),8),
0,1))</f>
        <v>0</v>
      </c>
      <c r="J118" s="84">
        <f>IF(J82="-","-",
IF(
ROUND(J82,8)=
ROUND(SUMIFS(Calc_TUV_EnvGroup_1[Jemena],Calc_TUV_EnvGroup_1[[Cost item]:[Cost item]],$D118,Calc_TUV_EnvGroup_1[[Cost element]:[Cost element]],$G118)*($F$58/$F$59),8),
0,1))</f>
        <v>0</v>
      </c>
      <c r="K118" s="84">
        <f>IF(K82="-","-",
IF(
ROUND(K82,8)=
ROUND(SUMIFS(Calc_TUV_EnvGroup_1[Powercor],Calc_TUV_EnvGroup_1[[Cost item]:[Cost item]],$D118,Calc_TUV_EnvGroup_1[[Cost element]:[Cost element]],$G118)*($F$58/$F$59),8),
0,1))</f>
        <v>0</v>
      </c>
      <c r="L118" s="84">
        <f>IF(L82="-","-",
IF(
ROUND(L82,8)=
ROUND(SUMIFS(Calc_TUV_EnvGroup_1[United Energy],Calc_TUV_EnvGroup_1[[Cost item]:[Cost item]],$D118,Calc_TUV_EnvGroup_1[[Cost element]:[Cost element]],$G118)*($F$58/$F$59),8),
0,1))</f>
        <v>0</v>
      </c>
    </row>
    <row r="119" spans="3:12" ht="15.5" outlineLevel="1">
      <c r="C119" s="20" t="s">
        <v>67</v>
      </c>
      <c r="D119" s="20" t="s">
        <v>272</v>
      </c>
      <c r="E119" s="53" t="s">
        <v>68</v>
      </c>
      <c r="F119" s="20" t="s">
        <v>66</v>
      </c>
      <c r="G119" s="20" t="s">
        <v>82</v>
      </c>
      <c r="H119" s="84">
        <f>IF(H83="-","-",
IF(
ROUND(H83,8)=
ROUND(SUMIFS(Calc_TUV_EnvGroup_1[Ausnet],Calc_TUV_EnvGroup_1[[Cost item]:[Cost item]],$D119,Calc_TUV_EnvGroup_1[[Cost element]:[Cost element]],$G119)*($F$58/$F$59),8),
0,1))</f>
        <v>0</v>
      </c>
      <c r="I119" s="84" t="str">
        <f>IF(I83="-","-",
IF(
ROUND(I83,8)=
ROUND(SUMIFS(Calc_TUV_EnvGroup_1[Citipower],Calc_TUV_EnvGroup_1[[Cost item]:[Cost item]],$D119,Calc_TUV_EnvGroup_1[[Cost element]:[Cost element]],$G119)*($F$58/$F$59),8),
0,1))</f>
        <v>-</v>
      </c>
      <c r="J119" s="84" t="str">
        <f>IF(J83="-","-",
IF(
ROUND(J83,8)=
ROUND(SUMIFS(Calc_TUV_EnvGroup_1[Jemena],Calc_TUV_EnvGroup_1[[Cost item]:[Cost item]],$D119,Calc_TUV_EnvGroup_1[[Cost element]:[Cost element]],$G119)*($F$58/$F$59),8),
0,1))</f>
        <v>-</v>
      </c>
      <c r="K119" s="84" t="str">
        <f>IF(K83="-","-",
IF(
ROUND(K83,8)=
ROUND(SUMIFS(Calc_TUV_EnvGroup_1[Powercor],Calc_TUV_EnvGroup_1[[Cost item]:[Cost item]],$D119,Calc_TUV_EnvGroup_1[[Cost element]:[Cost element]],$G119)*($F$58/$F$59),8),
0,1))</f>
        <v>-</v>
      </c>
      <c r="L119" s="84" t="str">
        <f>IF(L83="-","-",
IF(
ROUND(L83,8)=
ROUND(SUMIFS(Calc_TUV_EnvGroup_1[United Energy],Calc_TUV_EnvGroup_1[[Cost item]:[Cost item]],$D119,Calc_TUV_EnvGroup_1[[Cost element]:[Cost element]],$G119)*($F$58/$F$59),8),
0,1))</f>
        <v>-</v>
      </c>
    </row>
    <row r="120" spans="3:12" ht="15.5" outlineLevel="1">
      <c r="C120" s="20" t="s">
        <v>69</v>
      </c>
      <c r="D120" s="20" t="s">
        <v>272</v>
      </c>
      <c r="E120" s="53" t="s">
        <v>68</v>
      </c>
      <c r="F120" s="20" t="s">
        <v>66</v>
      </c>
      <c r="G120" s="20" t="s">
        <v>82</v>
      </c>
      <c r="H120" s="84">
        <f>IF(H84="-","-",
IF(
ROUND(H84,8)=
ROUND(SUMIFS(Calc_TUV_EnvGroup_1[Ausnet],Calc_TUV_EnvGroup_1[[Cost item]:[Cost item]],$D120,Calc_TUV_EnvGroup_1[[Cost element]:[Cost element]],$G120)*($F$58/$F$59),8),
0,1))</f>
        <v>0</v>
      </c>
      <c r="I120" s="84" t="str">
        <f>IF(I84="-","-",
IF(
ROUND(I84,8)=
ROUND(SUMIFS(Calc_TUV_EnvGroup_1[Citipower],Calc_TUV_EnvGroup_1[[Cost item]:[Cost item]],$D120,Calc_TUV_EnvGroup_1[[Cost element]:[Cost element]],$G120)*($F$58/$F$59),8),
0,1))</f>
        <v>-</v>
      </c>
      <c r="J120" s="84" t="str">
        <f>IF(J84="-","-",
IF(
ROUND(J84,8)=
ROUND(SUMIFS(Calc_TUV_EnvGroup_1[Jemena],Calc_TUV_EnvGroup_1[[Cost item]:[Cost item]],$D120,Calc_TUV_EnvGroup_1[[Cost element]:[Cost element]],$G120)*($F$58/$F$59),8),
0,1))</f>
        <v>-</v>
      </c>
      <c r="K120" s="84" t="str">
        <f>IF(K84="-","-",
IF(
ROUND(K84,8)=
ROUND(SUMIFS(Calc_TUV_EnvGroup_1[Powercor],Calc_TUV_EnvGroup_1[[Cost item]:[Cost item]],$D120,Calc_TUV_EnvGroup_1[[Cost element]:[Cost element]],$G120)*($F$58/$F$59),8),
0,1))</f>
        <v>-</v>
      </c>
      <c r="L120" s="84" t="str">
        <f>IF(L84="-","-",
IF(
ROUND(L84,8)=
ROUND(SUMIFS(Calc_TUV_EnvGroup_1[United Energy],Calc_TUV_EnvGroup_1[[Cost item]:[Cost item]],$D120,Calc_TUV_EnvGroup_1[[Cost element]:[Cost element]],$G120)*($F$58/$F$59),8),
0,1))</f>
        <v>-</v>
      </c>
    </row>
    <row r="121" spans="3:12" ht="15.5" outlineLevel="1">
      <c r="C121" s="20" t="s">
        <v>72</v>
      </c>
      <c r="D121" s="20" t="s">
        <v>272</v>
      </c>
      <c r="E121" s="53" t="s">
        <v>68</v>
      </c>
      <c r="F121" s="20" t="s">
        <v>66</v>
      </c>
      <c r="G121" s="20" t="s">
        <v>82</v>
      </c>
      <c r="H121" s="84">
        <f>IF(H85="-","-",
IF(
ROUND(H85,8)=
ROUND(SUMIFS(Calc_TUV_EnvGroup_1[Ausnet],Calc_TUV_EnvGroup_1[[Cost item]:[Cost item]],$D121,Calc_TUV_EnvGroup_1[[Cost element]:[Cost element]],$G121)*($F$58/$F$59),8),
0,1))</f>
        <v>0</v>
      </c>
      <c r="I121" s="84">
        <f>IF(I85="-","-",
IF(
ROUND(I85,8)=
ROUND(SUMIFS(Calc_TUV_EnvGroup_1[Citipower],Calc_TUV_EnvGroup_1[[Cost item]:[Cost item]],$D121,Calc_TUV_EnvGroup_1[[Cost element]:[Cost element]],$G121)*($F$58/$F$59),8),
0,1))</f>
        <v>0</v>
      </c>
      <c r="J121" s="84">
        <f>IF(J85="-","-",
IF(
ROUND(J85,8)=
ROUND(SUMIFS(Calc_TUV_EnvGroup_1[Jemena],Calc_TUV_EnvGroup_1[[Cost item]:[Cost item]],$D121,Calc_TUV_EnvGroup_1[[Cost element]:[Cost element]],$G121)*($F$58/$F$59),8),
0,1))</f>
        <v>0</v>
      </c>
      <c r="K121" s="84">
        <f>IF(K85="-","-",
IF(
ROUND(K85,8)=
ROUND(SUMIFS(Calc_TUV_EnvGroup_1[Powercor],Calc_TUV_EnvGroup_1[[Cost item]:[Cost item]],$D121,Calc_TUV_EnvGroup_1[[Cost element]:[Cost element]],$G121)*($F$58/$F$59),8),
0,1))</f>
        <v>0</v>
      </c>
      <c r="L121" s="84">
        <f>IF(L85="-","-",
IF(
ROUND(L85,8)=
ROUND(SUMIFS(Calc_TUV_EnvGroup_1[United Energy],Calc_TUV_EnvGroup_1[[Cost item]:[Cost item]],$D121,Calc_TUV_EnvGroup_1[[Cost element]:[Cost element]],$G121)*($F$58/$F$59),8),
0,1))</f>
        <v>0</v>
      </c>
    </row>
    <row r="122" spans="3:12" ht="15.5" outlineLevel="1">
      <c r="C122" s="20" t="s">
        <v>73</v>
      </c>
      <c r="D122" s="20" t="s">
        <v>272</v>
      </c>
      <c r="E122" s="53" t="s">
        <v>68</v>
      </c>
      <c r="F122" s="20" t="s">
        <v>66</v>
      </c>
      <c r="G122" s="20" t="s">
        <v>82</v>
      </c>
      <c r="H122" s="84">
        <f>IF(H86="-","-",
IF(
ROUND(H86,8)=
ROUND(SUMIFS(Calc_TUV_EnvGroup_1[Ausnet],Calc_TUV_EnvGroup_1[[Cost item]:[Cost item]],$D122,Calc_TUV_EnvGroup_1[[Cost element]:[Cost element]],$G122)*($F$58/$F$59),8),
0,1))</f>
        <v>0</v>
      </c>
      <c r="I122" s="84">
        <f>IF(I86="-","-",
IF(
ROUND(I86,8)=
ROUND(SUMIFS(Calc_TUV_EnvGroup_1[Citipower],Calc_TUV_EnvGroup_1[[Cost item]:[Cost item]],$D122,Calc_TUV_EnvGroup_1[[Cost element]:[Cost element]],$G122)*($F$58/$F$59),8),
0,1))</f>
        <v>0</v>
      </c>
      <c r="J122" s="84">
        <f>IF(J86="-","-",
IF(
ROUND(J86,8)=
ROUND(SUMIFS(Calc_TUV_EnvGroup_1[Jemena],Calc_TUV_EnvGroup_1[[Cost item]:[Cost item]],$D122,Calc_TUV_EnvGroup_1[[Cost element]:[Cost element]],$G122)*($F$58/$F$59),8),
0,1))</f>
        <v>0</v>
      </c>
      <c r="K122" s="84">
        <f>IF(K86="-","-",
IF(
ROUND(K86,8)=
ROUND(SUMIFS(Calc_TUV_EnvGroup_1[Powercor],Calc_TUV_EnvGroup_1[[Cost item]:[Cost item]],$D122,Calc_TUV_EnvGroup_1[[Cost element]:[Cost element]],$G122)*($F$58/$F$59),8),
0,1))</f>
        <v>0</v>
      </c>
      <c r="L122" s="84">
        <f>IF(L86="-","-",
IF(
ROUND(L86,8)=
ROUND(SUMIFS(Calc_TUV_EnvGroup_1[United Energy],Calc_TUV_EnvGroup_1[[Cost item]:[Cost item]],$D122,Calc_TUV_EnvGroup_1[[Cost element]:[Cost element]],$G122)*($F$58/$F$59),8),
0,1))</f>
        <v>0</v>
      </c>
    </row>
    <row r="123" spans="3:12" ht="15.5" outlineLevel="1">
      <c r="C123" s="20" t="s">
        <v>70</v>
      </c>
      <c r="D123" s="20" t="s">
        <v>273</v>
      </c>
      <c r="E123" s="53" t="s">
        <v>68</v>
      </c>
      <c r="F123" s="20" t="s">
        <v>66</v>
      </c>
      <c r="G123" s="20" t="s">
        <v>82</v>
      </c>
      <c r="H123" s="84" t="str">
        <f>IF(H87="-","-",
IF(
ROUND(H87,8)=
ROUND(SUMIFS(Calc_TUV_EnvGroup_1[Ausnet],Calc_TUV_EnvGroup_1[[Cost item]:[Cost item]],$D123,Calc_TUV_EnvGroup_1[[Cost element]:[Cost element]],$G123)*($F$58/$F$59),8),
0,1))</f>
        <v>-</v>
      </c>
      <c r="I123" s="84">
        <f>IF(I87="-","-",
IF(
ROUND(I87,8)=
ROUND(SUMIFS(Calc_TUV_EnvGroup_1[Citipower],Calc_TUV_EnvGroup_1[[Cost item]:[Cost item]],$D123,Calc_TUV_EnvGroup_1[[Cost element]:[Cost element]],$G123)*($F$58/$F$59),8),
0,1))</f>
        <v>0</v>
      </c>
      <c r="J123" s="84">
        <f>IF(J87="-","-",
IF(
ROUND(J87,8)=
ROUND(SUMIFS(Calc_TUV_EnvGroup_1[Jemena],Calc_TUV_EnvGroup_1[[Cost item]:[Cost item]],$D123,Calc_TUV_EnvGroup_1[[Cost element]:[Cost element]],$G123)*($F$58/$F$59),8),
0,1))</f>
        <v>0</v>
      </c>
      <c r="K123" s="84">
        <f>IF(K87="-","-",
IF(
ROUND(K87,8)=
ROUND(SUMIFS(Calc_TUV_EnvGroup_1[Powercor],Calc_TUV_EnvGroup_1[[Cost item]:[Cost item]],$D123,Calc_TUV_EnvGroup_1[[Cost element]:[Cost element]],$G123)*($F$58/$F$59),8),
0,1))</f>
        <v>0</v>
      </c>
      <c r="L123" s="84">
        <f>IF(L87="-","-",
IF(
ROUND(L87,8)=
ROUND(SUMIFS(Calc_TUV_EnvGroup_1[United Energy],Calc_TUV_EnvGroup_1[[Cost item]:[Cost item]],$D123,Calc_TUV_EnvGroup_1[[Cost element]:[Cost element]],$G123)*($F$58/$F$59),8),
0,1))</f>
        <v>0</v>
      </c>
    </row>
    <row r="124" spans="3:12" ht="15.5" outlineLevel="1">
      <c r="C124" s="20" t="s">
        <v>67</v>
      </c>
      <c r="D124" s="20" t="s">
        <v>273</v>
      </c>
      <c r="E124" s="53" t="s">
        <v>68</v>
      </c>
      <c r="F124" s="20" t="s">
        <v>66</v>
      </c>
      <c r="G124" s="20" t="s">
        <v>82</v>
      </c>
      <c r="H124" s="84">
        <f>IF(H88="-","-",
IF(
ROUND(H88,8)=
ROUND(SUMIFS(Calc_TUV_EnvGroup_1[Ausnet],Calc_TUV_EnvGroup_1[[Cost item]:[Cost item]],$D124,Calc_TUV_EnvGroup_1[[Cost element]:[Cost element]],$G124)*($F$58/$F$59),8),
0,1))</f>
        <v>0</v>
      </c>
      <c r="I124" s="84" t="str">
        <f>IF(I88="-","-",
IF(
ROUND(I88,8)=
ROUND(SUMIFS(Calc_TUV_EnvGroup_1[Citipower],Calc_TUV_EnvGroup_1[[Cost item]:[Cost item]],$D124,Calc_TUV_EnvGroup_1[[Cost element]:[Cost element]],$G124)*($F$58/$F$59),8),
0,1))</f>
        <v>-</v>
      </c>
      <c r="J124" s="84" t="str">
        <f>IF(J88="-","-",
IF(
ROUND(J88,8)=
ROUND(SUMIFS(Calc_TUV_EnvGroup_1[Jemena],Calc_TUV_EnvGroup_1[[Cost item]:[Cost item]],$D124,Calc_TUV_EnvGroup_1[[Cost element]:[Cost element]],$G124)*($F$58/$F$59),8),
0,1))</f>
        <v>-</v>
      </c>
      <c r="K124" s="84" t="str">
        <f>IF(K88="-","-",
IF(
ROUND(K88,8)=
ROUND(SUMIFS(Calc_TUV_EnvGroup_1[Powercor],Calc_TUV_EnvGroup_1[[Cost item]:[Cost item]],$D124,Calc_TUV_EnvGroup_1[[Cost element]:[Cost element]],$G124)*($F$58/$F$59),8),
0,1))</f>
        <v>-</v>
      </c>
      <c r="L124" s="84" t="str">
        <f>IF(L88="-","-",
IF(
ROUND(L88,8)=
ROUND(SUMIFS(Calc_TUV_EnvGroup_1[United Energy],Calc_TUV_EnvGroup_1[[Cost item]:[Cost item]],$D124,Calc_TUV_EnvGroup_1[[Cost element]:[Cost element]],$G124)*($F$58/$F$59),8),
0,1))</f>
        <v>-</v>
      </c>
    </row>
    <row r="125" spans="3:12" ht="15.5" outlineLevel="1">
      <c r="C125" s="20" t="s">
        <v>69</v>
      </c>
      <c r="D125" s="20" t="s">
        <v>273</v>
      </c>
      <c r="E125" s="53" t="s">
        <v>68</v>
      </c>
      <c r="F125" s="20" t="s">
        <v>66</v>
      </c>
      <c r="G125" s="20" t="s">
        <v>82</v>
      </c>
      <c r="H125" s="84">
        <f>IF(H89="-","-",
IF(
ROUND(H89,8)=
ROUND(SUMIFS(Calc_TUV_EnvGroup_1[Ausnet],Calc_TUV_EnvGroup_1[[Cost item]:[Cost item]],$D125,Calc_TUV_EnvGroup_1[[Cost element]:[Cost element]],$G125)*($F$58/$F$59),8),
0,1))</f>
        <v>0</v>
      </c>
      <c r="I125" s="84" t="str">
        <f>IF(I89="-","-",
IF(
ROUND(I89,8)=
ROUND(SUMIFS(Calc_TUV_EnvGroup_1[Citipower],Calc_TUV_EnvGroup_1[[Cost item]:[Cost item]],$D125,Calc_TUV_EnvGroup_1[[Cost element]:[Cost element]],$G125)*($F$58/$F$59),8),
0,1))</f>
        <v>-</v>
      </c>
      <c r="J125" s="84" t="str">
        <f>IF(J89="-","-",
IF(
ROUND(J89,8)=
ROUND(SUMIFS(Calc_TUV_EnvGroup_1[Jemena],Calc_TUV_EnvGroup_1[[Cost item]:[Cost item]],$D125,Calc_TUV_EnvGroup_1[[Cost element]:[Cost element]],$G125)*($F$58/$F$59),8),
0,1))</f>
        <v>-</v>
      </c>
      <c r="K125" s="84" t="str">
        <f>IF(K89="-","-",
IF(
ROUND(K89,8)=
ROUND(SUMIFS(Calc_TUV_EnvGroup_1[Powercor],Calc_TUV_EnvGroup_1[[Cost item]:[Cost item]],$D125,Calc_TUV_EnvGroup_1[[Cost element]:[Cost element]],$G125)*($F$58/$F$59),8),
0,1))</f>
        <v>-</v>
      </c>
      <c r="L125" s="84" t="str">
        <f>IF(L89="-","-",
IF(
ROUND(L89,8)=
ROUND(SUMIFS(Calc_TUV_EnvGroup_1[United Energy],Calc_TUV_EnvGroup_1[[Cost item]:[Cost item]],$D125,Calc_TUV_EnvGroup_1[[Cost element]:[Cost element]],$G125)*($F$58/$F$59),8),
0,1))</f>
        <v>-</v>
      </c>
    </row>
    <row r="126" spans="3:12" ht="15.5" outlineLevel="1">
      <c r="C126" s="20" t="s">
        <v>72</v>
      </c>
      <c r="D126" s="20" t="s">
        <v>273</v>
      </c>
      <c r="E126" s="53" t="s">
        <v>68</v>
      </c>
      <c r="F126" s="20" t="s">
        <v>66</v>
      </c>
      <c r="G126" s="20" t="s">
        <v>82</v>
      </c>
      <c r="H126" s="84">
        <f>IF(H90="-","-",
IF(
ROUND(H90,8)=
ROUND(SUMIFS(Calc_TUV_EnvGroup_1[Ausnet],Calc_TUV_EnvGroup_1[[Cost item]:[Cost item]],$D126,Calc_TUV_EnvGroup_1[[Cost element]:[Cost element]],$G126)*($F$58/$F$59),8),
0,1))</f>
        <v>0</v>
      </c>
      <c r="I126" s="84">
        <f>IF(I90="-","-",
IF(
ROUND(I90,8)=
ROUND(SUMIFS(Calc_TUV_EnvGroup_1[Citipower],Calc_TUV_EnvGroup_1[[Cost item]:[Cost item]],$D126,Calc_TUV_EnvGroup_1[[Cost element]:[Cost element]],$G126)*($F$58/$F$59),8),
0,1))</f>
        <v>0</v>
      </c>
      <c r="J126" s="84">
        <f>IF(J90="-","-",
IF(
ROUND(J90,8)=
ROUND(SUMIFS(Calc_TUV_EnvGroup_1[Jemena],Calc_TUV_EnvGroup_1[[Cost item]:[Cost item]],$D126,Calc_TUV_EnvGroup_1[[Cost element]:[Cost element]],$G126)*($F$58/$F$59),8),
0,1))</f>
        <v>0</v>
      </c>
      <c r="K126" s="84">
        <f>IF(K90="-","-",
IF(
ROUND(K90,8)=
ROUND(SUMIFS(Calc_TUV_EnvGroup_1[Powercor],Calc_TUV_EnvGroup_1[[Cost item]:[Cost item]],$D126,Calc_TUV_EnvGroup_1[[Cost element]:[Cost element]],$G126)*($F$58/$F$59),8),
0,1))</f>
        <v>0</v>
      </c>
      <c r="L126" s="84">
        <f>IF(L90="-","-",
IF(
ROUND(L90,8)=
ROUND(SUMIFS(Calc_TUV_EnvGroup_1[United Energy],Calc_TUV_EnvGroup_1[[Cost item]:[Cost item]],$D126,Calc_TUV_EnvGroup_1[[Cost element]:[Cost element]],$G126)*($F$58/$F$59),8),
0,1))</f>
        <v>0</v>
      </c>
    </row>
    <row r="127" spans="3:12" ht="15.5" outlineLevel="1">
      <c r="C127" s="20" t="s">
        <v>73</v>
      </c>
      <c r="D127" s="20" t="s">
        <v>273</v>
      </c>
      <c r="E127" s="53" t="s">
        <v>68</v>
      </c>
      <c r="F127" s="20" t="s">
        <v>66</v>
      </c>
      <c r="G127" s="20" t="s">
        <v>82</v>
      </c>
      <c r="H127" s="84">
        <f>IF(H91="-","-",
IF(
ROUND(H91,8)=
ROUND(SUMIFS(Calc_TUV_EnvGroup_1[Ausnet],Calc_TUV_EnvGroup_1[[Cost item]:[Cost item]],$D127,Calc_TUV_EnvGroup_1[[Cost element]:[Cost element]],$G127)*($F$58/$F$59),8),
0,1))</f>
        <v>0</v>
      </c>
      <c r="I127" s="84">
        <f>IF(I91="-","-",
IF(
ROUND(I91,8)=
ROUND(SUMIFS(Calc_TUV_EnvGroup_1[Citipower],Calc_TUV_EnvGroup_1[[Cost item]:[Cost item]],$D127,Calc_TUV_EnvGroup_1[[Cost element]:[Cost element]],$G127)*($F$58/$F$59),8),
0,1))</f>
        <v>0</v>
      </c>
      <c r="J127" s="84">
        <f>IF(J91="-","-",
IF(
ROUND(J91,8)=
ROUND(SUMIFS(Calc_TUV_EnvGroup_1[Jemena],Calc_TUV_EnvGroup_1[[Cost item]:[Cost item]],$D127,Calc_TUV_EnvGroup_1[[Cost element]:[Cost element]],$G127)*($F$58/$F$59),8),
0,1))</f>
        <v>0</v>
      </c>
      <c r="K127" s="84">
        <f>IF(K91="-","-",
IF(
ROUND(K91,8)=
ROUND(SUMIFS(Calc_TUV_EnvGroup_1[Powercor],Calc_TUV_EnvGroup_1[[Cost item]:[Cost item]],$D127,Calc_TUV_EnvGroup_1[[Cost element]:[Cost element]],$G127)*($F$58/$F$59),8),
0,1))</f>
        <v>0</v>
      </c>
      <c r="L127" s="84">
        <f>IF(L91="-","-",
IF(
ROUND(L91,8)=
ROUND(SUMIFS(Calc_TUV_EnvGroup_1[United Energy],Calc_TUV_EnvGroup_1[[Cost item]:[Cost item]],$D127,Calc_TUV_EnvGroup_1[[Cost element]:[Cost element]],$G127)*($F$58/$F$59),8),
0,1))</f>
        <v>0</v>
      </c>
    </row>
    <row r="128" spans="3:12" ht="15.5" outlineLevel="1">
      <c r="C128" s="20" t="s">
        <v>70</v>
      </c>
      <c r="D128" s="20" t="s">
        <v>274</v>
      </c>
      <c r="E128" s="53" t="s">
        <v>68</v>
      </c>
      <c r="F128" s="20" t="s">
        <v>66</v>
      </c>
      <c r="G128" s="20" t="s">
        <v>82</v>
      </c>
      <c r="H128" s="84" t="str">
        <f>IF(H92="-","-",
IF(
ROUND(H92,8)=
ROUND(SUMIFS(Calc_TUV_EnvGroup_1[Ausnet],Calc_TUV_EnvGroup_1[[Cost item]:[Cost item]],$D128,Calc_TUV_EnvGroup_1[[Cost element]:[Cost element]],$G128)*($F$58/$F$59),8),
0,1))</f>
        <v>-</v>
      </c>
      <c r="I128" s="84">
        <f>IF(I92="-","-",
IF(
ROUND(I92,8)=
ROUND(SUMIFS(Calc_TUV_EnvGroup_1[Citipower],Calc_TUV_EnvGroup_1[[Cost item]:[Cost item]],$D128,Calc_TUV_EnvGroup_1[[Cost element]:[Cost element]],$G128)*($F$58/$F$59),8),
0,1))</f>
        <v>0</v>
      </c>
      <c r="J128" s="84">
        <f>IF(J92="-","-",
IF(
ROUND(J92,8)=
ROUND(SUMIFS(Calc_TUV_EnvGroup_1[Jemena],Calc_TUV_EnvGroup_1[[Cost item]:[Cost item]],$D128,Calc_TUV_EnvGroup_1[[Cost element]:[Cost element]],$G128)*($F$58/$F$59),8),
0,1))</f>
        <v>0</v>
      </c>
      <c r="K128" s="84">
        <f>IF(K92="-","-",
IF(
ROUND(K92,8)=
ROUND(SUMIFS(Calc_TUV_EnvGroup_1[Powercor],Calc_TUV_EnvGroup_1[[Cost item]:[Cost item]],$D128,Calc_TUV_EnvGroup_1[[Cost element]:[Cost element]],$G128)*($F$58/$F$59),8),
0,1))</f>
        <v>0</v>
      </c>
      <c r="L128" s="84">
        <f>IF(L92="-","-",
IF(
ROUND(L92,8)=
ROUND(SUMIFS(Calc_TUV_EnvGroup_1[United Energy],Calc_TUV_EnvGroup_1[[Cost item]:[Cost item]],$D128,Calc_TUV_EnvGroup_1[[Cost element]:[Cost element]],$G128)*($F$58/$F$59),8),
0,1))</f>
        <v>0</v>
      </c>
    </row>
    <row r="129" spans="2:22" ht="15.5" outlineLevel="1">
      <c r="C129" s="20" t="s">
        <v>67</v>
      </c>
      <c r="D129" s="20" t="s">
        <v>274</v>
      </c>
      <c r="E129" s="53" t="s">
        <v>68</v>
      </c>
      <c r="F129" s="20" t="s">
        <v>66</v>
      </c>
      <c r="G129" s="20" t="s">
        <v>82</v>
      </c>
      <c r="H129" s="84">
        <f>IF(H93="-","-",
IF(
ROUND(H93,8)=
ROUND(SUMIFS(Calc_TUV_EnvGroup_1[Ausnet],Calc_TUV_EnvGroup_1[[Cost item]:[Cost item]],$D129,Calc_TUV_EnvGroup_1[[Cost element]:[Cost element]],$G129)*($F$58/$F$59),8),
0,1))</f>
        <v>0</v>
      </c>
      <c r="I129" s="84" t="str">
        <f>IF(I93="-","-",
IF(
ROUND(I93,8)=
ROUND(SUMIFS(Calc_TUV_EnvGroup_1[Citipower],Calc_TUV_EnvGroup_1[[Cost item]:[Cost item]],$D129,Calc_TUV_EnvGroup_1[[Cost element]:[Cost element]],$G129)*($F$58/$F$59),8),
0,1))</f>
        <v>-</v>
      </c>
      <c r="J129" s="84" t="str">
        <f>IF(J93="-","-",
IF(
ROUND(J93,8)=
ROUND(SUMIFS(Calc_TUV_EnvGroup_1[Jemena],Calc_TUV_EnvGroup_1[[Cost item]:[Cost item]],$D129,Calc_TUV_EnvGroup_1[[Cost element]:[Cost element]],$G129)*($F$58/$F$59),8),
0,1))</f>
        <v>-</v>
      </c>
      <c r="K129" s="84" t="str">
        <f>IF(K93="-","-",
IF(
ROUND(K93,8)=
ROUND(SUMIFS(Calc_TUV_EnvGroup_1[Powercor],Calc_TUV_EnvGroup_1[[Cost item]:[Cost item]],$D129,Calc_TUV_EnvGroup_1[[Cost element]:[Cost element]],$G129)*($F$58/$F$59),8),
0,1))</f>
        <v>-</v>
      </c>
      <c r="L129" s="84" t="str">
        <f>IF(L93="-","-",
IF(
ROUND(L93,8)=
ROUND(SUMIFS(Calc_TUV_EnvGroup_1[United Energy],Calc_TUV_EnvGroup_1[[Cost item]:[Cost item]],$D129,Calc_TUV_EnvGroup_1[[Cost element]:[Cost element]],$G129)*($F$58/$F$59),8),
0,1))</f>
        <v>-</v>
      </c>
    </row>
    <row r="130" spans="2:22" ht="15.5" outlineLevel="1">
      <c r="C130" s="20" t="s">
        <v>69</v>
      </c>
      <c r="D130" s="20" t="s">
        <v>274</v>
      </c>
      <c r="E130" s="53" t="s">
        <v>68</v>
      </c>
      <c r="F130" s="20" t="s">
        <v>66</v>
      </c>
      <c r="G130" s="20" t="s">
        <v>82</v>
      </c>
      <c r="H130" s="84">
        <f>IF(H94="-","-",
IF(
ROUND(H94,8)=
ROUND(SUMIFS(Calc_TUV_EnvGroup_1[Ausnet],Calc_TUV_EnvGroup_1[[Cost item]:[Cost item]],$D130,Calc_TUV_EnvGroup_1[[Cost element]:[Cost element]],$G130)*($F$58/$F$59),8),
0,1))</f>
        <v>0</v>
      </c>
      <c r="I130" s="84" t="str">
        <f>IF(I94="-","-",
IF(
ROUND(I94,8)=
ROUND(SUMIFS(Calc_TUV_EnvGroup_1[Citipower],Calc_TUV_EnvGroup_1[[Cost item]:[Cost item]],$D130,Calc_TUV_EnvGroup_1[[Cost element]:[Cost element]],$G130)*($F$58/$F$59),8),
0,1))</f>
        <v>-</v>
      </c>
      <c r="J130" s="84" t="str">
        <f>IF(J94="-","-",
IF(
ROUND(J94,8)=
ROUND(SUMIFS(Calc_TUV_EnvGroup_1[Jemena],Calc_TUV_EnvGroup_1[[Cost item]:[Cost item]],$D130,Calc_TUV_EnvGroup_1[[Cost element]:[Cost element]],$G130)*($F$58/$F$59),8),
0,1))</f>
        <v>-</v>
      </c>
      <c r="K130" s="84" t="str">
        <f>IF(K94="-","-",
IF(
ROUND(K94,8)=
ROUND(SUMIFS(Calc_TUV_EnvGroup_1[Powercor],Calc_TUV_EnvGroup_1[[Cost item]:[Cost item]],$D130,Calc_TUV_EnvGroup_1[[Cost element]:[Cost element]],$G130)*($F$58/$F$59),8),
0,1))</f>
        <v>-</v>
      </c>
      <c r="L130" s="84" t="str">
        <f>IF(L94="-","-",
IF(
ROUND(L94,8)=
ROUND(SUMIFS(Calc_TUV_EnvGroup_1[United Energy],Calc_TUV_EnvGroup_1[[Cost item]:[Cost item]],$D130,Calc_TUV_EnvGroup_1[[Cost element]:[Cost element]],$G130)*($F$58/$F$59),8),
0,1))</f>
        <v>-</v>
      </c>
    </row>
    <row r="131" spans="2:22" ht="15.5" outlineLevel="1">
      <c r="C131" s="20" t="s">
        <v>72</v>
      </c>
      <c r="D131" s="20" t="s">
        <v>274</v>
      </c>
      <c r="E131" s="53" t="s">
        <v>68</v>
      </c>
      <c r="F131" s="20" t="s">
        <v>66</v>
      </c>
      <c r="G131" s="20" t="s">
        <v>82</v>
      </c>
      <c r="H131" s="84">
        <f>IF(H95="-","-",
IF(
ROUND(H95,8)=
ROUND(SUMIFS(Calc_TUV_EnvGroup_1[Ausnet],Calc_TUV_EnvGroup_1[[Cost item]:[Cost item]],$D131,Calc_TUV_EnvGroup_1[[Cost element]:[Cost element]],$G131)*($F$58/$F$59),8),
0,1))</f>
        <v>0</v>
      </c>
      <c r="I131" s="84">
        <f>IF(I95="-","-",
IF(
ROUND(I95,8)=
ROUND(SUMIFS(Calc_TUV_EnvGroup_1[Citipower],Calc_TUV_EnvGroup_1[[Cost item]:[Cost item]],$D131,Calc_TUV_EnvGroup_1[[Cost element]:[Cost element]],$G131)*($F$58/$F$59),8),
0,1))</f>
        <v>0</v>
      </c>
      <c r="J131" s="84">
        <f>IF(J95="-","-",
IF(
ROUND(J95,8)=
ROUND(SUMIFS(Calc_TUV_EnvGroup_1[Jemena],Calc_TUV_EnvGroup_1[[Cost item]:[Cost item]],$D131,Calc_TUV_EnvGroup_1[[Cost element]:[Cost element]],$G131)*($F$58/$F$59),8),
0,1))</f>
        <v>0</v>
      </c>
      <c r="K131" s="84">
        <f>IF(K95="-","-",
IF(
ROUND(K95,8)=
ROUND(SUMIFS(Calc_TUV_EnvGroup_1[Powercor],Calc_TUV_EnvGroup_1[[Cost item]:[Cost item]],$D131,Calc_TUV_EnvGroup_1[[Cost element]:[Cost element]],$G131)*($F$58/$F$59),8),
0,1))</f>
        <v>0</v>
      </c>
      <c r="L131" s="84">
        <f>IF(L95="-","-",
IF(
ROUND(L95,8)=
ROUND(SUMIFS(Calc_TUV_EnvGroup_1[United Energy],Calc_TUV_EnvGroup_1[[Cost item]:[Cost item]],$D131,Calc_TUV_EnvGroup_1[[Cost element]:[Cost element]],$G131)*($F$58/$F$59),8),
0,1))</f>
        <v>0</v>
      </c>
    </row>
    <row r="132" spans="2:22" ht="15.5" outlineLevel="1">
      <c r="C132" s="53" t="s">
        <v>73</v>
      </c>
      <c r="D132" s="53" t="s">
        <v>274</v>
      </c>
      <c r="E132" s="53" t="s">
        <v>68</v>
      </c>
      <c r="F132" s="53" t="s">
        <v>66</v>
      </c>
      <c r="G132" s="53" t="s">
        <v>82</v>
      </c>
      <c r="H132" s="84">
        <f>IF(H96="-","-",
IF(
ROUND(H96,8)=
ROUND(SUMIFS(Calc_TUV_EnvGroup_1[Ausnet],Calc_TUV_EnvGroup_1[[Cost item]:[Cost item]],$D132,Calc_TUV_EnvGroup_1[[Cost element]:[Cost element]],$G132)*($F$58/$F$59),8),
0,1))</f>
        <v>0</v>
      </c>
      <c r="I132" s="84">
        <f>IF(I96="-","-",
IF(
ROUND(I96,8)=
ROUND(SUMIFS(Calc_TUV_EnvGroup_1[Citipower],Calc_TUV_EnvGroup_1[[Cost item]:[Cost item]],$D132,Calc_TUV_EnvGroup_1[[Cost element]:[Cost element]],$G132)*($F$58/$F$59),8),
0,1))</f>
        <v>0</v>
      </c>
      <c r="J132" s="84">
        <f>IF(J96="-","-",
IF(
ROUND(J96,8)=
ROUND(SUMIFS(Calc_TUV_EnvGroup_1[Jemena],Calc_TUV_EnvGroup_1[[Cost item]:[Cost item]],$D132,Calc_TUV_EnvGroup_1[[Cost element]:[Cost element]],$G132)*($F$58/$F$59),8),
0,1))</f>
        <v>0</v>
      </c>
      <c r="K132" s="84">
        <f>IF(K96="-","-",
IF(
ROUND(K96,8)=
ROUND(SUMIFS(Calc_TUV_EnvGroup_1[Powercor],Calc_TUV_EnvGroup_1[[Cost item]:[Cost item]],$D132,Calc_TUV_EnvGroup_1[[Cost element]:[Cost element]],$G132)*($F$58/$F$59),8),
0,1))</f>
        <v>0</v>
      </c>
      <c r="L132" s="84">
        <f>IF(L96="-","-",
IF(
ROUND(L96,8)=
ROUND(SUMIFS(Calc_TUV_EnvGroup_1[United Energy],Calc_TUV_EnvGroup_1[[Cost item]:[Cost item]],$D132,Calc_TUV_EnvGroup_1[[Cost element]:[Cost element]],$G132)*($F$58/$F$59),8),
0,1))</f>
        <v>0</v>
      </c>
    </row>
    <row r="135" spans="2:22" ht="15.5">
      <c r="B135"/>
      <c r="C135" s="49" t="s">
        <v>31</v>
      </c>
      <c r="D135" s="37" t="str">
        <f>Calc_Rates!$D$266</f>
        <v>VDO 2022-23 - Final</v>
      </c>
      <c r="H135" s="78"/>
      <c r="I135" s="78"/>
      <c r="J135" s="78"/>
      <c r="K135" s="78"/>
      <c r="L135" s="78"/>
    </row>
    <row r="136" spans="2:22">
      <c r="B136"/>
    </row>
    <row r="137" spans="2:22" ht="16" collapsed="1" thickBot="1">
      <c r="B137" s="216">
        <f ca="1">MAX(B$3:B136)+0.01</f>
        <v>15.03</v>
      </c>
      <c r="C137" s="25" t="s">
        <v>256</v>
      </c>
      <c r="D137" s="25"/>
      <c r="E137" s="25"/>
      <c r="F137" s="25"/>
      <c r="G137" s="25"/>
      <c r="H137" s="25"/>
      <c r="I137" s="25"/>
      <c r="J137" s="25"/>
      <c r="K137" s="25"/>
      <c r="L137" s="25"/>
    </row>
    <row r="138" spans="2:22" hidden="1" outlineLevel="1"/>
    <row r="139" spans="2:22" ht="15.5" hidden="1" outlineLevel="1">
      <c r="C139" s="26" t="s">
        <v>275</v>
      </c>
    </row>
    <row r="140" spans="2:22" ht="15.5" hidden="1" outlineLevel="1">
      <c r="C140" s="111" t="s">
        <v>33</v>
      </c>
      <c r="D140" s="111" t="s">
        <v>88</v>
      </c>
      <c r="E140" s="111" t="s">
        <v>56</v>
      </c>
      <c r="F140" s="111" t="s">
        <v>57</v>
      </c>
      <c r="G140" s="111" t="s">
        <v>32</v>
      </c>
      <c r="H140" s="54" t="s">
        <v>58</v>
      </c>
      <c r="I140" s="54" t="s">
        <v>59</v>
      </c>
      <c r="J140" s="54" t="s">
        <v>60</v>
      </c>
      <c r="K140" s="54" t="s">
        <v>61</v>
      </c>
      <c r="L140" s="54" t="s">
        <v>62</v>
      </c>
    </row>
    <row r="141" spans="2:22" hidden="1" outlineLevel="1">
      <c r="C141" s="20" t="str">
        <f>IF(COUNTIFS(Calc_TUV_Net_2[Pass through (Yes/No)],"Yes",Calc_TUV_Net_2[Cost item],"Anytime - "&amp;Calc_TUV_NetGroup_2[[#This Row],[Customer type]])=1,"Anytime - supply","-")</f>
        <v>Anytime - supply</v>
      </c>
      <c r="D141" s="20" t="s">
        <v>90</v>
      </c>
      <c r="E141" s="53" t="s">
        <v>64</v>
      </c>
      <c r="F141" s="20" t="s">
        <v>65</v>
      </c>
      <c r="G141" s="20" t="s">
        <v>80</v>
      </c>
      <c r="H141" s="121">
        <f>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1" s="121" cm="1">
        <f t="array" ref="I141">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1" s="121" cm="1">
        <f t="array" ref="J141">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1" s="121" cm="1">
        <f t="array" ref="K141">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1" s="121" cm="1">
        <f t="array" ref="L14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c r="O141" s="175"/>
      <c r="P141" s="175"/>
      <c r="Q141" s="175"/>
      <c r="R141" s="175"/>
      <c r="S141" s="175"/>
      <c r="T141" s="175"/>
      <c r="U141" s="175"/>
      <c r="V141" s="175"/>
    </row>
    <row r="142" spans="2:22" hidden="1" outlineLevel="1">
      <c r="C142" s="20" t="str">
        <f>IF(COUNTIFS(Calc_TUV_Net_2[Pass through (Yes/No)],"Yes",Calc_TUV_Net_2[Cost item],"Anytime - "&amp;Calc_TUV_NetGroup_2[[#This Row],[Customer type]])=1,"Anytime - usage","-")</f>
        <v>Anytime - usage</v>
      </c>
      <c r="D142" s="20" t="s">
        <v>103</v>
      </c>
      <c r="E142" s="53" t="s">
        <v>64</v>
      </c>
      <c r="F142" s="20" t="s">
        <v>65</v>
      </c>
      <c r="G142" s="20" t="s">
        <v>80</v>
      </c>
      <c r="H142" s="121" cm="1">
        <f t="array" ref="H142">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2" s="121" cm="1">
        <f t="array" ref="I142">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2" s="121" cm="1">
        <f t="array" ref="J142">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2" s="121" cm="1">
        <f t="array" ref="K142">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2" s="121" cm="1">
        <f t="array" ref="L142">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3" spans="2:22" hidden="1" outlineLevel="1">
      <c r="C143" s="20" t="str">
        <f>IF(COUNTIFS(Calc_TUV_Net_2[Pass through (Yes/No)],"Yes",Calc_TUV_Net_2[Cost item],"Anytime - "&amp;Calc_TUV_NetGroup_2[[#This Row],[Customer type]])=1,"Anytime - supply","-")</f>
        <v>Anytime - supply</v>
      </c>
      <c r="D143" s="20" t="s">
        <v>90</v>
      </c>
      <c r="E143" s="53" t="s">
        <v>64</v>
      </c>
      <c r="F143" s="20" t="s">
        <v>66</v>
      </c>
      <c r="G143" s="20" t="s">
        <v>80</v>
      </c>
      <c r="H143" s="121">
        <f>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3" s="121" cm="1">
        <f t="array" ref="I143">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3" s="121" cm="1">
        <f t="array" ref="J143">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3" s="121" cm="1">
        <f t="array" ref="K143">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3" s="121" cm="1">
        <f t="array" ref="L143">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4" spans="2:22" hidden="1" outlineLevel="1">
      <c r="C144" s="20" t="str">
        <f>IF(COUNTIFS(Calc_TUV_Net_2[Pass through (Yes/No)],"Yes",Calc_TUV_Net_2[Cost item],"Anytime - "&amp;Calc_TUV_NetGroup_2[[#This Row],[Customer type]])=1,"Anytime - usage","-")</f>
        <v>Anytime - usage</v>
      </c>
      <c r="D144" s="20" t="s">
        <v>103</v>
      </c>
      <c r="E144" s="53" t="s">
        <v>64</v>
      </c>
      <c r="F144" s="20" t="s">
        <v>66</v>
      </c>
      <c r="G144" s="20" t="s">
        <v>80</v>
      </c>
      <c r="H144" s="121" cm="1">
        <f t="array" ref="H144">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4" s="121" cm="1">
        <f t="array" ref="I144">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4" s="121" cm="1">
        <f t="array" ref="J144">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4" s="121" cm="1">
        <f t="array" ref="K144">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4" s="121" cm="1">
        <f t="array" ref="L144">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5" spans="3:15" hidden="1" outlineLevel="1">
      <c r="C145" s="20" t="str">
        <f>IF(COUNTIFS(Calc_TUV_Net_2[Pass through (Yes/No)],"Yes",Calc_TUV_Net_2[Cost item],"Controlled load cost - "&amp;Calc_TUV_NetGroup_2[[#This Row],[Customer type]])=1,"Controlled load - usage","-")</f>
        <v>Controlled load - usage</v>
      </c>
      <c r="D145" s="20" t="s">
        <v>103</v>
      </c>
      <c r="E145" s="53" t="s">
        <v>64</v>
      </c>
      <c r="F145" s="20" t="s">
        <v>65</v>
      </c>
      <c r="G145" s="20" t="s">
        <v>80</v>
      </c>
      <c r="H145" s="121" cm="1">
        <f t="array" ref="H145">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5" s="121" cm="1">
        <f t="array" ref="I145">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5" s="121" cm="1">
        <f t="array" ref="J145">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5" s="121" cm="1">
        <f t="array" ref="K145">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5" s="121">
        <f>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6" spans="3:15" hidden="1" outlineLevel="1">
      <c r="C146" s="20" t="str">
        <f>IF(COUNTIFS(Calc_TUV_Net_2[Pass through (Yes/No)],"Yes",Calc_TUV_Net_2[Cost item],"TOU - "&amp;Calc_TUV_NetGroup_2[[#This Row],[Customer type]])=1,"TOU - supply","-")</f>
        <v>TOU - supply</v>
      </c>
      <c r="D146" s="20" t="s">
        <v>90</v>
      </c>
      <c r="E146" s="53" t="s">
        <v>64</v>
      </c>
      <c r="F146" s="20" t="s">
        <v>65</v>
      </c>
      <c r="G146" s="20" t="s">
        <v>80</v>
      </c>
      <c r="H146" s="121" cm="1">
        <f t="array" ref="H146">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6" s="121" cm="1">
        <f t="array" ref="I146">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6" s="121" cm="1">
        <f t="array" ref="J146">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6" s="121" cm="1">
        <f t="array" ref="K146">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6" s="121" cm="1">
        <f t="array" ref="L146">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7" spans="3:15" hidden="1" outlineLevel="1">
      <c r="C147" s="20" t="str">
        <f>IF(COUNTIFS(Calc_TUV_Net_2[Pass through (Yes/No)],"Yes",Calc_TUV_Net_2[Cost item],"TOU - "&amp;Calc_TUV_NetGroup_2[[#This Row],[Customer type]])=1,"TOU - usage","-")</f>
        <v>TOU - usage</v>
      </c>
      <c r="D147" s="20" t="s">
        <v>103</v>
      </c>
      <c r="E147" s="53" t="s">
        <v>64</v>
      </c>
      <c r="F147" s="20" t="s">
        <v>65</v>
      </c>
      <c r="G147" s="20" t="s">
        <v>80</v>
      </c>
      <c r="H147" s="121" cm="1">
        <f t="array" ref="H147">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7" s="121" cm="1">
        <f t="array" ref="I147">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7" s="121" cm="1">
        <f t="array" ref="J147">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7" s="121" cm="1">
        <f t="array" ref="K147">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7" s="121" cm="1">
        <f t="array" ref="L147">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8" spans="3:15" hidden="1" outlineLevel="1">
      <c r="C148" s="20" t="str">
        <f>IF(COUNTIFS(Calc_TUV_Net_2[Pass through (Yes/No)],"Yes",Calc_TUV_Net_2[Cost item],"TOU - "&amp;Calc_TUV_NetGroup_2[[#This Row],[Customer type]])=1,"TOU - supply","-")</f>
        <v>TOU - supply</v>
      </c>
      <c r="D148" s="20" t="s">
        <v>90</v>
      </c>
      <c r="E148" s="53" t="s">
        <v>64</v>
      </c>
      <c r="F148" s="20" t="s">
        <v>66</v>
      </c>
      <c r="G148" s="20" t="s">
        <v>80</v>
      </c>
      <c r="H148" s="121" cm="1">
        <f t="array" ref="H148">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8" s="121" cm="1">
        <f t="array" ref="I148">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8" s="121" cm="1">
        <f t="array" ref="J148">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8" s="121" cm="1">
        <f t="array" ref="K148">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8" s="121" cm="1">
        <f t="array" ref="L148">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9" spans="3:15" hidden="1" outlineLevel="1">
      <c r="C149" s="20" t="str">
        <f>IF(COUNTIFS(Calc_TUV_Net_2[Pass through (Yes/No)],"Yes",Calc_TUV_Net_2[Cost item],"TOU - "&amp;Calc_TUV_NetGroup_2[[#This Row],[Customer type]])=1,"TOU - usage","-")</f>
        <v>TOU - usage</v>
      </c>
      <c r="D149" s="20" t="s">
        <v>103</v>
      </c>
      <c r="E149" s="53" t="s">
        <v>64</v>
      </c>
      <c r="F149" s="20" t="s">
        <v>66</v>
      </c>
      <c r="G149" s="20" t="s">
        <v>80</v>
      </c>
      <c r="H149" s="121" cm="1">
        <f t="array" ref="H149">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9" s="121" cm="1">
        <f t="array" ref="I149">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9" s="121" cm="1">
        <f t="array" ref="J149">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9" s="121" cm="1">
        <f t="array" ref="K149">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9" s="121" cm="1">
        <f t="array" ref="L149">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c r="O149" s="78"/>
    </row>
    <row r="150" spans="3:15" hidden="1" outlineLevel="1">
      <c r="O150" s="72"/>
    </row>
    <row r="151" spans="3:15" ht="15.5" hidden="1" outlineLevel="1">
      <c r="C151" s="49" t="s">
        <v>258</v>
      </c>
      <c r="D151" s="75" t="str">
        <f>INDEX(Inputs!$C$10:$Y$10,1,MATCH($D$135,Inputs!$C$8:$Y$8,0))</f>
        <v>F-CurrentVDO_Input</v>
      </c>
      <c r="E151" s="149" t="str">
        <f>IFERROR(INDEX(Input_TUNet_Dates[],MATCH(Calc_TU_rates!C151,Input_TUNet_Dates[Item],0),MATCH(D151,Input_TUNet_Dates[#Headers],0)),"-")</f>
        <v>-</v>
      </c>
      <c r="H151" s="175"/>
      <c r="I151" s="175"/>
      <c r="J151" s="175"/>
      <c r="K151" s="175"/>
      <c r="L151" s="175"/>
    </row>
    <row r="152" spans="3:15" ht="15.5" hidden="1" outlineLevel="1">
      <c r="C152" s="49" t="s">
        <v>259</v>
      </c>
      <c r="D152" s="75" t="str">
        <f>INDEX(Inputs!$C$10:$Y$10,1,MATCH($D$135,Inputs!$C$8:$Y$8,0))</f>
        <v>F-CurrentVDO_Input</v>
      </c>
      <c r="E152" s="149" t="str">
        <f>IFERROR(INDEX(Input_TUNet_Dates[],MATCH(Calc_TU_rates!C152,Input_TUNet_Dates[Item],0),MATCH(D152,Input_TUNet_Dates[#Headers],0)),"-")</f>
        <v>-</v>
      </c>
      <c r="H152" s="182"/>
      <c r="I152" s="182"/>
      <c r="J152" s="182"/>
      <c r="K152" s="182"/>
      <c r="L152" s="182"/>
    </row>
    <row r="153" spans="3:15" ht="15.5" hidden="1" outlineLevel="1">
      <c r="C153" s="26"/>
      <c r="H153" s="78"/>
      <c r="I153" s="78"/>
      <c r="J153" s="78"/>
      <c r="K153" s="78"/>
      <c r="L153" s="78"/>
    </row>
    <row r="154" spans="3:15" ht="15.5" hidden="1" outlineLevel="1">
      <c r="C154" s="49" t="s">
        <v>209</v>
      </c>
      <c r="E154" s="171" t="str">
        <f>IFERROR(_xlfn.DAYS(E152,E151)+1,"-")</f>
        <v>-</v>
      </c>
    </row>
    <row r="155" spans="3:15" hidden="1" outlineLevel="1">
      <c r="H155" s="78"/>
    </row>
    <row r="156" spans="3:15" ht="15.5" hidden="1" outlineLevel="1">
      <c r="C156" s="26" t="s">
        <v>276</v>
      </c>
    </row>
    <row r="157" spans="3:15" ht="15.5" hidden="1" outlineLevel="1">
      <c r="C157" s="39" t="s">
        <v>261</v>
      </c>
      <c r="D157" s="111" t="s">
        <v>88</v>
      </c>
      <c r="E157" s="111" t="s">
        <v>56</v>
      </c>
      <c r="F157" s="111" t="s">
        <v>57</v>
      </c>
      <c r="G157" s="111" t="s">
        <v>32</v>
      </c>
      <c r="H157" s="54" t="s">
        <v>58</v>
      </c>
      <c r="I157" s="54" t="s">
        <v>59</v>
      </c>
      <c r="J157" s="54" t="s">
        <v>60</v>
      </c>
      <c r="K157" s="54" t="s">
        <v>61</v>
      </c>
      <c r="L157" s="54" t="s">
        <v>62</v>
      </c>
    </row>
    <row r="158" spans="3:15" hidden="1" outlineLevel="1" collapsed="1">
      <c r="C158" s="20" t="s">
        <v>79</v>
      </c>
      <c r="D158" s="20" t="s">
        <v>90</v>
      </c>
      <c r="E158" s="53" t="s">
        <v>64</v>
      </c>
      <c r="F158" s="20" t="s">
        <v>65</v>
      </c>
      <c r="G158" s="20" t="s">
        <v>80</v>
      </c>
      <c r="H158" s="122" t="str" cm="1">
        <f t="array" ref="H158">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58" s="122" t="str" cm="1">
        <f t="array" ref="I158">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58" s="122" t="str" cm="1">
        <f t="array" ref="J158">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58" s="122" t="str" cm="1">
        <f t="array" ref="K158">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58" s="122" t="str" cm="1">
        <f t="array" ref="L158">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O158" s="71"/>
    </row>
    <row r="159" spans="3:15" hidden="1" outlineLevel="1">
      <c r="C159" s="20" t="s">
        <v>79</v>
      </c>
      <c r="D159" s="20" t="s">
        <v>90</v>
      </c>
      <c r="E159" s="53" t="s">
        <v>64</v>
      </c>
      <c r="F159" s="20" t="s">
        <v>66</v>
      </c>
      <c r="G159" s="20" t="s">
        <v>80</v>
      </c>
      <c r="H159" s="122" t="str" cm="1">
        <f t="array" ref="H159">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59" s="122" t="str" cm="1">
        <f t="array" ref="I159">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59" s="122" t="str" cm="1">
        <f t="array" ref="J159">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59" s="122" t="str" cm="1">
        <f t="array" ref="K159">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59" s="122" t="str" cm="1">
        <f t="array" ref="L159">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0" spans="3:15" hidden="1" outlineLevel="1">
      <c r="C160" s="20" t="s">
        <v>81</v>
      </c>
      <c r="D160" s="20" t="s">
        <v>90</v>
      </c>
      <c r="E160" s="53" t="s">
        <v>64</v>
      </c>
      <c r="F160" s="20" t="s">
        <v>65</v>
      </c>
      <c r="G160" s="20" t="s">
        <v>80</v>
      </c>
      <c r="H160" s="122" t="str" cm="1">
        <f t="array" ref="H160">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60" s="122" t="str" cm="1">
        <f t="array" ref="I160">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60" s="122" t="str" cm="1">
        <f t="array" ref="J160">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60" s="122" t="str" cm="1">
        <f t="array" ref="K160">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60" s="122" t="str" cm="1">
        <f t="array" ref="L160">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1" spans="2:12" hidden="1" outlineLevel="1">
      <c r="C161" s="20" t="s">
        <v>81</v>
      </c>
      <c r="D161" s="20" t="s">
        <v>90</v>
      </c>
      <c r="E161" s="53" t="s">
        <v>64</v>
      </c>
      <c r="F161" s="20" t="s">
        <v>66</v>
      </c>
      <c r="G161" s="20" t="s">
        <v>80</v>
      </c>
      <c r="H161" s="122" t="str" cm="1">
        <f t="array" ref="H161">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61" s="122" t="str" cm="1">
        <f t="array" ref="I161">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61" s="122" t="str" cm="1">
        <f t="array" ref="J161">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61" s="122" t="str" cm="1">
        <f t="array" ref="K161">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61" s="122" t="str" cm="1">
        <f t="array" ref="L161">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2" spans="2:12" hidden="1" outlineLevel="1">
      <c r="B162"/>
    </row>
    <row r="163" spans="2:12" ht="15.5" hidden="1" outlineLevel="1">
      <c r="B163"/>
      <c r="C163" s="49" t="s">
        <v>262</v>
      </c>
      <c r="E163" s="125" t="str">
        <f>IFERROR((_xlfn.DAYS(E152,E151)+1)/DiY,"-")</f>
        <v>-</v>
      </c>
    </row>
    <row r="164" spans="2:12" ht="15.5" hidden="1" outlineLevel="1">
      <c r="B164"/>
      <c r="C164" s="49" t="s">
        <v>263</v>
      </c>
      <c r="E164" s="176" t="str">
        <f>IFERROR(
INDEX(Input_Usage[[F-PreviousVDO_Input]:[F-PreviousVDO_Input2]],MATCH("Residential - medium - Controlled load",Input_Usage[Ref],0),MATCH(Calc_TU_rates!$D$135,Inputs!$I$140:$M$140,0))*E163,"-")</f>
        <v>-</v>
      </c>
    </row>
    <row r="165" spans="2:12" ht="15.5" hidden="1" outlineLevel="1">
      <c r="B165"/>
      <c r="C165" s="49" t="s">
        <v>264</v>
      </c>
      <c r="D165" s="75" t="str">
        <f>INDEX(Inputs!$C$10:$Y$10,1,MATCH($D$135,Inputs!$C$8:$Y$8,0))</f>
        <v>F-CurrentVDO_Input</v>
      </c>
      <c r="E165" s="125" t="str" cm="1">
        <f t="array" ref="E165">IFERROR(INDEX(Input_TUNet_Actual[],MATCH(1,(Input_TUNet_Actual[Item]="Total usage - Controlled Load")*(Input_TUNet_Actual[Customer type]="Residential")*(Input_TUNet_Actual[Month]="January 2021 to June 2021"),0),MATCH($D$165,Input_TUNet_Actual[#Headers],0))
/INDEX(Input_TUNet_Actual[],MATCH(1,(Input_TUNet_Actual[Item]="Total usage - Controlled Load")*(Input_TUNet_Actual[Customer type]="Residential")*(Input_TUNet_Actual[Month]="July 2020 to June 2021"),0),MATCH($D$165,Input_TUNet_Actual[#Headers],0)),"-")</f>
        <v>-</v>
      </c>
    </row>
    <row r="166" spans="2:12" ht="15.5" hidden="1" outlineLevel="1">
      <c r="B166"/>
      <c r="C166" s="49" t="s">
        <v>265</v>
      </c>
      <c r="E166" s="176" t="str">
        <f>IFERROR(
INDEX(Input_Usage[[F-PreviousVDO_Input]:[F-PreviousVDO_Input2]],MATCH("Residential - medium - Controlled load",Input_Usage[Ref],0),MATCH(Calc_TU_rates!$D$135,Inputs!$I$140:$M$140,0))*E165,"-")</f>
        <v>-</v>
      </c>
    </row>
    <row r="167" spans="2:12" hidden="1" outlineLevel="1">
      <c r="B167"/>
    </row>
    <row r="168" spans="2:12" ht="15.5" hidden="1" outlineLevel="1">
      <c r="B168"/>
      <c r="C168" s="26" t="s">
        <v>266</v>
      </c>
    </row>
    <row r="169" spans="2:12" ht="15.5" hidden="1" outlineLevel="1">
      <c r="B169"/>
      <c r="C169" s="39" t="s">
        <v>261</v>
      </c>
      <c r="D169" s="111" t="s">
        <v>88</v>
      </c>
      <c r="E169" s="111" t="s">
        <v>56</v>
      </c>
      <c r="F169" s="111" t="s">
        <v>57</v>
      </c>
      <c r="G169" s="111" t="s">
        <v>32</v>
      </c>
      <c r="H169" s="54" t="s">
        <v>58</v>
      </c>
      <c r="I169" s="54" t="s">
        <v>59</v>
      </c>
      <c r="J169" s="54" t="s">
        <v>60</v>
      </c>
      <c r="K169" s="54" t="s">
        <v>61</v>
      </c>
      <c r="L169" s="54" t="s">
        <v>62</v>
      </c>
    </row>
    <row r="170" spans="2:12" hidden="1" outlineLevel="1">
      <c r="B170"/>
      <c r="C170" s="20" t="s">
        <v>74</v>
      </c>
      <c r="D170" s="20" t="s">
        <v>103</v>
      </c>
      <c r="E170" s="53" t="s">
        <v>64</v>
      </c>
      <c r="F170" s="20" t="s">
        <v>65</v>
      </c>
      <c r="G170" s="20" t="s">
        <v>80</v>
      </c>
      <c r="H170" s="122" t="str" cm="1">
        <f t="array" ref="H170">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I170" s="122" t="str" cm="1">
        <f t="array" ref="I170">IFERROR(
(SUMIFS(Calc_TUV_NetGroup_2[Citipower],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SUMIFS(Calc_TUV_NetGroup_2[Citipower],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J170" s="122" t="str" cm="1">
        <f t="array" ref="J170">IFERROR(
(SUMIFS(Calc_TUV_NetGroup_2[Jemena],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SUMIFS(Calc_TUV_NetGroup_2[Jemena],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K170" s="122" t="str" cm="1">
        <f t="array" ref="K170">IFERROR(
(SUMIFS(Calc_TUV_NetGroup_2[Powercor],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SUMIFS(Calc_TUV_NetGroup_2[Powercor],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L170" s="122" t="str" cm="1">
        <f t="array" ref="L170">IFERROR(
(SUMIFS(Calc_TUV_NetGroup_2[United Energy],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SUMIFS(Calc_TUV_NetGroup_2[United Energy],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row>
    <row r="171" spans="2:12" hidden="1" outlineLevel="1">
      <c r="B171"/>
    </row>
    <row r="172" spans="2:12" ht="15.5" hidden="1" outlineLevel="1">
      <c r="B172"/>
      <c r="C172" s="26" t="s">
        <v>277</v>
      </c>
    </row>
    <row r="173" spans="2:12" ht="15.5" hidden="1" outlineLevel="1">
      <c r="B173"/>
      <c r="C173" s="110" t="s">
        <v>261</v>
      </c>
      <c r="D173" s="110" t="s">
        <v>88</v>
      </c>
      <c r="E173" s="110" t="s">
        <v>56</v>
      </c>
      <c r="F173" s="110" t="s">
        <v>57</v>
      </c>
      <c r="G173" s="127" t="s">
        <v>32</v>
      </c>
      <c r="H173" s="45" t="s">
        <v>58</v>
      </c>
      <c r="I173" s="45" t="s">
        <v>59</v>
      </c>
      <c r="J173" s="45" t="s">
        <v>60</v>
      </c>
      <c r="K173" s="45" t="s">
        <v>61</v>
      </c>
      <c r="L173" s="45" t="s">
        <v>62</v>
      </c>
    </row>
    <row r="174" spans="2:12" ht="15.5" hidden="1" outlineLevel="1">
      <c r="B174"/>
      <c r="C174" s="20" t="s">
        <v>79</v>
      </c>
      <c r="D174" s="20" t="s">
        <v>90</v>
      </c>
      <c r="E174" s="20" t="s">
        <v>64</v>
      </c>
      <c r="F174" s="20" t="s">
        <v>65</v>
      </c>
      <c r="G174" s="53" t="s">
        <v>80</v>
      </c>
      <c r="H174" s="84" t="str">
        <f>IFERROR(
IF(
(SUMIFS(Calc_TUV_NetGroup_2[Ausnet],Calc_TUV_NetGroup_2[[Customer type]:[Customer type]],$F174,Calc_TUV_NetGroup_2[[Cost item]:[Cost item]],$C174&amp;" - supply")+
SUMIFS(Calc_TUV_NetGroup_2[Ausnet],Calc_TUV_NetGroup_2[[Customer type]:[Customer type]],$F174,Calc_TUV_NetGroup_2[[Cost item]:[Cost item]],$C174&amp;" - usage"))/
IF($C174&lt;&gt;"Controlled load",$E$154,$E$164)=H158,
0,1),"-")</f>
        <v>-</v>
      </c>
      <c r="I174" s="84" t="str">
        <f>IFERROR(
IF(
(SUMIFS(Calc_TUV_NetGroup_2[Citipower],Calc_TUV_NetGroup_2[[Customer type]:[Customer type]],$F174,Calc_TUV_NetGroup_2[[Cost item]:[Cost item]],$C174&amp;" - supply")+
SUMIFS(Calc_TUV_NetGroup_2[Citipower],Calc_TUV_NetGroup_2[[Customer type]:[Customer type]],$F174,Calc_TUV_NetGroup_2[[Cost item]:[Cost item]],$C174&amp;" - usage"))/
IF($C174&lt;&gt;"Controlled load",$E$154,$E$164)=I158,
0,1),"-")</f>
        <v>-</v>
      </c>
      <c r="J174" s="84" t="str">
        <f>IFERROR(
IF(
(SUMIFS(Calc_TUV_NetGroup_2[Jemena],Calc_TUV_NetGroup_2[[Customer type]:[Customer type]],$F174,Calc_TUV_NetGroup_2[[Cost item]:[Cost item]],$C174&amp;" - supply")+
SUMIFS(Calc_TUV_NetGroup_2[Jemena],Calc_TUV_NetGroup_2[[Customer type]:[Customer type]],$F174,Calc_TUV_NetGroup_2[[Cost item]:[Cost item]],$C174&amp;" - usage"))/
IF($C174&lt;&gt;"Controlled load",$E$154,$E$164)=J158,
0,1),"-")</f>
        <v>-</v>
      </c>
      <c r="K174" s="84" t="str">
        <f>IFERROR(
IF(
(SUMIFS(Calc_TUV_NetGroup_2[Powercor],Calc_TUV_NetGroup_2[[Customer type]:[Customer type]],$F174,Calc_TUV_NetGroup_2[[Cost item]:[Cost item]],$C174&amp;" - supply")+
SUMIFS(Calc_TUV_NetGroup_2[Powercor],Calc_TUV_NetGroup_2[[Customer type]:[Customer type]],$F174,Calc_TUV_NetGroup_2[[Cost item]:[Cost item]],$C174&amp;" - usage"))/
IF($C174&lt;&gt;"Controlled load",$E$154,$E$164)=K158,
0,1),"-")</f>
        <v>-</v>
      </c>
      <c r="L174" s="84" t="str">
        <f>IFERROR(
IF(
(SUMIFS(Calc_TUV_NetGroup_2[United Energy],Calc_TUV_NetGroup_2[[Customer type]:[Customer type]],$F174,Calc_TUV_NetGroup_2[[Cost item]:[Cost item]],$C174&amp;" - supply")+
SUMIFS(Calc_TUV_NetGroup_2[United Energy],Calc_TUV_NetGroup_2[[Customer type]:[Customer type]],$F174,Calc_TUV_NetGroup_2[[Cost item]:[Cost item]],$C174&amp;" - usage"))/
IF($C174&lt;&gt;"Controlled load",$E$154,$E$164)=L158,
0,1),"-")</f>
        <v>-</v>
      </c>
    </row>
    <row r="175" spans="2:12" ht="15.5" hidden="1" outlineLevel="1">
      <c r="B175"/>
      <c r="C175" s="20" t="s">
        <v>79</v>
      </c>
      <c r="D175" s="20" t="s">
        <v>90</v>
      </c>
      <c r="E175" s="53" t="s">
        <v>64</v>
      </c>
      <c r="F175" s="20" t="s">
        <v>66</v>
      </c>
      <c r="G175" s="53" t="s">
        <v>80</v>
      </c>
      <c r="H175" s="84" t="str">
        <f>IFERROR(
IF(
(SUMIFS(Calc_TUV_NetGroup_2[Ausnet],Calc_TUV_NetGroup_2[[Customer type]:[Customer type]],$F175,Calc_TUV_NetGroup_2[[Cost item]:[Cost item]],$C175&amp;" - supply")+
SUMIFS(Calc_TUV_NetGroup_2[Ausnet],Calc_TUV_NetGroup_2[[Customer type]:[Customer type]],$F175,Calc_TUV_NetGroup_2[[Cost item]:[Cost item]],$C175&amp;" - usage"))/
IF($C175&lt;&gt;"Controlled load",$E$154,$E$164)=H159,
0,1),"-")</f>
        <v>-</v>
      </c>
      <c r="I175" s="84" t="str">
        <f>IFERROR(
IF(
(SUMIFS(Calc_TUV_NetGroup_2[Citipower],Calc_TUV_NetGroup_2[[Customer type]:[Customer type]],$F175,Calc_TUV_NetGroup_2[[Cost item]:[Cost item]],$C175&amp;" - supply")+
SUMIFS(Calc_TUV_NetGroup_2[Citipower],Calc_TUV_NetGroup_2[[Customer type]:[Customer type]],$F175,Calc_TUV_NetGroup_2[[Cost item]:[Cost item]],$C175&amp;" - usage"))/
IF($C175&lt;&gt;"Controlled load",$E$154,$E$164)=I159,
0,1),"-")</f>
        <v>-</v>
      </c>
      <c r="J175" s="84" t="str">
        <f>IFERROR(
IF(
(SUMIFS(Calc_TUV_NetGroup_2[Jemena],Calc_TUV_NetGroup_2[[Customer type]:[Customer type]],$F175,Calc_TUV_NetGroup_2[[Cost item]:[Cost item]],$C175&amp;" - supply")+
SUMIFS(Calc_TUV_NetGroup_2[Jemena],Calc_TUV_NetGroup_2[[Customer type]:[Customer type]],$F175,Calc_TUV_NetGroup_2[[Cost item]:[Cost item]],$C175&amp;" - usage"))/
IF($C175&lt;&gt;"Controlled load",$E$154,$E$164)=J159,
0,1),"-")</f>
        <v>-</v>
      </c>
      <c r="K175" s="84" t="str">
        <f>IFERROR(
IF(
(SUMIFS(Calc_TUV_NetGroup_2[Powercor],Calc_TUV_NetGroup_2[[Customer type]:[Customer type]],$F175,Calc_TUV_NetGroup_2[[Cost item]:[Cost item]],$C175&amp;" - supply")+
SUMIFS(Calc_TUV_NetGroup_2[Powercor],Calc_TUV_NetGroup_2[[Customer type]:[Customer type]],$F175,Calc_TUV_NetGroup_2[[Cost item]:[Cost item]],$C175&amp;" - usage"))/
IF($C175&lt;&gt;"Controlled load",$E$154,$E$164)=K159,
0,1),"-")</f>
        <v>-</v>
      </c>
      <c r="L175" s="84" t="str">
        <f>IFERROR(
IF(
(SUMIFS(Calc_TUV_NetGroup_2[United Energy],Calc_TUV_NetGroup_2[[Customer type]:[Customer type]],$F175,Calc_TUV_NetGroup_2[[Cost item]:[Cost item]],$C175&amp;" - supply")+
SUMIFS(Calc_TUV_NetGroup_2[United Energy],Calc_TUV_NetGroup_2[[Customer type]:[Customer type]],$F175,Calc_TUV_NetGroup_2[[Cost item]:[Cost item]],$C175&amp;" - usage"))/
IF($C175&lt;&gt;"Controlled load",$E$154,$E$164)=L159,
0,1),"-")</f>
        <v>-</v>
      </c>
    </row>
    <row r="176" spans="2:12" ht="15.5" hidden="1" outlineLevel="1">
      <c r="B176"/>
      <c r="C176" s="20" t="s">
        <v>81</v>
      </c>
      <c r="D176" s="20" t="s">
        <v>90</v>
      </c>
      <c r="E176" s="53" t="s">
        <v>64</v>
      </c>
      <c r="F176" s="20" t="s">
        <v>65</v>
      </c>
      <c r="G176" s="53" t="s">
        <v>80</v>
      </c>
      <c r="H176" s="84" t="str">
        <f>IFERROR(
IF(
(SUMIFS(Calc_TUV_NetGroup_2[Ausnet],Calc_TUV_NetGroup_2[[Customer type]:[Customer type]],$F176,Calc_TUV_NetGroup_2[[Cost item]:[Cost item]],$C176&amp;" - supply")+
SUMIFS(Calc_TUV_NetGroup_2[Ausnet],Calc_TUV_NetGroup_2[[Customer type]:[Customer type]],$F176,Calc_TUV_NetGroup_2[[Cost item]:[Cost item]],$C176&amp;" - usage"))/
IF($C176&lt;&gt;"Controlled load",$E$154,$E$164)=H160,
0,1),"-")</f>
        <v>-</v>
      </c>
      <c r="I176" s="84" t="str">
        <f>IFERROR(
IF(
(SUMIFS(Calc_TUV_NetGroup_2[Citipower],Calc_TUV_NetGroup_2[[Customer type]:[Customer type]],$F176,Calc_TUV_NetGroup_2[[Cost item]:[Cost item]],$C176&amp;" - supply")+
SUMIFS(Calc_TUV_NetGroup_2[Citipower],Calc_TUV_NetGroup_2[[Customer type]:[Customer type]],$F176,Calc_TUV_NetGroup_2[[Cost item]:[Cost item]],$C176&amp;" - usage"))/
IF($C176&lt;&gt;"Controlled load",$E$154,$E$164)=I160,
0,1),"-")</f>
        <v>-</v>
      </c>
      <c r="J176" s="84" t="str">
        <f>IFERROR(
IF(
(SUMIFS(Calc_TUV_NetGroup_2[Jemena],Calc_TUV_NetGroup_2[[Customer type]:[Customer type]],$F176,Calc_TUV_NetGroup_2[[Cost item]:[Cost item]],$C176&amp;" - supply")+
SUMIFS(Calc_TUV_NetGroup_2[Jemena],Calc_TUV_NetGroup_2[[Customer type]:[Customer type]],$F176,Calc_TUV_NetGroup_2[[Cost item]:[Cost item]],$C176&amp;" - usage"))/
IF($C176&lt;&gt;"Controlled load",$E$154,$E$164)=J160,
0,1),"-")</f>
        <v>-</v>
      </c>
      <c r="K176" s="84" t="str">
        <f>IFERROR(
IF(
(SUMIFS(Calc_TUV_NetGroup_2[Powercor],Calc_TUV_NetGroup_2[[Customer type]:[Customer type]],$F176,Calc_TUV_NetGroup_2[[Cost item]:[Cost item]],$C176&amp;" - supply")+
SUMIFS(Calc_TUV_NetGroup_2[Powercor],Calc_TUV_NetGroup_2[[Customer type]:[Customer type]],$F176,Calc_TUV_NetGroup_2[[Cost item]:[Cost item]],$C176&amp;" - usage"))/
IF($C176&lt;&gt;"Controlled load",$E$154,$E$164)=K160,
0,1),"-")</f>
        <v>-</v>
      </c>
      <c r="L176" s="84" t="str">
        <f>IFERROR(
IF(
(SUMIFS(Calc_TUV_NetGroup_2[United Energy],Calc_TUV_NetGroup_2[[Customer type]:[Customer type]],$F176,Calc_TUV_NetGroup_2[[Cost item]:[Cost item]],$C176&amp;" - supply")+
SUMIFS(Calc_TUV_NetGroup_2[United Energy],Calc_TUV_NetGroup_2[[Customer type]:[Customer type]],$F176,Calc_TUV_NetGroup_2[[Cost item]:[Cost item]],$C176&amp;" - usage"))/
IF($C176&lt;&gt;"Controlled load",$E$154,$E$164)=L160,
0,1),"-")</f>
        <v>-</v>
      </c>
    </row>
    <row r="177" spans="2:12" ht="15.5" hidden="1" outlineLevel="1">
      <c r="B177"/>
      <c r="C177" s="20" t="s">
        <v>81</v>
      </c>
      <c r="D177" s="20" t="s">
        <v>90</v>
      </c>
      <c r="E177" s="53" t="s">
        <v>64</v>
      </c>
      <c r="F177" s="20" t="s">
        <v>66</v>
      </c>
      <c r="G177" s="53" t="s">
        <v>80</v>
      </c>
      <c r="H177" s="84" t="str">
        <f>IFERROR(
IF(
(SUMIFS(Calc_TUV_NetGroup_2[Ausnet],Calc_TUV_NetGroup_2[[Customer type]:[Customer type]],$F177,Calc_TUV_NetGroup_2[[Cost item]:[Cost item]],$C177&amp;" - supply")+
SUMIFS(Calc_TUV_NetGroup_2[Ausnet],Calc_TUV_NetGroup_2[[Customer type]:[Customer type]],$F177,Calc_TUV_NetGroup_2[[Cost item]:[Cost item]],$C177&amp;" - usage"))/
IF($C177&lt;&gt;"Controlled load",$E$154,$E$164)=H161,
0,1),"-")</f>
        <v>-</v>
      </c>
      <c r="I177" s="84" t="str">
        <f>IFERROR(
IF(
(SUMIFS(Calc_TUV_NetGroup_2[Citipower],Calc_TUV_NetGroup_2[[Customer type]:[Customer type]],$F177,Calc_TUV_NetGroup_2[[Cost item]:[Cost item]],$C177&amp;" - supply")+
SUMIFS(Calc_TUV_NetGroup_2[Citipower],Calc_TUV_NetGroup_2[[Customer type]:[Customer type]],$F177,Calc_TUV_NetGroup_2[[Cost item]:[Cost item]],$C177&amp;" - usage"))/
IF($C177&lt;&gt;"Controlled load",$E$154,$E$164)=I161,
0,1),"-")</f>
        <v>-</v>
      </c>
      <c r="J177" s="84" t="str">
        <f>IFERROR(
IF(
(SUMIFS(Calc_TUV_NetGroup_2[Jemena],Calc_TUV_NetGroup_2[[Customer type]:[Customer type]],$F177,Calc_TUV_NetGroup_2[[Cost item]:[Cost item]],$C177&amp;" - supply")+
SUMIFS(Calc_TUV_NetGroup_2[Jemena],Calc_TUV_NetGroup_2[[Customer type]:[Customer type]],$F177,Calc_TUV_NetGroup_2[[Cost item]:[Cost item]],$C177&amp;" - usage"))/
IF($C177&lt;&gt;"Controlled load",$E$154,$E$164)=J161,
0,1),"-")</f>
        <v>-</v>
      </c>
      <c r="K177" s="84" t="str">
        <f>IFERROR(
IF(
(SUMIFS(Calc_TUV_NetGroup_2[Powercor],Calc_TUV_NetGroup_2[[Customer type]:[Customer type]],$F177,Calc_TUV_NetGroup_2[[Cost item]:[Cost item]],$C177&amp;" - supply")+
SUMIFS(Calc_TUV_NetGroup_2[Powercor],Calc_TUV_NetGroup_2[[Customer type]:[Customer type]],$F177,Calc_TUV_NetGroup_2[[Cost item]:[Cost item]],$C177&amp;" - usage"))/
IF($C177&lt;&gt;"Controlled load",$E$154,$E$164)=K161,
0,1),"-")</f>
        <v>-</v>
      </c>
      <c r="L177" s="84" t="str">
        <f>IFERROR(
IF(
(SUMIFS(Calc_TUV_NetGroup_2[United Energy],Calc_TUV_NetGroup_2[[Customer type]:[Customer type]],$F177,Calc_TUV_NetGroup_2[[Cost item]:[Cost item]],$C177&amp;" - supply")+
SUMIFS(Calc_TUV_NetGroup_2[United Energy],Calc_TUV_NetGroup_2[[Customer type]:[Customer type]],$F177,Calc_TUV_NetGroup_2[[Cost item]:[Cost item]],$C177&amp;" - usage"))/
IF($C177&lt;&gt;"Controlled load",$E$154,$E$164)=L161,
0,1),"-")</f>
        <v>-</v>
      </c>
    </row>
    <row r="178" spans="2:12" ht="15.5" hidden="1" outlineLevel="1">
      <c r="B178"/>
      <c r="C178" s="20" t="s">
        <v>74</v>
      </c>
      <c r="D178" s="20" t="s">
        <v>103</v>
      </c>
      <c r="E178" s="53" t="s">
        <v>64</v>
      </c>
      <c r="F178" s="20" t="s">
        <v>65</v>
      </c>
      <c r="G178" s="53" t="s">
        <v>80</v>
      </c>
      <c r="H178" s="84" t="str">
        <f>IFERROR(
IF(
(SUMIFS(Calc_TUV_NetGroup_2[Ausnet],Calc_TUV_NetGroup_2[[Customer type]:[Customer type]],$F178,Calc_TUV_NetGroup_2[[Cost item]:[Cost item]],$C178&amp;" - supply")+
SUMIFS(Calc_TUV_NetGroup_2[Ausnet],Calc_TUV_NetGroup_2[[Customer type]:[Customer type]],$F178,Calc_TUV_NetGroup_2[[Cost item]:[Cost item]],$C178&amp;" - usage"))/
IF($C178&lt;&gt;"Controlled load",$E$154,$E$166)=H170,
0,1),"-")</f>
        <v>-</v>
      </c>
      <c r="I178" s="84" t="str">
        <f>IFERROR(
IF(
(SUMIFS(Calc_TUV_NetGroup_2[Citipower],Calc_TUV_NetGroup_2[[Customer type]:[Customer type]],$F178,Calc_TUV_NetGroup_2[[Cost item]:[Cost item]],$C178&amp;" - supply")+
SUMIFS(Calc_TUV_NetGroup_2[Citipower],Calc_TUV_NetGroup_2[[Customer type]:[Customer type]],$F178,Calc_TUV_NetGroup_2[[Cost item]:[Cost item]],$C178&amp;" - usage"))/
IF($C178&lt;&gt;"Controlled load",$E$154,$E$166)=I170,
0,1),"-")</f>
        <v>-</v>
      </c>
      <c r="J178" s="84" t="str">
        <f>IFERROR(
IF(
(SUMIFS(Calc_TUV_NetGroup_2[Jemena],Calc_TUV_NetGroup_2[[Customer type]:[Customer type]],$F178,Calc_TUV_NetGroup_2[[Cost item]:[Cost item]],$C178&amp;" - supply")+
SUMIFS(Calc_TUV_NetGroup_2[Jemena],Calc_TUV_NetGroup_2[[Customer type]:[Customer type]],$F178,Calc_TUV_NetGroup_2[[Cost item]:[Cost item]],$C178&amp;" - usage"))/
IF($C178&lt;&gt;"Controlled load",$E$154,$E$166)=J170,
0,1),"-")</f>
        <v>-</v>
      </c>
      <c r="K178" s="84" t="str">
        <f>IFERROR(
IF(
(SUMIFS(Calc_TUV_NetGroup_2[Powercor],Calc_TUV_NetGroup_2[[Customer type]:[Customer type]],$F178,Calc_TUV_NetGroup_2[[Cost item]:[Cost item]],$C178&amp;" - supply")+
SUMIFS(Calc_TUV_NetGroup_2[Powercor],Calc_TUV_NetGroup_2[[Customer type]:[Customer type]],$F178,Calc_TUV_NetGroup_2[[Cost item]:[Cost item]],$C178&amp;" - usage"))/
IF($C178&lt;&gt;"Controlled load",$E$154,$E$166)=K170,
0,1),"-")</f>
        <v>-</v>
      </c>
      <c r="L178" s="84" t="str">
        <f>IFERROR(
IF(
(SUMIFS(Calc_TUV_NetGroup_2[United Energy],Calc_TUV_NetGroup_2[[Customer type]:[Customer type]],$F178,Calc_TUV_NetGroup_2[[Cost item]:[Cost item]],$C178&amp;" - supply")+
SUMIFS(Calc_TUV_NetGroup_2[United Energy],Calc_TUV_NetGroup_2[[Customer type]:[Customer type]],$F178,Calc_TUV_NetGroup_2[[Cost item]:[Cost item]],$C178&amp;" - usage"))/
IF($C178&lt;&gt;"Controlled load",$E$154,$E$166)=L170,
0,1),"-")</f>
        <v>-</v>
      </c>
    </row>
    <row r="179" spans="2:12">
      <c r="B179"/>
    </row>
    <row r="180" spans="2:12" ht="16" thickBot="1">
      <c r="B180" s="216">
        <f ca="1">MAX(B$3:B179)+0.01</f>
        <v>15.04</v>
      </c>
      <c r="C180" s="25" t="s">
        <v>267</v>
      </c>
      <c r="D180" s="25"/>
      <c r="E180" s="25"/>
      <c r="F180" s="25"/>
      <c r="G180" s="25"/>
      <c r="H180" s="25"/>
      <c r="I180" s="25"/>
      <c r="J180" s="25"/>
      <c r="K180" s="25"/>
      <c r="L180" s="25"/>
    </row>
    <row r="181" spans="2:12" outlineLevel="1"/>
    <row r="182" spans="2:12" ht="15.5" outlineLevel="1">
      <c r="C182" s="26" t="s">
        <v>278</v>
      </c>
    </row>
    <row r="183" spans="2:12" ht="15.5" outlineLevel="1">
      <c r="C183" s="39" t="s">
        <v>33</v>
      </c>
      <c r="D183" s="39" t="s">
        <v>88</v>
      </c>
      <c r="E183" s="39" t="s">
        <v>56</v>
      </c>
      <c r="F183" s="39" t="s">
        <v>57</v>
      </c>
      <c r="G183" s="39" t="s">
        <v>32</v>
      </c>
      <c r="H183" s="54" t="s">
        <v>58</v>
      </c>
      <c r="I183" s="54" t="s">
        <v>59</v>
      </c>
      <c r="J183" s="54" t="s">
        <v>60</v>
      </c>
      <c r="K183" s="54" t="s">
        <v>61</v>
      </c>
      <c r="L183" s="54" t="s">
        <v>62</v>
      </c>
    </row>
    <row r="184" spans="2:12" outlineLevel="1">
      <c r="C184" s="53" t="str">
        <f>IF(COUNTIFS(Calc_TUV_Env_2[Pass through (Yes/No)],"Yes",Calc_TUV_Env_2[Cost item],"Large-scale renewable energy target (LRET)")=1,"LRET True Up","-")</f>
        <v>LRET True Up</v>
      </c>
      <c r="D184" s="53" t="s">
        <v>103</v>
      </c>
      <c r="E184" s="53" t="s">
        <v>68</v>
      </c>
      <c r="F184" s="53" t="s">
        <v>91</v>
      </c>
      <c r="G184" s="53" t="s">
        <v>82</v>
      </c>
      <c r="H184" s="128" cm="1">
        <f t="array" ref="H184">IFERROR(SUMIFS(INDEX(Calc_TUV_Env_2[[Ausnet]:[United Energy]],0,MATCH(Calc_TUV_ENVGroup_2[[#Headers],[Ausnet]],Calc_TUV_Env_2[[#Headers],[Ausnet]:[United Energy]],0)),
Calc_TUV_Env_2[Cost item],Calc_TUV_ENVGroup_2[[#This Row],[Cost item]],
Calc_TUV_Env_2[Customer type],Calc_TUV_ENVGroup_2[[#This Row],[Customer type]]),"-")</f>
        <v>4.336398983398596E-5</v>
      </c>
      <c r="I184" s="128">
        <f>IFERROR(SUMIFS(INDEX(Calc_TUV_Env_2[[Ausnet]:[United Energy]],0,MATCH(Calc_TUV_ENVGroup_2[[#Headers],[Citipower]],Calc_TUV_Env_2[[#Headers],[Ausnet]:[United Energy]],0)),
Calc_TUV_Env_2[Cost item],Calc_TUV_ENVGroup_2[[#This Row],[Cost item]],
Calc_TUV_Env_2[Customer type],Calc_TUV_ENVGroup_2[[#This Row],[Customer type]]),"-")</f>
        <v>4.2091286241928205E-5</v>
      </c>
      <c r="J184" s="128" cm="1">
        <f t="array" ref="J184">IFERROR(SUMIFS(INDEX(Calc_TUV_Env_2[[Ausnet]:[United Energy]],0,MATCH(Calc_TUV_ENVGroup_2[[#Headers],[Jemena]],Calc_TUV_Env_2[[#Headers],[Ausnet]:[United Energy]],0)),
Calc_TUV_Env_2[Cost item],Calc_TUV_ENVGroup_2[[#This Row],[Cost item]],
Calc_TUV_Env_2[Customer type],Calc_TUV_ENVGroup_2[[#This Row],[Customer type]]),"-")</f>
        <v>4.1871315696200958E-5</v>
      </c>
      <c r="K184" s="128" cm="1">
        <f t="array" ref="K184">IFERROR(SUMIFS(INDEX(Calc_TUV_Env_2[[Ausnet]:[United Energy]],0,MATCH(Calc_TUV_ENVGroup_2[[#Headers],[Powercor]],Calc_TUV_Env_2[[#Headers],[Ausnet]:[United Energy]],0)),
Calc_TUV_Env_2[Cost item],Calc_TUV_ENVGroup_2[[#This Row],[Cost item]],
Calc_TUV_Env_2[Customer type],Calc_TUV_ENVGroup_2[[#This Row],[Customer type]]),"-")</f>
        <v>4.3045614549519494E-5</v>
      </c>
      <c r="L184" s="128" cm="1">
        <f t="array" ref="L184">IFERROR(SUMIFS(INDEX(Calc_TUV_Env_2[[Ausnet]:[United Energy]],0,MATCH(Calc_TUV_ENVGroup_2[[#Headers],[United Energy]],Calc_TUV_Env_2[[#Headers],[Ausnet]:[United Energy]],0)),
Calc_TUV_Env_2[Cost item],Calc_TUV_ENVGroup_2[[#This Row],[Cost item]],
Calc_TUV_Env_2[Customer type],Calc_TUV_ENVGroup_2[[#This Row],[Customer type]]),"-")</f>
        <v>4.2097886959405397E-5</v>
      </c>
    </row>
    <row r="185" spans="2:12" outlineLevel="1">
      <c r="C185" s="53" t="str">
        <f>IF(COUNTIFS(Calc_TUV_Env_2[Pass through (Yes/No)],"Yes",Calc_TUV_Env_2[Cost item],"Small-scale renewable energy scheme (SRES)")=1,"SRES True Up","-")</f>
        <v>SRES True Up</v>
      </c>
      <c r="D185" s="53" t="s">
        <v>103</v>
      </c>
      <c r="E185" s="53" t="s">
        <v>68</v>
      </c>
      <c r="F185" s="53" t="s">
        <v>91</v>
      </c>
      <c r="G185" s="53" t="s">
        <v>82</v>
      </c>
      <c r="H185" s="128" cm="1">
        <f t="array" ref="H185">IFERROR(SUMIFS(INDEX(Calc_TUV_Env_2[[Ausnet]:[United Energy]],0,MATCH(Calc_TUV_ENVGroup_2[[#Headers],[Ausnet]],Calc_TUV_Env_2[[#Headers],[Ausnet]:[United Energy]],0)),
Calc_TUV_Env_2[Cost item],Calc_TUV_ENVGroup_2[[#This Row],[Cost item]],
Calc_TUV_Env_2[Customer type],Calc_TUV_ENVGroup_2[[#This Row],[Customer type]]),"-")</f>
        <v>8.3605369482481207E-4</v>
      </c>
      <c r="I185" s="128" cm="1">
        <f t="array" ref="I185">IFERROR(SUMIFS(INDEX(Calc_TUV_Env_2[[Ausnet]:[United Energy]],0,MATCH(Calc_TUV_ENVGroup_2[[#Headers],[Citipower]],Calc_TUV_Env_2[[#Headers],[Ausnet]:[United Energy]],0)),
Calc_TUV_Env_2[Cost item],Calc_TUV_ENVGroup_2[[#This Row],[Cost item]],
Calc_TUV_Env_2[Customer type],Calc_TUV_ENVGroup_2[[#This Row],[Customer type]]),"-")</f>
        <v>8.1151608782346635E-4</v>
      </c>
      <c r="J185" s="128" cm="1">
        <f t="array" ref="J185">IFERROR(SUMIFS(INDEX(Calc_TUV_Env_2[[Ausnet]:[United Energy]],0,MATCH(Calc_TUV_ENVGroup_2[[#Headers],[Jemena]],Calc_TUV_Env_2[[#Headers],[Ausnet]:[United Energy]],0)),
Calc_TUV_Env_2[Cost item],Calc_TUV_ENVGroup_2[[#This Row],[Cost item]],
Calc_TUV_Env_2[Customer type],Calc_TUV_ENVGroup_2[[#This Row],[Customer type]]),"-")</f>
        <v>8.0727507614045558E-4</v>
      </c>
      <c r="K185" s="128" cm="1">
        <f t="array" ref="K185">IFERROR(SUMIFS(INDEX(Calc_TUV_Env_2[[Ausnet]:[United Energy]],0,MATCH(Calc_TUV_ENVGroup_2[[#Headers],[Powercor]],Calc_TUV_Env_2[[#Headers],[Ausnet]:[United Energy]],0)),
Calc_TUV_Env_2[Cost item],Calc_TUV_ENVGroup_2[[#This Row],[Cost item]],
Calc_TUV_Env_2[Customer type],Calc_TUV_ENVGroup_2[[#This Row],[Customer type]]),"-")</f>
        <v>8.2991544892220645E-4</v>
      </c>
      <c r="L185" s="128" cm="1">
        <f t="array" ref="L185">IFERROR(SUMIFS(INDEX(Calc_TUV_Env_2[[Ausnet]:[United Energy]],0,MATCH(Calc_TUV_ENVGroup_2[[#Headers],[United Energy]],Calc_TUV_Env_2[[#Headers],[Ausnet]:[United Energy]],0)),
Calc_TUV_Env_2[Cost item],Calc_TUV_ENVGroup_2[[#This Row],[Cost item]],
Calc_TUV_Env_2[Customer type],Calc_TUV_ENVGroup_2[[#This Row],[Customer type]]),"-")</f>
        <v>8.1164334904311962E-4</v>
      </c>
    </row>
    <row r="186" spans="2:12" outlineLevel="1">
      <c r="C186" s="53" t="str">
        <f>IF(COUNTIFS(Calc_TUV_Env_2[Pass through (Yes/No)],"Yes",Calc_TUV_Env_2[Cost item],"Victorian energy upgrades (VEU)")=1,"VEU True Up","-")</f>
        <v>-</v>
      </c>
      <c r="D186" s="53" t="s">
        <v>103</v>
      </c>
      <c r="E186" s="53" t="s">
        <v>68</v>
      </c>
      <c r="F186" s="53" t="s">
        <v>91</v>
      </c>
      <c r="G186" s="53" t="s">
        <v>82</v>
      </c>
      <c r="H186" s="128" cm="1">
        <f t="array" ref="H186">IFERROR(SUMIFS(INDEX(Calc_TUV_Env_2[[Ausnet]:[United Energy]],0,MATCH(Calc_TUV_ENVGroup_2[[#Headers],[Ausnet]],Calc_TUV_Env_2[[#Headers],[Ausnet]:[United Energy]],0)),
Calc_TUV_Env_2[Cost item],Calc_TUV_ENVGroup_2[[#This Row],[Cost item]],
Calc_TUV_Env_2[Customer type],Calc_TUV_ENVGroup_2[[#This Row],[Customer type]]),"-")</f>
        <v>0</v>
      </c>
      <c r="I186" s="128" cm="1">
        <f t="array" ref="I186">IFERROR(SUMIFS(INDEX(Calc_TUV_Env_2[[Ausnet]:[United Energy]],0,MATCH(Calc_TUV_ENVGroup_2[[#Headers],[Citipower]],Calc_TUV_Env_2[[#Headers],[Ausnet]:[United Energy]],0)),
Calc_TUV_Env_2[Cost item],Calc_TUV_ENVGroup_2[[#This Row],[Cost item]],
Calc_TUV_Env_2[Customer type],Calc_TUV_ENVGroup_2[[#This Row],[Customer type]]),"-")</f>
        <v>0</v>
      </c>
      <c r="J186" s="128" cm="1">
        <f t="array" ref="J186">IFERROR(SUMIFS(INDEX(Calc_TUV_Env_2[[Ausnet]:[United Energy]],0,MATCH(Calc_TUV_ENVGroup_2[[#Headers],[Jemena]],Calc_TUV_Env_2[[#Headers],[Ausnet]:[United Energy]],0)),
Calc_TUV_Env_2[Cost item],Calc_TUV_ENVGroup_2[[#This Row],[Cost item]],
Calc_TUV_Env_2[Customer type],Calc_TUV_ENVGroup_2[[#This Row],[Customer type]]),"-")</f>
        <v>0</v>
      </c>
      <c r="K186" s="128" cm="1">
        <f t="array" ref="K186">IFERROR(SUMIFS(INDEX(Calc_TUV_Env_2[[Ausnet]:[United Energy]],0,MATCH(Calc_TUV_ENVGroup_2[[#Headers],[Powercor]],Calc_TUV_Env_2[[#Headers],[Ausnet]:[United Energy]],0)),
Calc_TUV_Env_2[Cost item],Calc_TUV_ENVGroup_2[[#This Row],[Cost item]],
Calc_TUV_Env_2[Customer type],Calc_TUV_ENVGroup_2[[#This Row],[Customer type]]),"-")</f>
        <v>0</v>
      </c>
      <c r="L186" s="128" cm="1">
        <f t="array" ref="L186">IFERROR(SUMIFS(INDEX(Calc_TUV_Env_2[[Ausnet]:[United Energy]],0,MATCH(Calc_TUV_ENVGroup_2[[#Headers],[United Energy]],Calc_TUV_Env_2[[#Headers],[Ausnet]:[United Energy]],0)),
Calc_TUV_Env_2[Cost item],Calc_TUV_ENVGroup_2[[#This Row],[Cost item]],
Calc_TUV_Env_2[Customer type],Calc_TUV_ENVGroup_2[[#This Row],[Customer type]]),"-")</f>
        <v>0</v>
      </c>
    </row>
    <row r="187" spans="2:12" outlineLevel="1"/>
    <row r="188" spans="2:12" ht="15.5" outlineLevel="1">
      <c r="C188" s="49" t="s">
        <v>269</v>
      </c>
      <c r="D188" t="s">
        <v>192</v>
      </c>
      <c r="E188" s="75" t="str">
        <f>INDEX(Input_DecisionActual[Decision],MATCH(Calc_TU_rates!E189,Input_DecisionActual[Actual],0),1)</f>
        <v>VDO 2022 - Final</v>
      </c>
      <c r="F188" s="69">
        <f>INDEX(Input_TU_Periods[],2,MATCH($E188,Inputs!$C$244:$N$244,0))</f>
        <v>181</v>
      </c>
      <c r="H188" s="78"/>
      <c r="I188" s="78"/>
      <c r="J188" s="78"/>
      <c r="K188" s="78"/>
      <c r="L188" s="78"/>
    </row>
    <row r="189" spans="2:12" ht="15.5" outlineLevel="1">
      <c r="C189" s="49" t="s">
        <v>269</v>
      </c>
      <c r="D189" t="s">
        <v>190</v>
      </c>
      <c r="E189" s="75" t="str">
        <f>D135</f>
        <v>VDO 2022-23 - Final</v>
      </c>
      <c r="F189" s="69">
        <f>INDEX(Input_TU_Periods[],2,MATCH($E189,Inputs!$C$244:$N$244,0))</f>
        <v>365</v>
      </c>
      <c r="H189" s="78"/>
      <c r="I189" s="78"/>
      <c r="J189" s="78"/>
      <c r="K189" s="78"/>
      <c r="L189" s="78"/>
    </row>
    <row r="190" spans="2:12" ht="15.5" outlineLevel="1">
      <c r="C190" s="49" t="s">
        <v>270</v>
      </c>
      <c r="F190" s="177">
        <f>F188/F189</f>
        <v>0.49589041095890413</v>
      </c>
    </row>
    <row r="191" spans="2:12" outlineLevel="1"/>
    <row r="192" spans="2:12" ht="15.5" outlineLevel="1">
      <c r="C192" s="26" t="s">
        <v>279</v>
      </c>
    </row>
    <row r="193" spans="3:12" ht="15.5" outlineLevel="1">
      <c r="C193" s="39" t="s">
        <v>261</v>
      </c>
      <c r="D193" s="39" t="s">
        <v>173</v>
      </c>
      <c r="E193" s="39" t="s">
        <v>56</v>
      </c>
      <c r="F193" s="39" t="s">
        <v>57</v>
      </c>
      <c r="G193" s="39" t="s">
        <v>32</v>
      </c>
      <c r="H193" s="54" t="s">
        <v>58</v>
      </c>
      <c r="I193" s="54" t="s">
        <v>59</v>
      </c>
      <c r="J193" s="54" t="s">
        <v>60</v>
      </c>
      <c r="K193" s="54" t="s">
        <v>61</v>
      </c>
      <c r="L193" s="54" t="s">
        <v>62</v>
      </c>
    </row>
    <row r="194" spans="3:12" outlineLevel="1">
      <c r="C194" s="53" t="s">
        <v>70</v>
      </c>
      <c r="D194" s="53" t="s">
        <v>272</v>
      </c>
      <c r="E194" s="53" t="s">
        <v>68</v>
      </c>
      <c r="F194" s="53" t="s">
        <v>65</v>
      </c>
      <c r="G194" s="53" t="s">
        <v>82</v>
      </c>
      <c r="H194" s="130" t="str" cm="1">
        <f t="array" ref="H19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4" s="130" cm="1">
        <f t="array" ref="I19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194" s="130" cm="1">
        <f t="array" ref="J19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194" s="130" cm="1">
        <f t="array" ref="K19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194" s="130" cm="1">
        <f t="array" ref="L19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195" spans="3:12" outlineLevel="1">
      <c r="C195" s="53" t="s">
        <v>70</v>
      </c>
      <c r="D195" s="53" t="s">
        <v>272</v>
      </c>
      <c r="E195" s="53" t="s">
        <v>68</v>
      </c>
      <c r="F195" s="53" t="s">
        <v>66</v>
      </c>
      <c r="G195" s="53" t="s">
        <v>82</v>
      </c>
      <c r="H195" s="130" t="str" cm="1">
        <f t="array" ref="H19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5" s="130" cm="1">
        <f t="array" ref="I19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195" s="130" cm="1">
        <f t="array" ref="J19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195" s="130" cm="1">
        <f t="array" ref="K19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195" s="130" cm="1">
        <f t="array" ref="L19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196" spans="3:12" outlineLevel="1">
      <c r="C196" s="53" t="s">
        <v>67</v>
      </c>
      <c r="D196" s="53" t="s">
        <v>272</v>
      </c>
      <c r="E196" s="53" t="s">
        <v>68</v>
      </c>
      <c r="F196" s="53" t="s">
        <v>65</v>
      </c>
      <c r="G196" s="53" t="s">
        <v>82</v>
      </c>
      <c r="H196" s="130" cm="1">
        <f t="array" ref="H19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196" s="130" t="str" cm="1">
        <f t="array" ref="I19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6" s="130" t="str" cm="1">
        <f t="array" ref="J19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6" s="130" t="str" cm="1">
        <f t="array" ref="K19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6" s="130" t="str" cm="1">
        <f t="array" ref="L19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7" spans="3:12" outlineLevel="1">
      <c r="C197" s="53" t="s">
        <v>67</v>
      </c>
      <c r="D197" s="53" t="s">
        <v>272</v>
      </c>
      <c r="E197" s="53" t="s">
        <v>68</v>
      </c>
      <c r="F197" s="53" t="s">
        <v>66</v>
      </c>
      <c r="G197" s="53" t="s">
        <v>82</v>
      </c>
      <c r="H197" s="130" cm="1">
        <f t="array" ref="H19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197" s="130" t="str" cm="1">
        <f t="array" ref="I19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7" s="130" t="str" cm="1">
        <f t="array" ref="J19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7" s="130" t="str" cm="1">
        <f t="array" ref="K19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7" s="130" t="str" cm="1">
        <f t="array" ref="L19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8" spans="3:12" outlineLevel="1">
      <c r="C198" s="53" t="s">
        <v>69</v>
      </c>
      <c r="D198" s="53" t="s">
        <v>272</v>
      </c>
      <c r="E198" s="53" t="s">
        <v>68</v>
      </c>
      <c r="F198" s="53" t="s">
        <v>65</v>
      </c>
      <c r="G198" s="53" t="s">
        <v>82</v>
      </c>
      <c r="H198" s="130" cm="1">
        <f t="array" ref="H19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198" s="130" t="str" cm="1">
        <f t="array" ref="I19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8" s="130" t="str" cm="1">
        <f t="array" ref="J19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8" s="130" t="str" cm="1">
        <f t="array" ref="K19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8" s="130" t="str" cm="1">
        <f t="array" ref="L19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9" spans="3:12" outlineLevel="1">
      <c r="C199" s="53" t="s">
        <v>69</v>
      </c>
      <c r="D199" s="53" t="s">
        <v>272</v>
      </c>
      <c r="E199" s="53" t="s">
        <v>68</v>
      </c>
      <c r="F199" s="53" t="s">
        <v>66</v>
      </c>
      <c r="G199" s="53" t="s">
        <v>82</v>
      </c>
      <c r="H199" s="130" cm="1">
        <f t="array" ref="H19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199" s="130" t="str" cm="1">
        <f t="array" ref="I19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9" s="130" t="str" cm="1">
        <f t="array" ref="J19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9" s="130" t="str" cm="1">
        <f t="array" ref="K19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9" s="130" t="str" cm="1">
        <f t="array" ref="L19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0" spans="3:12" outlineLevel="1">
      <c r="C200" s="53" t="s">
        <v>74</v>
      </c>
      <c r="D200" s="53" t="s">
        <v>272</v>
      </c>
      <c r="E200" s="53" t="s">
        <v>68</v>
      </c>
      <c r="F200" s="53" t="s">
        <v>65</v>
      </c>
      <c r="G200" s="53" t="s">
        <v>82</v>
      </c>
      <c r="H200" s="130" cm="1">
        <f t="array" ref="H20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0" s="130" cm="1">
        <f t="array" ref="I20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0" s="130" cm="1">
        <f t="array" ref="J20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0" s="130" cm="1">
        <f t="array" ref="K20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0" s="130" cm="1">
        <f t="array" ref="L20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1" spans="3:12" outlineLevel="1">
      <c r="C201" s="53" t="s">
        <v>72</v>
      </c>
      <c r="D201" s="53" t="s">
        <v>272</v>
      </c>
      <c r="E201" s="53" t="s">
        <v>68</v>
      </c>
      <c r="F201" s="53" t="s">
        <v>65</v>
      </c>
      <c r="G201" s="53" t="s">
        <v>82</v>
      </c>
      <c r="H201" s="130" cm="1">
        <f t="array" ref="H20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1" s="130" cm="1">
        <f t="array" ref="I20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1" s="130" cm="1">
        <f t="array" ref="J20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1" s="130" cm="1">
        <f t="array" ref="K20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1" s="130" cm="1">
        <f t="array" ref="L20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2" spans="3:12" outlineLevel="1">
      <c r="C202" s="53" t="s">
        <v>72</v>
      </c>
      <c r="D202" s="53" t="s">
        <v>272</v>
      </c>
      <c r="E202" s="53" t="s">
        <v>68</v>
      </c>
      <c r="F202" s="53" t="s">
        <v>66</v>
      </c>
      <c r="G202" s="53" t="s">
        <v>82</v>
      </c>
      <c r="H202" s="130" cm="1">
        <f t="array" ref="H20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2" s="130" cm="1">
        <f t="array" ref="I20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2" s="130" cm="1">
        <f t="array" ref="J20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2" s="130" cm="1">
        <f t="array" ref="K20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2" s="130" cm="1">
        <f t="array" ref="L20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3" spans="3:12" outlineLevel="1">
      <c r="C203" s="53" t="s">
        <v>73</v>
      </c>
      <c r="D203" s="53" t="s">
        <v>272</v>
      </c>
      <c r="E203" s="53" t="s">
        <v>68</v>
      </c>
      <c r="F203" s="53" t="s">
        <v>65</v>
      </c>
      <c r="G203" s="53" t="s">
        <v>82</v>
      </c>
      <c r="H203" s="130" cm="1">
        <f t="array" ref="H20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3" s="130" cm="1">
        <f t="array" ref="I20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3" s="130" cm="1">
        <f t="array" ref="J20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3" s="130" cm="1">
        <f t="array" ref="K20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3" s="130" cm="1">
        <f t="array" ref="L20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4" spans="3:12" outlineLevel="1">
      <c r="C204" s="53" t="s">
        <v>73</v>
      </c>
      <c r="D204" s="53" t="s">
        <v>272</v>
      </c>
      <c r="E204" s="53" t="s">
        <v>68</v>
      </c>
      <c r="F204" s="53" t="s">
        <v>66</v>
      </c>
      <c r="G204" s="53" t="s">
        <v>82</v>
      </c>
      <c r="H204" s="130" cm="1">
        <f t="array" ref="H20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2.1503786739593039E-5</v>
      </c>
      <c r="I204" s="130" cm="1">
        <f t="array" ref="I20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2.0872665232298645E-5</v>
      </c>
      <c r="J204" s="130" cm="1">
        <f t="array" ref="J20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2.0763583947979107E-5</v>
      </c>
      <c r="K204" s="130" cm="1">
        <f t="array" ref="K20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2.1345907488939805E-5</v>
      </c>
      <c r="L204" s="130" cm="1">
        <f t="array" ref="L20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2.0875938464801034E-5</v>
      </c>
    </row>
    <row r="205" spans="3:12" outlineLevel="1">
      <c r="C205" s="53" t="s">
        <v>70</v>
      </c>
      <c r="D205" s="53" t="s">
        <v>273</v>
      </c>
      <c r="E205" s="53" t="s">
        <v>68</v>
      </c>
      <c r="F205" s="53" t="s">
        <v>65</v>
      </c>
      <c r="G205" s="53" t="s">
        <v>82</v>
      </c>
      <c r="H205" s="130" t="str" cm="1">
        <f t="array" ref="H20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5" s="130" cm="1">
        <f t="array" ref="I20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05" s="130" cm="1">
        <f t="array" ref="J20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05" s="130" cm="1">
        <f t="array" ref="K20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05" s="130" cm="1">
        <f t="array" ref="L20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06" spans="3:12" outlineLevel="1">
      <c r="C206" s="53" t="s">
        <v>70</v>
      </c>
      <c r="D206" s="53" t="s">
        <v>273</v>
      </c>
      <c r="E206" s="53" t="s">
        <v>68</v>
      </c>
      <c r="F206" s="53" t="s">
        <v>66</v>
      </c>
      <c r="G206" s="53" t="s">
        <v>82</v>
      </c>
      <c r="H206" s="130" t="str" cm="1">
        <f t="array" ref="H20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6" s="130" cm="1">
        <f t="array" ref="I20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06" s="130" cm="1">
        <f t="array" ref="J20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06" s="130" cm="1">
        <f t="array" ref="K20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06" s="130" cm="1">
        <f t="array" ref="L20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07" spans="3:12" outlineLevel="1">
      <c r="C207" s="53" t="s">
        <v>67</v>
      </c>
      <c r="D207" s="53" t="s">
        <v>273</v>
      </c>
      <c r="E207" s="53" t="s">
        <v>68</v>
      </c>
      <c r="F207" s="53" t="s">
        <v>65</v>
      </c>
      <c r="G207" s="53" t="s">
        <v>82</v>
      </c>
      <c r="H207" s="130" cm="1">
        <f t="array" ref="H20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07" s="130" t="str" cm="1">
        <f t="array" ref="I20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7" s="130" t="str" cm="1">
        <f t="array" ref="J20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7" s="130" t="str" cm="1">
        <f t="array" ref="K20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7" s="130" t="str" cm="1">
        <f t="array" ref="L20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8" spans="3:12" outlineLevel="1">
      <c r="C208" s="53" t="s">
        <v>67</v>
      </c>
      <c r="D208" s="53" t="s">
        <v>273</v>
      </c>
      <c r="E208" s="53" t="s">
        <v>68</v>
      </c>
      <c r="F208" s="53" t="s">
        <v>66</v>
      </c>
      <c r="G208" s="53" t="s">
        <v>82</v>
      </c>
      <c r="H208" s="130" cm="1">
        <f t="array" ref="H20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08" s="130" t="str" cm="1">
        <f t="array" ref="I20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8" s="130" t="str" cm="1">
        <f t="array" ref="J20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8" s="130" t="str" cm="1">
        <f t="array" ref="K20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8" s="130" t="str" cm="1">
        <f t="array" ref="L20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9" spans="3:18" outlineLevel="1">
      <c r="C209" s="53" t="s">
        <v>69</v>
      </c>
      <c r="D209" s="53" t="s">
        <v>273</v>
      </c>
      <c r="E209" s="53" t="s">
        <v>68</v>
      </c>
      <c r="F209" s="53" t="s">
        <v>65</v>
      </c>
      <c r="G209" s="53" t="s">
        <v>82</v>
      </c>
      <c r="H209" s="130" cm="1">
        <f t="array" ref="H20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09" s="130" t="str" cm="1">
        <f t="array" ref="I20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9" s="130" t="str" cm="1">
        <f t="array" ref="J20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9" s="130" t="str" cm="1">
        <f t="array" ref="K20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9" s="130" t="str" cm="1">
        <f t="array" ref="L20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0" spans="3:18" outlineLevel="1">
      <c r="C210" s="53" t="s">
        <v>69</v>
      </c>
      <c r="D210" s="53" t="s">
        <v>273</v>
      </c>
      <c r="E210" s="53" t="s">
        <v>68</v>
      </c>
      <c r="F210" s="53" t="s">
        <v>66</v>
      </c>
      <c r="G210" s="53" t="s">
        <v>82</v>
      </c>
      <c r="H210" s="130" cm="1">
        <f t="array" ref="H21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0" s="130" t="str" cm="1">
        <f t="array" ref="I21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0" s="130" t="str" cm="1">
        <f t="array" ref="J21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0" s="130" t="str" cm="1">
        <f t="array" ref="K21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0" s="130" t="str" cm="1">
        <f t="array" ref="L21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c r="R210" s="78"/>
    </row>
    <row r="211" spans="3:18" outlineLevel="1">
      <c r="C211" s="53" t="s">
        <v>74</v>
      </c>
      <c r="D211" s="53" t="s">
        <v>273</v>
      </c>
      <c r="E211" s="53" t="s">
        <v>68</v>
      </c>
      <c r="F211" s="53" t="s">
        <v>65</v>
      </c>
      <c r="G211" s="53" t="s">
        <v>82</v>
      </c>
      <c r="H211" s="130" cm="1">
        <f t="array" ref="H21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1" s="130" cm="1">
        <f t="array" ref="I21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1" s="130" cm="1">
        <f t="array" ref="J21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1" s="130" cm="1">
        <f t="array" ref="K21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1" s="130" cm="1">
        <f t="array" ref="L21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2" spans="3:18" outlineLevel="1">
      <c r="C212" s="53" t="s">
        <v>72</v>
      </c>
      <c r="D212" s="53" t="s">
        <v>273</v>
      </c>
      <c r="E212" s="53" t="s">
        <v>68</v>
      </c>
      <c r="F212" s="53" t="s">
        <v>65</v>
      </c>
      <c r="G212" s="53" t="s">
        <v>82</v>
      </c>
      <c r="H212" s="130" cm="1">
        <f t="array" ref="H21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2" s="130" cm="1">
        <f t="array" ref="I21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2" s="130" cm="1">
        <f t="array" ref="J21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2" s="130" cm="1">
        <f t="array" ref="K21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2" s="130" cm="1">
        <f t="array" ref="L21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3" spans="3:18" outlineLevel="1">
      <c r="C213" s="53" t="s">
        <v>72</v>
      </c>
      <c r="D213" s="53" t="s">
        <v>273</v>
      </c>
      <c r="E213" s="53" t="s">
        <v>68</v>
      </c>
      <c r="F213" s="53" t="s">
        <v>66</v>
      </c>
      <c r="G213" s="53" t="s">
        <v>82</v>
      </c>
      <c r="H213" s="130" cm="1">
        <f t="array" ref="H21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3" s="130" cm="1">
        <f t="array" ref="I21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3" s="130" cm="1">
        <f t="array" ref="J21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3" s="130" cm="1">
        <f t="array" ref="K21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3" s="130" cm="1">
        <f t="array" ref="L21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4" spans="3:18" outlineLevel="1">
      <c r="C214" s="53" t="s">
        <v>73</v>
      </c>
      <c r="D214" s="53" t="s">
        <v>273</v>
      </c>
      <c r="E214" s="53" t="s">
        <v>68</v>
      </c>
      <c r="F214" s="53" t="s">
        <v>65</v>
      </c>
      <c r="G214" s="53" t="s">
        <v>82</v>
      </c>
      <c r="H214" s="130" cm="1">
        <f t="array" ref="H21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4" s="130" cm="1">
        <f t="array" ref="I21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4" s="130" cm="1">
        <f t="array" ref="J21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4" s="130" cm="1">
        <f t="array" ref="K21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4" s="130" cm="1">
        <f t="array" ref="L21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5" spans="3:18" outlineLevel="1">
      <c r="C215" s="53" t="s">
        <v>73</v>
      </c>
      <c r="D215" s="53" t="s">
        <v>273</v>
      </c>
      <c r="E215" s="53" t="s">
        <v>68</v>
      </c>
      <c r="F215" s="53" t="s">
        <v>66</v>
      </c>
      <c r="G215" s="53" t="s">
        <v>82</v>
      </c>
      <c r="H215" s="130" cm="1">
        <f t="array" ref="H21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4.145910103103863E-4</v>
      </c>
      <c r="I215" s="130" cm="1">
        <f t="array" ref="I21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4.0242304629054085E-4</v>
      </c>
      <c r="J215" s="130" cm="1">
        <f t="array" ref="J21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4.0031996926417115E-4</v>
      </c>
      <c r="K215" s="130" cm="1">
        <f t="array" ref="K21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4.1154711302717639E-4</v>
      </c>
      <c r="L215" s="130" cm="1">
        <f t="array" ref="L21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4.0248615390905387E-4</v>
      </c>
    </row>
    <row r="216" spans="3:18" outlineLevel="1">
      <c r="C216" s="53" t="s">
        <v>70</v>
      </c>
      <c r="D216" s="53" t="s">
        <v>274</v>
      </c>
      <c r="E216" s="53" t="s">
        <v>68</v>
      </c>
      <c r="F216" s="53" t="s">
        <v>65</v>
      </c>
      <c r="G216" s="53" t="s">
        <v>82</v>
      </c>
      <c r="H216" s="130" t="str" cm="1">
        <f t="array" ref="H21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6" s="130" cm="1">
        <f t="array" ref="I21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6" s="130" cm="1">
        <f t="array" ref="J21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6" s="130" cm="1">
        <f t="array" ref="K21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6" s="130" cm="1">
        <f t="array" ref="L21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7" spans="3:18" outlineLevel="1">
      <c r="C217" s="53" t="s">
        <v>70</v>
      </c>
      <c r="D217" s="53" t="s">
        <v>274</v>
      </c>
      <c r="E217" s="53" t="s">
        <v>68</v>
      </c>
      <c r="F217" s="53" t="s">
        <v>66</v>
      </c>
      <c r="G217" s="53" t="s">
        <v>82</v>
      </c>
      <c r="H217" s="130" t="str" cm="1">
        <f t="array" ref="H21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7" s="130" cm="1">
        <f t="array" ref="I21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7" s="130" cm="1">
        <f t="array" ref="J21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7" s="130" cm="1">
        <f t="array" ref="K21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7" s="130" cm="1">
        <f t="array" ref="L21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8" spans="3:18" outlineLevel="1">
      <c r="C218" s="53" t="s">
        <v>67</v>
      </c>
      <c r="D218" s="53" t="s">
        <v>274</v>
      </c>
      <c r="E218" s="53" t="s">
        <v>68</v>
      </c>
      <c r="F218" s="53" t="s">
        <v>65</v>
      </c>
      <c r="G218" s="53" t="s">
        <v>82</v>
      </c>
      <c r="H218" s="130" cm="1">
        <f t="array" ref="H21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8" s="130" t="str" cm="1">
        <f t="array" ref="I21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8" s="130" t="str" cm="1">
        <f t="array" ref="J21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8" s="130" t="str" cm="1">
        <f t="array" ref="K21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8" s="130" t="str" cm="1">
        <f t="array" ref="L21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9" spans="3:18" outlineLevel="1">
      <c r="C219" s="53" t="s">
        <v>67</v>
      </c>
      <c r="D219" s="53" t="s">
        <v>274</v>
      </c>
      <c r="E219" s="53" t="s">
        <v>68</v>
      </c>
      <c r="F219" s="53" t="s">
        <v>66</v>
      </c>
      <c r="G219" s="53" t="s">
        <v>82</v>
      </c>
      <c r="H219" s="130" cm="1">
        <f t="array" ref="H21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9" s="130" t="str" cm="1">
        <f t="array" ref="I21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9" s="130" t="str" cm="1">
        <f t="array" ref="J21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9" s="130" t="str" cm="1">
        <f t="array" ref="K21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9" s="130" t="str" cm="1">
        <f t="array" ref="L21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0" spans="3:18" outlineLevel="1">
      <c r="C220" s="53" t="s">
        <v>74</v>
      </c>
      <c r="D220" s="53" t="s">
        <v>274</v>
      </c>
      <c r="E220" s="53" t="s">
        <v>68</v>
      </c>
      <c r="F220" s="53" t="s">
        <v>65</v>
      </c>
      <c r="G220" s="53" t="s">
        <v>82</v>
      </c>
      <c r="H220" s="130" cm="1">
        <f t="array" ref="H22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0" s="130" cm="1">
        <f t="array" ref="I22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0" s="130" cm="1">
        <f t="array" ref="J22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0" s="130" cm="1">
        <f t="array" ref="K22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0" s="130" cm="1">
        <f t="array" ref="L22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1" spans="3:18" outlineLevel="1">
      <c r="C221" s="53" t="s">
        <v>69</v>
      </c>
      <c r="D221" s="53" t="s">
        <v>274</v>
      </c>
      <c r="E221" s="53" t="s">
        <v>68</v>
      </c>
      <c r="F221" s="53" t="s">
        <v>65</v>
      </c>
      <c r="G221" s="53" t="s">
        <v>82</v>
      </c>
      <c r="H221" s="130" cm="1">
        <f t="array" ref="H22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1" s="130" t="str" cm="1">
        <f t="array" ref="I22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1" s="130" t="str" cm="1">
        <f t="array" ref="J22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1" s="130" t="str" cm="1">
        <f t="array" ref="K22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1" s="130" t="str" cm="1">
        <f t="array" ref="L22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2" spans="3:18" outlineLevel="1">
      <c r="C222" s="53" t="s">
        <v>69</v>
      </c>
      <c r="D222" s="53" t="s">
        <v>274</v>
      </c>
      <c r="E222" s="53" t="s">
        <v>68</v>
      </c>
      <c r="F222" s="53" t="s">
        <v>66</v>
      </c>
      <c r="G222" s="53" t="s">
        <v>82</v>
      </c>
      <c r="H222" s="130" cm="1">
        <f t="array" ref="H22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2" s="130" t="str" cm="1">
        <f t="array" ref="I22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2" s="130" t="str" cm="1">
        <f t="array" ref="J22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2" s="130" t="str" cm="1">
        <f t="array" ref="K22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2" s="130" t="str" cm="1">
        <f t="array" ref="L22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3" spans="3:18" outlineLevel="1">
      <c r="C223" s="53" t="s">
        <v>72</v>
      </c>
      <c r="D223" s="53" t="s">
        <v>274</v>
      </c>
      <c r="E223" s="53" t="s">
        <v>68</v>
      </c>
      <c r="F223" s="53" t="s">
        <v>65</v>
      </c>
      <c r="G223" s="53" t="s">
        <v>82</v>
      </c>
      <c r="H223" s="130" cm="1">
        <f t="array" ref="H22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3" s="130" cm="1">
        <f t="array" ref="I22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3" s="130" cm="1">
        <f t="array" ref="J22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3" s="130" cm="1">
        <f t="array" ref="K22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3" s="130" cm="1">
        <f t="array" ref="L22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4" spans="3:18" outlineLevel="1">
      <c r="C224" s="53" t="s">
        <v>72</v>
      </c>
      <c r="D224" s="53" t="s">
        <v>274</v>
      </c>
      <c r="E224" s="53" t="s">
        <v>68</v>
      </c>
      <c r="F224" s="53" t="s">
        <v>66</v>
      </c>
      <c r="G224" s="53" t="s">
        <v>82</v>
      </c>
      <c r="H224" s="130" cm="1">
        <f t="array" ref="H22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4" s="130" cm="1">
        <f t="array" ref="I22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4" s="130" cm="1">
        <f t="array" ref="J22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4" s="130" cm="1">
        <f t="array" ref="K22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4" s="130" cm="1">
        <f t="array" ref="L22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5" spans="3:12" outlineLevel="1">
      <c r="C225" s="53" t="s">
        <v>73</v>
      </c>
      <c r="D225" s="53" t="s">
        <v>274</v>
      </c>
      <c r="E225" s="53" t="s">
        <v>68</v>
      </c>
      <c r="F225" s="53" t="s">
        <v>65</v>
      </c>
      <c r="G225" s="53" t="s">
        <v>82</v>
      </c>
      <c r="H225" s="130" cm="1">
        <f t="array" ref="H22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5" s="130" cm="1">
        <f t="array" ref="I22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5" s="130" cm="1">
        <f t="array" ref="J22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5" s="130" cm="1">
        <f t="array" ref="K22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5" s="130" cm="1">
        <f t="array" ref="L22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6" spans="3:12" outlineLevel="1">
      <c r="C226" s="53" t="s">
        <v>73</v>
      </c>
      <c r="D226" s="53" t="s">
        <v>274</v>
      </c>
      <c r="E226" s="53" t="s">
        <v>68</v>
      </c>
      <c r="F226" s="53" t="s">
        <v>66</v>
      </c>
      <c r="G226" s="53" t="s">
        <v>82</v>
      </c>
      <c r="H226" s="130" cm="1">
        <f t="array" ref="H22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6" s="130" cm="1">
        <f t="array" ref="I22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6" s="130" cm="1">
        <f t="array" ref="J22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6" s="130" cm="1">
        <f t="array" ref="K22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6" s="130" cm="1">
        <f t="array" ref="L22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7" spans="3:12" outlineLevel="1"/>
    <row r="228" spans="3:12" ht="15.5" outlineLevel="1">
      <c r="C228" s="26" t="s">
        <v>280</v>
      </c>
    </row>
    <row r="229" spans="3:12" ht="15.5" outlineLevel="1">
      <c r="C229" s="38" t="s">
        <v>261</v>
      </c>
      <c r="D229" s="38" t="s">
        <v>173</v>
      </c>
      <c r="E229" s="38" t="s">
        <v>56</v>
      </c>
      <c r="F229" s="38" t="s">
        <v>57</v>
      </c>
      <c r="G229" s="38" t="s">
        <v>32</v>
      </c>
      <c r="H229" s="45" t="s">
        <v>58</v>
      </c>
      <c r="I229" s="45" t="s">
        <v>59</v>
      </c>
      <c r="J229" s="45" t="s">
        <v>60</v>
      </c>
      <c r="K229" s="45" t="s">
        <v>61</v>
      </c>
      <c r="L229" s="45" t="s">
        <v>62</v>
      </c>
    </row>
    <row r="230" spans="3:12" ht="15.5" outlineLevel="1">
      <c r="C230" s="53" t="s">
        <v>70</v>
      </c>
      <c r="D230" s="53" t="s">
        <v>272</v>
      </c>
      <c r="E230" s="53" t="s">
        <v>68</v>
      </c>
      <c r="F230" s="53" t="s">
        <v>65</v>
      </c>
      <c r="G230" s="53" t="s">
        <v>82</v>
      </c>
      <c r="H230" s="84" t="str">
        <f>IF(H194="-","-",
IF(
ROUND(H194,8)=
ROUND(SUMIFS(Calc_TUV_ENVGroup_2[Ausnet],Calc_TUV_ENVGroup_2[[Cost item]:[Cost item]],$D230,Calc_TUV_ENVGroup_2[[Cost element]:[Cost element]],$G230)*($F$188/$F$189),8),
0,1))</f>
        <v>-</v>
      </c>
      <c r="I230" s="84">
        <f>IF(I194="-","-",
IF(
ROUND(I194,8)=
ROUND(SUMIFS(Calc_TUV_ENVGroup_2[Citipower],Calc_TUV_ENVGroup_2[[Cost item]:[Cost item]],$D230,Calc_TUV_ENVGroup_2[[Cost element]:[Cost element]],$G230)*($F$188/$F$189),8),
0,1))</f>
        <v>0</v>
      </c>
      <c r="J230" s="84">
        <f>IF(J194="-","-",
IF(
ROUND(J194,8)=
ROUND(SUMIFS(Calc_TUV_ENVGroup_2[Jemena],Calc_TUV_ENVGroup_2[[Cost item]:[Cost item]],$D230,Calc_TUV_ENVGroup_2[[Cost element]:[Cost element]],$G230)*($F$188/$F$189),8),
0,1))</f>
        <v>0</v>
      </c>
      <c r="K230" s="84">
        <f>IF(K194="-","-",
IF(
ROUND(K194,8)=
ROUND(SUMIFS(Calc_TUV_ENVGroup_2[Powercor],Calc_TUV_ENVGroup_2[[Cost item]:[Cost item]],$D230,Calc_TUV_ENVGroup_2[[Cost element]:[Cost element]],$G230)*($F$188/$F$189),8),
0,1))</f>
        <v>0</v>
      </c>
      <c r="L230" s="84">
        <f>IF(L194="-","-",
IF(
ROUND(L194,8)=
ROUND(SUMIFS(Calc_TUV_ENVGroup_2[United Energy],Calc_TUV_ENVGroup_2[[Cost item]:[Cost item]],$D230,Calc_TUV_ENVGroup_2[[Cost element]:[Cost element]],$G230)*($F$188/$F$189),8),
0,1))</f>
        <v>0</v>
      </c>
    </row>
    <row r="231" spans="3:12" ht="15.5" outlineLevel="1">
      <c r="C231" s="53" t="s">
        <v>70</v>
      </c>
      <c r="D231" s="53" t="s">
        <v>272</v>
      </c>
      <c r="E231" s="53" t="s">
        <v>68</v>
      </c>
      <c r="F231" s="53" t="s">
        <v>66</v>
      </c>
      <c r="G231" s="53" t="s">
        <v>82</v>
      </c>
      <c r="H231" s="84" t="str">
        <f>IF(H195="-","-",
IF(
ROUND(H195,8)=
ROUND(SUMIFS(Calc_TUV_ENVGroup_2[Ausnet],Calc_TUV_ENVGroup_2[[Cost item]:[Cost item]],$D231,Calc_TUV_ENVGroup_2[[Cost element]:[Cost element]],$G231)*($F$188/$F$189),8),
0,1))</f>
        <v>-</v>
      </c>
      <c r="I231" s="84">
        <f>IF(I195="-","-",
IF(
ROUND(I195,8)=
ROUND(SUMIFS(Calc_TUV_ENVGroup_2[Citipower],Calc_TUV_ENVGroup_2[[Cost item]:[Cost item]],$D231,Calc_TUV_ENVGroup_2[[Cost element]:[Cost element]],$G231)*($F$188/$F$189),8),
0,1))</f>
        <v>0</v>
      </c>
      <c r="J231" s="84">
        <f>IF(J195="-","-",
IF(
ROUND(J195,8)=
ROUND(SUMIFS(Calc_TUV_ENVGroup_2[Jemena],Calc_TUV_ENVGroup_2[[Cost item]:[Cost item]],$D231,Calc_TUV_ENVGroup_2[[Cost element]:[Cost element]],$G231)*($F$188/$F$189),8),
0,1))</f>
        <v>0</v>
      </c>
      <c r="K231" s="84">
        <f>IF(K195="-","-",
IF(
ROUND(K195,8)=
ROUND(SUMIFS(Calc_TUV_ENVGroup_2[Powercor],Calc_TUV_ENVGroup_2[[Cost item]:[Cost item]],$D231,Calc_TUV_ENVGroup_2[[Cost element]:[Cost element]],$G231)*($F$188/$F$189),8),
0,1))</f>
        <v>0</v>
      </c>
      <c r="L231" s="84">
        <f>IF(L195="-","-",
IF(
ROUND(L195,8)=
ROUND(SUMIFS(Calc_TUV_ENVGroup_2[United Energy],Calc_TUV_ENVGroup_2[[Cost item]:[Cost item]],$D231,Calc_TUV_ENVGroup_2[[Cost element]:[Cost element]],$G231)*($F$188/$F$189),8),
0,1))</f>
        <v>0</v>
      </c>
    </row>
    <row r="232" spans="3:12" ht="15.5" outlineLevel="1">
      <c r="C232" s="53" t="s">
        <v>67</v>
      </c>
      <c r="D232" s="53" t="s">
        <v>272</v>
      </c>
      <c r="E232" s="53" t="s">
        <v>68</v>
      </c>
      <c r="F232" s="53" t="s">
        <v>65</v>
      </c>
      <c r="G232" s="53" t="s">
        <v>82</v>
      </c>
      <c r="H232" s="84">
        <f>IF(H196="-","-",
IF(
ROUND(H196,8)=
ROUND(SUMIFS(Calc_TUV_ENVGroup_2[Ausnet],Calc_TUV_ENVGroup_2[[Cost item]:[Cost item]],$D232,Calc_TUV_ENVGroup_2[[Cost element]:[Cost element]],$G232)*($F$188/$F$189),8),
0,1))</f>
        <v>0</v>
      </c>
      <c r="I232" s="84" t="str">
        <f>IF(I196="-","-",
IF(
ROUND(I196,8)=
ROUND(SUMIFS(Calc_TUV_ENVGroup_2[Citipower],Calc_TUV_ENVGroup_2[[Cost item]:[Cost item]],$D232,Calc_TUV_ENVGroup_2[[Cost element]:[Cost element]],$G232)*($F$188/$F$189),8),
0,1))</f>
        <v>-</v>
      </c>
      <c r="J232" s="84" t="str">
        <f>IF(J196="-","-",
IF(
ROUND(J196,8)=
ROUND(SUMIFS(Calc_TUV_ENVGroup_2[Jemena],Calc_TUV_ENVGroup_2[[Cost item]:[Cost item]],$D232,Calc_TUV_ENVGroup_2[[Cost element]:[Cost element]],$G232)*($F$188/$F$189),8),
0,1))</f>
        <v>-</v>
      </c>
      <c r="K232" s="84" t="str">
        <f>IF(K196="-","-",
IF(
ROUND(K196,8)=
ROUND(SUMIFS(Calc_TUV_ENVGroup_2[Powercor],Calc_TUV_ENVGroup_2[[Cost item]:[Cost item]],$D232,Calc_TUV_ENVGroup_2[[Cost element]:[Cost element]],$G232)*($F$188/$F$189),8),
0,1))</f>
        <v>-</v>
      </c>
      <c r="L232" s="84" t="str">
        <f>IF(L196="-","-",
IF(
ROUND(L196,8)=
ROUND(SUMIFS(Calc_TUV_ENVGroup_2[United Energy],Calc_TUV_ENVGroup_2[[Cost item]:[Cost item]],$D232,Calc_TUV_ENVGroup_2[[Cost element]:[Cost element]],$G232)*($F$188/$F$189),8),
0,1))</f>
        <v>-</v>
      </c>
    </row>
    <row r="233" spans="3:12" ht="15.5" outlineLevel="1">
      <c r="C233" s="53" t="s">
        <v>67</v>
      </c>
      <c r="D233" s="53" t="s">
        <v>272</v>
      </c>
      <c r="E233" s="53" t="s">
        <v>68</v>
      </c>
      <c r="F233" s="53" t="s">
        <v>66</v>
      </c>
      <c r="G233" s="53" t="s">
        <v>82</v>
      </c>
      <c r="H233" s="84">
        <f>IF(H197="-","-",
IF(
ROUND(H197,8)=
ROUND(SUMIFS(Calc_TUV_ENVGroup_2[Ausnet],Calc_TUV_ENVGroup_2[[Cost item]:[Cost item]],$D233,Calc_TUV_ENVGroup_2[[Cost element]:[Cost element]],$G233)*($F$188/$F$189),8),
0,1))</f>
        <v>0</v>
      </c>
      <c r="I233" s="84" t="str">
        <f>IF(I197="-","-",
IF(
ROUND(I197,8)=
ROUND(SUMIFS(Calc_TUV_ENVGroup_2[Citipower],Calc_TUV_ENVGroup_2[[Cost item]:[Cost item]],$D233,Calc_TUV_ENVGroup_2[[Cost element]:[Cost element]],$G233)*($F$188/$F$189),8),
0,1))</f>
        <v>-</v>
      </c>
      <c r="J233" s="84" t="str">
        <f>IF(J197="-","-",
IF(
ROUND(J197,8)=
ROUND(SUMIFS(Calc_TUV_ENVGroup_2[Jemena],Calc_TUV_ENVGroup_2[[Cost item]:[Cost item]],$D233,Calc_TUV_ENVGroup_2[[Cost element]:[Cost element]],$G233)*($F$188/$F$189),8),
0,1))</f>
        <v>-</v>
      </c>
      <c r="K233" s="84" t="str">
        <f>IF(K197="-","-",
IF(
ROUND(K197,8)=
ROUND(SUMIFS(Calc_TUV_ENVGroup_2[Powercor],Calc_TUV_ENVGroup_2[[Cost item]:[Cost item]],$D233,Calc_TUV_ENVGroup_2[[Cost element]:[Cost element]],$G233)*($F$188/$F$189),8),
0,1))</f>
        <v>-</v>
      </c>
      <c r="L233" s="84" t="str">
        <f>IF(L197="-","-",
IF(
ROUND(L197,8)=
ROUND(SUMIFS(Calc_TUV_ENVGroup_2[United Energy],Calc_TUV_ENVGroup_2[[Cost item]:[Cost item]],$D233,Calc_TUV_ENVGroup_2[[Cost element]:[Cost element]],$G233)*($F$188/$F$189),8),
0,1))</f>
        <v>-</v>
      </c>
    </row>
    <row r="234" spans="3:12" ht="15.5" outlineLevel="1">
      <c r="C234" s="53" t="s">
        <v>69</v>
      </c>
      <c r="D234" s="53" t="s">
        <v>272</v>
      </c>
      <c r="E234" s="53" t="s">
        <v>68</v>
      </c>
      <c r="F234" s="53" t="s">
        <v>65</v>
      </c>
      <c r="G234" s="53" t="s">
        <v>82</v>
      </c>
      <c r="H234" s="84">
        <f>IF(H198="-","-",
IF(
ROUND(H198,8)=
ROUND(SUMIFS(Calc_TUV_ENVGroup_2[Ausnet],Calc_TUV_ENVGroup_2[[Cost item]:[Cost item]],$D234,Calc_TUV_ENVGroup_2[[Cost element]:[Cost element]],$G234)*($F$188/$F$189),8),
0,1))</f>
        <v>0</v>
      </c>
      <c r="I234" s="84" t="str">
        <f>IF(I198="-","-",
IF(
ROUND(I198,8)=
ROUND(SUMIFS(Calc_TUV_ENVGroup_2[Citipower],Calc_TUV_ENVGroup_2[[Cost item]:[Cost item]],$D234,Calc_TUV_ENVGroup_2[[Cost element]:[Cost element]],$G234)*($F$188/$F$189),8),
0,1))</f>
        <v>-</v>
      </c>
      <c r="J234" s="84" t="str">
        <f>IF(J198="-","-",
IF(
ROUND(J198,8)=
ROUND(SUMIFS(Calc_TUV_ENVGroup_2[Jemena],Calc_TUV_ENVGroup_2[[Cost item]:[Cost item]],$D234,Calc_TUV_ENVGroup_2[[Cost element]:[Cost element]],$G234)*($F$188/$F$189),8),
0,1))</f>
        <v>-</v>
      </c>
      <c r="K234" s="84" t="str">
        <f>IF(K198="-","-",
IF(
ROUND(K198,8)=
ROUND(SUMIFS(Calc_TUV_ENVGroup_2[Powercor],Calc_TUV_ENVGroup_2[[Cost item]:[Cost item]],$D234,Calc_TUV_ENVGroup_2[[Cost element]:[Cost element]],$G234)*($F$188/$F$189),8),
0,1))</f>
        <v>-</v>
      </c>
      <c r="L234" s="84" t="str">
        <f>IF(L198="-","-",
IF(
ROUND(L198,8)=
ROUND(SUMIFS(Calc_TUV_ENVGroup_2[United Energy],Calc_TUV_ENVGroup_2[[Cost item]:[Cost item]],$D234,Calc_TUV_ENVGroup_2[[Cost element]:[Cost element]],$G234)*($F$188/$F$189),8),
0,1))</f>
        <v>-</v>
      </c>
    </row>
    <row r="235" spans="3:12" ht="15.5" outlineLevel="1">
      <c r="C235" s="53" t="s">
        <v>69</v>
      </c>
      <c r="D235" s="53" t="s">
        <v>272</v>
      </c>
      <c r="E235" s="53" t="s">
        <v>68</v>
      </c>
      <c r="F235" s="53" t="s">
        <v>66</v>
      </c>
      <c r="G235" s="53" t="s">
        <v>82</v>
      </c>
      <c r="H235" s="84">
        <f>IF(H199="-","-",
IF(
ROUND(H199,8)=
ROUND(SUMIFS(Calc_TUV_ENVGroup_2[Ausnet],Calc_TUV_ENVGroup_2[[Cost item]:[Cost item]],$D235,Calc_TUV_ENVGroup_2[[Cost element]:[Cost element]],$G235)*($F$188/$F$189),8),
0,1))</f>
        <v>0</v>
      </c>
      <c r="I235" s="84" t="str">
        <f>IF(I199="-","-",
IF(
ROUND(I199,8)=
ROUND(SUMIFS(Calc_TUV_ENVGroup_2[Citipower],Calc_TUV_ENVGroup_2[[Cost item]:[Cost item]],$D235,Calc_TUV_ENVGroup_2[[Cost element]:[Cost element]],$G235)*($F$188/$F$189),8),
0,1))</f>
        <v>-</v>
      </c>
      <c r="J235" s="84" t="str">
        <f>IF(J199="-","-",
IF(
ROUND(J199,8)=
ROUND(SUMIFS(Calc_TUV_ENVGroup_2[Jemena],Calc_TUV_ENVGroup_2[[Cost item]:[Cost item]],$D235,Calc_TUV_ENVGroup_2[[Cost element]:[Cost element]],$G235)*($F$188/$F$189),8),
0,1))</f>
        <v>-</v>
      </c>
      <c r="K235" s="84" t="str">
        <f>IF(K199="-","-",
IF(
ROUND(K199,8)=
ROUND(SUMIFS(Calc_TUV_ENVGroup_2[Powercor],Calc_TUV_ENVGroup_2[[Cost item]:[Cost item]],$D235,Calc_TUV_ENVGroup_2[[Cost element]:[Cost element]],$G235)*($F$188/$F$189),8),
0,1))</f>
        <v>-</v>
      </c>
      <c r="L235" s="84" t="str">
        <f>IF(L199="-","-",
IF(
ROUND(L199,8)=
ROUND(SUMIFS(Calc_TUV_ENVGroup_2[United Energy],Calc_TUV_ENVGroup_2[[Cost item]:[Cost item]],$D235,Calc_TUV_ENVGroup_2[[Cost element]:[Cost element]],$G235)*($F$188/$F$189),8),
0,1))</f>
        <v>-</v>
      </c>
    </row>
    <row r="236" spans="3:12" ht="15.5" outlineLevel="1">
      <c r="C236" s="53" t="s">
        <v>74</v>
      </c>
      <c r="D236" s="53" t="s">
        <v>272</v>
      </c>
      <c r="E236" s="53" t="s">
        <v>68</v>
      </c>
      <c r="F236" s="53" t="s">
        <v>65</v>
      </c>
      <c r="G236" s="53" t="s">
        <v>82</v>
      </c>
      <c r="H236" s="84">
        <f>IF(H200="-","-",
IF(
ROUND(H200,8)=
ROUND(SUMIFS(Calc_TUV_ENVGroup_2[Ausnet],Calc_TUV_ENVGroup_2[[Cost item]:[Cost item]],$D236,Calc_TUV_ENVGroup_2[[Cost element]:[Cost element]],$G236)*($F$188/$F$189),8),
0,1))</f>
        <v>0</v>
      </c>
      <c r="I236" s="84">
        <f>IF(I200="-","-",
IF(
ROUND(I200,8)=
ROUND(SUMIFS(Calc_TUV_ENVGroup_2[Citipower],Calc_TUV_ENVGroup_2[[Cost item]:[Cost item]],$D236,Calc_TUV_ENVGroup_2[[Cost element]:[Cost element]],$G236)*($F$188/$F$189),8),
0,1))</f>
        <v>0</v>
      </c>
      <c r="J236" s="84">
        <f>IF(J200="-","-",
IF(
ROUND(J200,8)=
ROUND(SUMIFS(Calc_TUV_ENVGroup_2[Jemena],Calc_TUV_ENVGroup_2[[Cost item]:[Cost item]],$D236,Calc_TUV_ENVGroup_2[[Cost element]:[Cost element]],$G236)*($F$188/$F$189),8),
0,1))</f>
        <v>0</v>
      </c>
      <c r="K236" s="84">
        <f>IF(K200="-","-",
IF(
ROUND(K200,8)=
ROUND(SUMIFS(Calc_TUV_ENVGroup_2[Powercor],Calc_TUV_ENVGroup_2[[Cost item]:[Cost item]],$D236,Calc_TUV_ENVGroup_2[[Cost element]:[Cost element]],$G236)*($F$188/$F$189),8),
0,1))</f>
        <v>0</v>
      </c>
      <c r="L236" s="84">
        <f>IF(L200="-","-",
IF(
ROUND(L200,8)=
ROUND(SUMIFS(Calc_TUV_ENVGroup_2[United Energy],Calc_TUV_ENVGroup_2[[Cost item]:[Cost item]],$D236,Calc_TUV_ENVGroup_2[[Cost element]:[Cost element]],$G236)*($F$188/$F$189),8),
0,1))</f>
        <v>0</v>
      </c>
    </row>
    <row r="237" spans="3:12" ht="15.5" outlineLevel="1">
      <c r="C237" s="53" t="s">
        <v>72</v>
      </c>
      <c r="D237" s="53" t="s">
        <v>272</v>
      </c>
      <c r="E237" s="53" t="s">
        <v>68</v>
      </c>
      <c r="F237" s="53" t="s">
        <v>65</v>
      </c>
      <c r="G237" s="53" t="s">
        <v>82</v>
      </c>
      <c r="H237" s="84">
        <f>IF(H201="-","-",
IF(
ROUND(H201,8)=
ROUND(SUMIFS(Calc_TUV_ENVGroup_2[Ausnet],Calc_TUV_ENVGroup_2[[Cost item]:[Cost item]],$D237,Calc_TUV_ENVGroup_2[[Cost element]:[Cost element]],$G237)*($F$188/$F$189),8),
0,1))</f>
        <v>0</v>
      </c>
      <c r="I237" s="84">
        <f>IF(I201="-","-",
IF(
ROUND(I201,8)=
ROUND(SUMIFS(Calc_TUV_ENVGroup_2[Citipower],Calc_TUV_ENVGroup_2[[Cost item]:[Cost item]],$D237,Calc_TUV_ENVGroup_2[[Cost element]:[Cost element]],$G237)*($F$188/$F$189),8),
0,1))</f>
        <v>0</v>
      </c>
      <c r="J237" s="84">
        <f>IF(J201="-","-",
IF(
ROUND(J201,8)=
ROUND(SUMIFS(Calc_TUV_ENVGroup_2[Jemena],Calc_TUV_ENVGroup_2[[Cost item]:[Cost item]],$D237,Calc_TUV_ENVGroup_2[[Cost element]:[Cost element]],$G237)*($F$188/$F$189),8),
0,1))</f>
        <v>0</v>
      </c>
      <c r="K237" s="84">
        <f>IF(K201="-","-",
IF(
ROUND(K201,8)=
ROUND(SUMIFS(Calc_TUV_ENVGroup_2[Powercor],Calc_TUV_ENVGroup_2[[Cost item]:[Cost item]],$D237,Calc_TUV_ENVGroup_2[[Cost element]:[Cost element]],$G237)*($F$188/$F$189),8),
0,1))</f>
        <v>0</v>
      </c>
      <c r="L237" s="84">
        <f>IF(L201="-","-",
IF(
ROUND(L201,8)=
ROUND(SUMIFS(Calc_TUV_ENVGroup_2[United Energy],Calc_TUV_ENVGroup_2[[Cost item]:[Cost item]],$D237,Calc_TUV_ENVGroup_2[[Cost element]:[Cost element]],$G237)*($F$188/$F$189),8),
0,1))</f>
        <v>0</v>
      </c>
    </row>
    <row r="238" spans="3:12" ht="15.5" outlineLevel="1">
      <c r="C238" s="53" t="s">
        <v>72</v>
      </c>
      <c r="D238" s="53" t="s">
        <v>272</v>
      </c>
      <c r="E238" s="53" t="s">
        <v>68</v>
      </c>
      <c r="F238" s="53" t="s">
        <v>66</v>
      </c>
      <c r="G238" s="53" t="s">
        <v>82</v>
      </c>
      <c r="H238" s="84">
        <f>IF(H202="-","-",
IF(
ROUND(H202,8)=
ROUND(SUMIFS(Calc_TUV_ENVGroup_2[Ausnet],Calc_TUV_ENVGroup_2[[Cost item]:[Cost item]],$D238,Calc_TUV_ENVGroup_2[[Cost element]:[Cost element]],$G238)*($F$188/$F$189),8),
0,1))</f>
        <v>0</v>
      </c>
      <c r="I238" s="84">
        <f>IF(I202="-","-",
IF(
ROUND(I202,8)=
ROUND(SUMIFS(Calc_TUV_ENVGroup_2[Citipower],Calc_TUV_ENVGroup_2[[Cost item]:[Cost item]],$D238,Calc_TUV_ENVGroup_2[[Cost element]:[Cost element]],$G238)*($F$188/$F$189),8),
0,1))</f>
        <v>0</v>
      </c>
      <c r="J238" s="84">
        <f>IF(J202="-","-",
IF(
ROUND(J202,8)=
ROUND(SUMIFS(Calc_TUV_ENVGroup_2[Jemena],Calc_TUV_ENVGroup_2[[Cost item]:[Cost item]],$D238,Calc_TUV_ENVGroup_2[[Cost element]:[Cost element]],$G238)*($F$188/$F$189),8),
0,1))</f>
        <v>0</v>
      </c>
      <c r="K238" s="84">
        <f>IF(K202="-","-",
IF(
ROUND(K202,8)=
ROUND(SUMIFS(Calc_TUV_ENVGroup_2[Powercor],Calc_TUV_ENVGroup_2[[Cost item]:[Cost item]],$D238,Calc_TUV_ENVGroup_2[[Cost element]:[Cost element]],$G238)*($F$188/$F$189),8),
0,1))</f>
        <v>0</v>
      </c>
      <c r="L238" s="84">
        <f>IF(L202="-","-",
IF(
ROUND(L202,8)=
ROUND(SUMIFS(Calc_TUV_ENVGroup_2[United Energy],Calc_TUV_ENVGroup_2[[Cost item]:[Cost item]],$D238,Calc_TUV_ENVGroup_2[[Cost element]:[Cost element]],$G238)*($F$188/$F$189),8),
0,1))</f>
        <v>0</v>
      </c>
    </row>
    <row r="239" spans="3:12" ht="15.5" outlineLevel="1">
      <c r="C239" s="53" t="s">
        <v>73</v>
      </c>
      <c r="D239" s="53" t="s">
        <v>272</v>
      </c>
      <c r="E239" s="53" t="s">
        <v>68</v>
      </c>
      <c r="F239" s="53" t="s">
        <v>65</v>
      </c>
      <c r="G239" s="53" t="s">
        <v>82</v>
      </c>
      <c r="H239" s="84">
        <f>IF(H203="-","-",
IF(
ROUND(H203,8)=
ROUND(SUMIFS(Calc_TUV_ENVGroup_2[Ausnet],Calc_TUV_ENVGroup_2[[Cost item]:[Cost item]],$D239,Calc_TUV_ENVGroup_2[[Cost element]:[Cost element]],$G239)*($F$188/$F$189),8),
0,1))</f>
        <v>0</v>
      </c>
      <c r="I239" s="84">
        <f>IF(I203="-","-",
IF(
ROUND(I203,8)=
ROUND(SUMIFS(Calc_TUV_ENVGroup_2[Citipower],Calc_TUV_ENVGroup_2[[Cost item]:[Cost item]],$D239,Calc_TUV_ENVGroup_2[[Cost element]:[Cost element]],$G239)*($F$188/$F$189),8),
0,1))</f>
        <v>0</v>
      </c>
      <c r="J239" s="84">
        <f>IF(J203="-","-",
IF(
ROUND(J203,8)=
ROUND(SUMIFS(Calc_TUV_ENVGroup_2[Jemena],Calc_TUV_ENVGroup_2[[Cost item]:[Cost item]],$D239,Calc_TUV_ENVGroup_2[[Cost element]:[Cost element]],$G239)*($F$188/$F$189),8),
0,1))</f>
        <v>0</v>
      </c>
      <c r="K239" s="84">
        <f>IF(K203="-","-",
IF(
ROUND(K203,8)=
ROUND(SUMIFS(Calc_TUV_ENVGroup_2[Powercor],Calc_TUV_ENVGroup_2[[Cost item]:[Cost item]],$D239,Calc_TUV_ENVGroup_2[[Cost element]:[Cost element]],$G239)*($F$188/$F$189),8),
0,1))</f>
        <v>0</v>
      </c>
      <c r="L239" s="84">
        <f>IF(L203="-","-",
IF(
ROUND(L203,8)=
ROUND(SUMIFS(Calc_TUV_ENVGroup_2[United Energy],Calc_TUV_ENVGroup_2[[Cost item]:[Cost item]],$D239,Calc_TUV_ENVGroup_2[[Cost element]:[Cost element]],$G239)*($F$188/$F$189),8),
0,1))</f>
        <v>0</v>
      </c>
    </row>
    <row r="240" spans="3:12" ht="15.5" outlineLevel="1">
      <c r="C240" s="53" t="s">
        <v>73</v>
      </c>
      <c r="D240" s="53" t="s">
        <v>272</v>
      </c>
      <c r="E240" s="53" t="s">
        <v>68</v>
      </c>
      <c r="F240" s="53" t="s">
        <v>66</v>
      </c>
      <c r="G240" s="53" t="s">
        <v>82</v>
      </c>
      <c r="H240" s="84">
        <f>IF(H204="-","-",
IF(
ROUND(H204,8)=
ROUND(SUMIFS(Calc_TUV_ENVGroup_2[Ausnet],Calc_TUV_ENVGroup_2[[Cost item]:[Cost item]],$D240,Calc_TUV_ENVGroup_2[[Cost element]:[Cost element]],$G240)*($F$188/$F$189),8),
0,1))</f>
        <v>0</v>
      </c>
      <c r="I240" s="84">
        <f>IF(I204="-","-",
IF(
ROUND(I204,8)=
ROUND(SUMIFS(Calc_TUV_ENVGroup_2[Citipower],Calc_TUV_ENVGroup_2[[Cost item]:[Cost item]],$D240,Calc_TUV_ENVGroup_2[[Cost element]:[Cost element]],$G240)*($F$188/$F$189),8),
0,1))</f>
        <v>0</v>
      </c>
      <c r="J240" s="84">
        <f>IF(J204="-","-",
IF(
ROUND(J204,8)=
ROUND(SUMIFS(Calc_TUV_ENVGroup_2[Jemena],Calc_TUV_ENVGroup_2[[Cost item]:[Cost item]],$D240,Calc_TUV_ENVGroup_2[[Cost element]:[Cost element]],$G240)*($F$188/$F$189),8),
0,1))</f>
        <v>0</v>
      </c>
      <c r="K240" s="84">
        <f>IF(K204="-","-",
IF(
ROUND(K204,8)=
ROUND(SUMIFS(Calc_TUV_ENVGroup_2[Powercor],Calc_TUV_ENVGroup_2[[Cost item]:[Cost item]],$D240,Calc_TUV_ENVGroup_2[[Cost element]:[Cost element]],$G240)*($F$188/$F$189),8),
0,1))</f>
        <v>0</v>
      </c>
      <c r="L240" s="84">
        <f>IF(L204="-","-",
IF(
ROUND(L204,8)=
ROUND(SUMIFS(Calc_TUV_ENVGroup_2[United Energy],Calc_TUV_ENVGroup_2[[Cost item]:[Cost item]],$D240,Calc_TUV_ENVGroup_2[[Cost element]:[Cost element]],$G240)*($F$188/$F$189),8),
0,1))</f>
        <v>0</v>
      </c>
    </row>
    <row r="241" spans="3:12" ht="15.5" outlineLevel="1">
      <c r="C241" s="53" t="s">
        <v>70</v>
      </c>
      <c r="D241" s="53" t="s">
        <v>273</v>
      </c>
      <c r="E241" s="53" t="s">
        <v>68</v>
      </c>
      <c r="F241" s="53" t="s">
        <v>65</v>
      </c>
      <c r="G241" s="53" t="s">
        <v>82</v>
      </c>
      <c r="H241" s="84" t="str">
        <f>IF(H205="-","-",
IF(
ROUND(H205,8)=
ROUND(SUMIFS(Calc_TUV_ENVGroup_2[Ausnet],Calc_TUV_ENVGroup_2[[Cost item]:[Cost item]],$D241,Calc_TUV_ENVGroup_2[[Cost element]:[Cost element]],$G241)*($F$188/$F$189),8),
0,1))</f>
        <v>-</v>
      </c>
      <c r="I241" s="84">
        <f>IF(I205="-","-",
IF(
ROUND(I205,8)=
ROUND(SUMIFS(Calc_TUV_ENVGroup_2[Citipower],Calc_TUV_ENVGroup_2[[Cost item]:[Cost item]],$D241,Calc_TUV_ENVGroup_2[[Cost element]:[Cost element]],$G241)*($F$188/$F$189),8),
0,1))</f>
        <v>0</v>
      </c>
      <c r="J241" s="84">
        <f>IF(J205="-","-",
IF(
ROUND(J205,8)=
ROUND(SUMIFS(Calc_TUV_ENVGroup_2[Jemena],Calc_TUV_ENVGroup_2[[Cost item]:[Cost item]],$D241,Calc_TUV_ENVGroup_2[[Cost element]:[Cost element]],$G241)*($F$188/$F$189),8),
0,1))</f>
        <v>0</v>
      </c>
      <c r="K241" s="84">
        <f>IF(K205="-","-",
IF(
ROUND(K205,8)=
ROUND(SUMIFS(Calc_TUV_ENVGroup_2[Powercor],Calc_TUV_ENVGroup_2[[Cost item]:[Cost item]],$D241,Calc_TUV_ENVGroup_2[[Cost element]:[Cost element]],$G241)*($F$188/$F$189),8),
0,1))</f>
        <v>0</v>
      </c>
      <c r="L241" s="84">
        <f>IF(L205="-","-",
IF(
ROUND(L205,8)=
ROUND(SUMIFS(Calc_TUV_ENVGroup_2[United Energy],Calc_TUV_ENVGroup_2[[Cost item]:[Cost item]],$D241,Calc_TUV_ENVGroup_2[[Cost element]:[Cost element]],$G241)*($F$188/$F$189),8),
0,1))</f>
        <v>0</v>
      </c>
    </row>
    <row r="242" spans="3:12" ht="15.5" outlineLevel="1">
      <c r="C242" s="53" t="s">
        <v>70</v>
      </c>
      <c r="D242" s="53" t="s">
        <v>273</v>
      </c>
      <c r="E242" s="53" t="s">
        <v>68</v>
      </c>
      <c r="F242" s="53" t="s">
        <v>66</v>
      </c>
      <c r="G242" s="53" t="s">
        <v>82</v>
      </c>
      <c r="H242" s="84" t="str">
        <f>IF(H206="-","-",
IF(
ROUND(H206,8)=
ROUND(SUMIFS(Calc_TUV_ENVGroup_2[Ausnet],Calc_TUV_ENVGroup_2[[Cost item]:[Cost item]],$D242,Calc_TUV_ENVGroup_2[[Cost element]:[Cost element]],$G242)*($F$188/$F$189),8),
0,1))</f>
        <v>-</v>
      </c>
      <c r="I242" s="84">
        <f>IF(I206="-","-",
IF(
ROUND(I206,8)=
ROUND(SUMIFS(Calc_TUV_ENVGroup_2[Citipower],Calc_TUV_ENVGroup_2[[Cost item]:[Cost item]],$D242,Calc_TUV_ENVGroup_2[[Cost element]:[Cost element]],$G242)*($F$188/$F$189),8),
0,1))</f>
        <v>0</v>
      </c>
      <c r="J242" s="84">
        <f>IF(J206="-","-",
IF(
ROUND(J206,8)=
ROUND(SUMIFS(Calc_TUV_ENVGroup_2[Jemena],Calc_TUV_ENVGroup_2[[Cost item]:[Cost item]],$D242,Calc_TUV_ENVGroup_2[[Cost element]:[Cost element]],$G242)*($F$188/$F$189),8),
0,1))</f>
        <v>0</v>
      </c>
      <c r="K242" s="84">
        <f>IF(K206="-","-",
IF(
ROUND(K206,8)=
ROUND(SUMIFS(Calc_TUV_ENVGroup_2[Powercor],Calc_TUV_ENVGroup_2[[Cost item]:[Cost item]],$D242,Calc_TUV_ENVGroup_2[[Cost element]:[Cost element]],$G242)*($F$188/$F$189),8),
0,1))</f>
        <v>0</v>
      </c>
      <c r="L242" s="84">
        <f>IF(L206="-","-",
IF(
ROUND(L206,8)=
ROUND(SUMIFS(Calc_TUV_ENVGroup_2[United Energy],Calc_TUV_ENVGroup_2[[Cost item]:[Cost item]],$D242,Calc_TUV_ENVGroup_2[[Cost element]:[Cost element]],$G242)*($F$188/$F$189),8),
0,1))</f>
        <v>0</v>
      </c>
    </row>
    <row r="243" spans="3:12" ht="15.5" outlineLevel="1">
      <c r="C243" s="53" t="s">
        <v>67</v>
      </c>
      <c r="D243" s="53" t="s">
        <v>273</v>
      </c>
      <c r="E243" s="53" t="s">
        <v>68</v>
      </c>
      <c r="F243" s="53" t="s">
        <v>65</v>
      </c>
      <c r="G243" s="53" t="s">
        <v>82</v>
      </c>
      <c r="H243" s="84">
        <f>IF(H207="-","-",
IF(
ROUND(H207,8)=
ROUND(SUMIFS(Calc_TUV_ENVGroup_2[Ausnet],Calc_TUV_ENVGroup_2[[Cost item]:[Cost item]],$D243,Calc_TUV_ENVGroup_2[[Cost element]:[Cost element]],$G243)*($F$188/$F$189),8),
0,1))</f>
        <v>0</v>
      </c>
      <c r="I243" s="84" t="str">
        <f>IF(I207="-","-",
IF(
ROUND(I207,8)=
ROUND(SUMIFS(Calc_TUV_ENVGroup_2[Citipower],Calc_TUV_ENVGroup_2[[Cost item]:[Cost item]],$D243,Calc_TUV_ENVGroup_2[[Cost element]:[Cost element]],$G243)*($F$188/$F$189),8),
0,1))</f>
        <v>-</v>
      </c>
      <c r="J243" s="84" t="str">
        <f>IF(J207="-","-",
IF(
ROUND(J207,8)=
ROUND(SUMIFS(Calc_TUV_ENVGroup_2[Jemena],Calc_TUV_ENVGroup_2[[Cost item]:[Cost item]],$D243,Calc_TUV_ENVGroup_2[[Cost element]:[Cost element]],$G243)*($F$188/$F$189),8),
0,1))</f>
        <v>-</v>
      </c>
      <c r="K243" s="84" t="str">
        <f>IF(K207="-","-",
IF(
ROUND(K207,8)=
ROUND(SUMIFS(Calc_TUV_ENVGroup_2[Powercor],Calc_TUV_ENVGroup_2[[Cost item]:[Cost item]],$D243,Calc_TUV_ENVGroup_2[[Cost element]:[Cost element]],$G243)*($F$188/$F$189),8),
0,1))</f>
        <v>-</v>
      </c>
      <c r="L243" s="84" t="str">
        <f>IF(L207="-","-",
IF(
ROUND(L207,8)=
ROUND(SUMIFS(Calc_TUV_ENVGroup_2[United Energy],Calc_TUV_ENVGroup_2[[Cost item]:[Cost item]],$D243,Calc_TUV_ENVGroup_2[[Cost element]:[Cost element]],$G243)*($F$188/$F$189),8),
0,1))</f>
        <v>-</v>
      </c>
    </row>
    <row r="244" spans="3:12" ht="15.5" outlineLevel="1">
      <c r="C244" s="53" t="s">
        <v>67</v>
      </c>
      <c r="D244" s="53" t="s">
        <v>273</v>
      </c>
      <c r="E244" s="53" t="s">
        <v>68</v>
      </c>
      <c r="F244" s="53" t="s">
        <v>66</v>
      </c>
      <c r="G244" s="53" t="s">
        <v>82</v>
      </c>
      <c r="H244" s="84">
        <f>IF(H208="-","-",
IF(
ROUND(H208,8)=
ROUND(SUMIFS(Calc_TUV_ENVGroup_2[Ausnet],Calc_TUV_ENVGroup_2[[Cost item]:[Cost item]],$D244,Calc_TUV_ENVGroup_2[[Cost element]:[Cost element]],$G244)*($F$188/$F$189),8),
0,1))</f>
        <v>0</v>
      </c>
      <c r="I244" s="84" t="str">
        <f>IF(I208="-","-",
IF(
ROUND(I208,8)=
ROUND(SUMIFS(Calc_TUV_ENVGroup_2[Citipower],Calc_TUV_ENVGroup_2[[Cost item]:[Cost item]],$D244,Calc_TUV_ENVGroup_2[[Cost element]:[Cost element]],$G244)*($F$188/$F$189),8),
0,1))</f>
        <v>-</v>
      </c>
      <c r="J244" s="84" t="str">
        <f>IF(J208="-","-",
IF(
ROUND(J208,8)=
ROUND(SUMIFS(Calc_TUV_ENVGroup_2[Jemena],Calc_TUV_ENVGroup_2[[Cost item]:[Cost item]],$D244,Calc_TUV_ENVGroup_2[[Cost element]:[Cost element]],$G244)*($F$188/$F$189),8),
0,1))</f>
        <v>-</v>
      </c>
      <c r="K244" s="84" t="str">
        <f>IF(K208="-","-",
IF(
ROUND(K208,8)=
ROUND(SUMIFS(Calc_TUV_ENVGroup_2[Powercor],Calc_TUV_ENVGroup_2[[Cost item]:[Cost item]],$D244,Calc_TUV_ENVGroup_2[[Cost element]:[Cost element]],$G244)*($F$188/$F$189),8),
0,1))</f>
        <v>-</v>
      </c>
      <c r="L244" s="84" t="str">
        <f>IF(L208="-","-",
IF(
ROUND(L208,8)=
ROUND(SUMIFS(Calc_TUV_ENVGroup_2[United Energy],Calc_TUV_ENVGroup_2[[Cost item]:[Cost item]],$D244,Calc_TUV_ENVGroup_2[[Cost element]:[Cost element]],$G244)*($F$188/$F$189),8),
0,1))</f>
        <v>-</v>
      </c>
    </row>
    <row r="245" spans="3:12" ht="15.5" outlineLevel="1">
      <c r="C245" s="53" t="s">
        <v>69</v>
      </c>
      <c r="D245" s="53" t="s">
        <v>273</v>
      </c>
      <c r="E245" s="53" t="s">
        <v>68</v>
      </c>
      <c r="F245" s="53" t="s">
        <v>65</v>
      </c>
      <c r="G245" s="53" t="s">
        <v>82</v>
      </c>
      <c r="H245" s="84">
        <f>IF(H209="-","-",
IF(
ROUND(H209,8)=
ROUND(SUMIFS(Calc_TUV_ENVGroup_2[Ausnet],Calc_TUV_ENVGroup_2[[Cost item]:[Cost item]],$D245,Calc_TUV_ENVGroup_2[[Cost element]:[Cost element]],$G245)*($F$188/$F$189),8),
0,1))</f>
        <v>0</v>
      </c>
      <c r="I245" s="84" t="str">
        <f>IF(I209="-","-",
IF(
ROUND(I209,8)=
ROUND(SUMIFS(Calc_TUV_ENVGroup_2[Citipower],Calc_TUV_ENVGroup_2[[Cost item]:[Cost item]],$D245,Calc_TUV_ENVGroup_2[[Cost element]:[Cost element]],$G245)*($F$188/$F$189),8),
0,1))</f>
        <v>-</v>
      </c>
      <c r="J245" s="84" t="str">
        <f>IF(J209="-","-",
IF(
ROUND(J209,8)=
ROUND(SUMIFS(Calc_TUV_ENVGroup_2[Jemena],Calc_TUV_ENVGroup_2[[Cost item]:[Cost item]],$D245,Calc_TUV_ENVGroup_2[[Cost element]:[Cost element]],$G245)*($F$188/$F$189),8),
0,1))</f>
        <v>-</v>
      </c>
      <c r="K245" s="84" t="str">
        <f>IF(K209="-","-",
IF(
ROUND(K209,8)=
ROUND(SUMIFS(Calc_TUV_ENVGroup_2[Powercor],Calc_TUV_ENVGroup_2[[Cost item]:[Cost item]],$D245,Calc_TUV_ENVGroup_2[[Cost element]:[Cost element]],$G245)*($F$188/$F$189),8),
0,1))</f>
        <v>-</v>
      </c>
      <c r="L245" s="84" t="str">
        <f>IF(L209="-","-",
IF(
ROUND(L209,8)=
ROUND(SUMIFS(Calc_TUV_ENVGroup_2[United Energy],Calc_TUV_ENVGroup_2[[Cost item]:[Cost item]],$D245,Calc_TUV_ENVGroup_2[[Cost element]:[Cost element]],$G245)*($F$188/$F$189),8),
0,1))</f>
        <v>-</v>
      </c>
    </row>
    <row r="246" spans="3:12" ht="15.5" outlineLevel="1">
      <c r="C246" s="53" t="s">
        <v>69</v>
      </c>
      <c r="D246" s="53" t="s">
        <v>273</v>
      </c>
      <c r="E246" s="53" t="s">
        <v>68</v>
      </c>
      <c r="F246" s="53" t="s">
        <v>66</v>
      </c>
      <c r="G246" s="53" t="s">
        <v>82</v>
      </c>
      <c r="H246" s="84">
        <f>IF(H210="-","-",
IF(
ROUND(H210,8)=
ROUND(SUMIFS(Calc_TUV_ENVGroup_2[Ausnet],Calc_TUV_ENVGroup_2[[Cost item]:[Cost item]],$D246,Calc_TUV_ENVGroup_2[[Cost element]:[Cost element]],$G246)*($F$188/$F$189),8),
0,1))</f>
        <v>0</v>
      </c>
      <c r="I246" s="84" t="str">
        <f>IF(I210="-","-",
IF(
ROUND(I210,8)=
ROUND(SUMIFS(Calc_TUV_ENVGroup_2[Citipower],Calc_TUV_ENVGroup_2[[Cost item]:[Cost item]],$D246,Calc_TUV_ENVGroup_2[[Cost element]:[Cost element]],$G246)*($F$188/$F$189),8),
0,1))</f>
        <v>-</v>
      </c>
      <c r="J246" s="84" t="str">
        <f>IF(J210="-","-",
IF(
ROUND(J210,8)=
ROUND(SUMIFS(Calc_TUV_ENVGroup_2[Jemena],Calc_TUV_ENVGroup_2[[Cost item]:[Cost item]],$D246,Calc_TUV_ENVGroup_2[[Cost element]:[Cost element]],$G246)*($F$188/$F$189),8),
0,1))</f>
        <v>-</v>
      </c>
      <c r="K246" s="84" t="str">
        <f>IF(K210="-","-",
IF(
ROUND(K210,8)=
ROUND(SUMIFS(Calc_TUV_ENVGroup_2[Powercor],Calc_TUV_ENVGroup_2[[Cost item]:[Cost item]],$D246,Calc_TUV_ENVGroup_2[[Cost element]:[Cost element]],$G246)*($F$188/$F$189),8),
0,1))</f>
        <v>-</v>
      </c>
      <c r="L246" s="84" t="str">
        <f>IF(L210="-","-",
IF(
ROUND(L210,8)=
ROUND(SUMIFS(Calc_TUV_ENVGroup_2[United Energy],Calc_TUV_ENVGroup_2[[Cost item]:[Cost item]],$D246,Calc_TUV_ENVGroup_2[[Cost element]:[Cost element]],$G246)*($F$188/$F$189),8),
0,1))</f>
        <v>-</v>
      </c>
    </row>
    <row r="247" spans="3:12" ht="15.5" outlineLevel="1">
      <c r="C247" s="53" t="s">
        <v>74</v>
      </c>
      <c r="D247" s="53" t="s">
        <v>273</v>
      </c>
      <c r="E247" s="53" t="s">
        <v>68</v>
      </c>
      <c r="F247" s="53" t="s">
        <v>65</v>
      </c>
      <c r="G247" s="53" t="s">
        <v>82</v>
      </c>
      <c r="H247" s="84">
        <f>IF(H211="-","-",
IF(
ROUND(H211,8)=
ROUND(SUMIFS(Calc_TUV_ENVGroup_2[Ausnet],Calc_TUV_ENVGroup_2[[Cost item]:[Cost item]],$D247,Calc_TUV_ENVGroup_2[[Cost element]:[Cost element]],$G247)*($F$188/$F$189),8),
0,1))</f>
        <v>0</v>
      </c>
      <c r="I247" s="84">
        <f>IF(I211="-","-",
IF(
ROUND(I211,8)=
ROUND(SUMIFS(Calc_TUV_ENVGroup_2[Citipower],Calc_TUV_ENVGroup_2[[Cost item]:[Cost item]],$D247,Calc_TUV_ENVGroup_2[[Cost element]:[Cost element]],$G247)*($F$188/$F$189),8),
0,1))</f>
        <v>0</v>
      </c>
      <c r="J247" s="84">
        <f>IF(J211="-","-",
IF(
ROUND(J211,8)=
ROUND(SUMIFS(Calc_TUV_ENVGroup_2[Jemena],Calc_TUV_ENVGroup_2[[Cost item]:[Cost item]],$D247,Calc_TUV_ENVGroup_2[[Cost element]:[Cost element]],$G247)*($F$188/$F$189),8),
0,1))</f>
        <v>0</v>
      </c>
      <c r="K247" s="84">
        <f>IF(K211="-","-",
IF(
ROUND(K211,8)=
ROUND(SUMIFS(Calc_TUV_ENVGroup_2[Powercor],Calc_TUV_ENVGroup_2[[Cost item]:[Cost item]],$D247,Calc_TUV_ENVGroup_2[[Cost element]:[Cost element]],$G247)*($F$188/$F$189),8),
0,1))</f>
        <v>0</v>
      </c>
      <c r="L247" s="84">
        <f>IF(L211="-","-",
IF(
ROUND(L211,8)=
ROUND(SUMIFS(Calc_TUV_ENVGroup_2[United Energy],Calc_TUV_ENVGroup_2[[Cost item]:[Cost item]],$D247,Calc_TUV_ENVGroup_2[[Cost element]:[Cost element]],$G247)*($F$188/$F$189),8),
0,1))</f>
        <v>0</v>
      </c>
    </row>
    <row r="248" spans="3:12" ht="15.5" outlineLevel="1">
      <c r="C248" s="53" t="s">
        <v>72</v>
      </c>
      <c r="D248" s="53" t="s">
        <v>273</v>
      </c>
      <c r="E248" s="53" t="s">
        <v>68</v>
      </c>
      <c r="F248" s="53" t="s">
        <v>65</v>
      </c>
      <c r="G248" s="53" t="s">
        <v>82</v>
      </c>
      <c r="H248" s="84">
        <f>IF(H212="-","-",
IF(
ROUND(H212,8)=
ROUND(SUMIFS(Calc_TUV_ENVGroup_2[Ausnet],Calc_TUV_ENVGroup_2[[Cost item]:[Cost item]],$D248,Calc_TUV_ENVGroup_2[[Cost element]:[Cost element]],$G248)*($F$188/$F$189),8),
0,1))</f>
        <v>0</v>
      </c>
      <c r="I248" s="84">
        <f>IF(I212="-","-",
IF(
ROUND(I212,8)=
ROUND(SUMIFS(Calc_TUV_ENVGroup_2[Citipower],Calc_TUV_ENVGroup_2[[Cost item]:[Cost item]],$D248,Calc_TUV_ENVGroup_2[[Cost element]:[Cost element]],$G248)*($F$188/$F$189),8),
0,1))</f>
        <v>0</v>
      </c>
      <c r="J248" s="84">
        <f>IF(J212="-","-",
IF(
ROUND(J212,8)=
ROUND(SUMIFS(Calc_TUV_ENVGroup_2[Jemena],Calc_TUV_ENVGroup_2[[Cost item]:[Cost item]],$D248,Calc_TUV_ENVGroup_2[[Cost element]:[Cost element]],$G248)*($F$188/$F$189),8),
0,1))</f>
        <v>0</v>
      </c>
      <c r="K248" s="84">
        <f>IF(K212="-","-",
IF(
ROUND(K212,8)=
ROUND(SUMIFS(Calc_TUV_ENVGroup_2[Powercor],Calc_TUV_ENVGroup_2[[Cost item]:[Cost item]],$D248,Calc_TUV_ENVGroup_2[[Cost element]:[Cost element]],$G248)*($F$188/$F$189),8),
0,1))</f>
        <v>0</v>
      </c>
      <c r="L248" s="84">
        <f>IF(L212="-","-",
IF(
ROUND(L212,8)=
ROUND(SUMIFS(Calc_TUV_ENVGroup_2[United Energy],Calc_TUV_ENVGroup_2[[Cost item]:[Cost item]],$D248,Calc_TUV_ENVGroup_2[[Cost element]:[Cost element]],$G248)*($F$188/$F$189),8),
0,1))</f>
        <v>0</v>
      </c>
    </row>
    <row r="249" spans="3:12" ht="15.5" outlineLevel="1">
      <c r="C249" s="53" t="s">
        <v>72</v>
      </c>
      <c r="D249" s="53" t="s">
        <v>273</v>
      </c>
      <c r="E249" s="53" t="s">
        <v>68</v>
      </c>
      <c r="F249" s="53" t="s">
        <v>66</v>
      </c>
      <c r="G249" s="53" t="s">
        <v>82</v>
      </c>
      <c r="H249" s="84">
        <f>IF(H213="-","-",
IF(
ROUND(H213,8)=
ROUND(SUMIFS(Calc_TUV_ENVGroup_2[Ausnet],Calc_TUV_ENVGroup_2[[Cost item]:[Cost item]],$D249,Calc_TUV_ENVGroup_2[[Cost element]:[Cost element]],$G249)*($F$188/$F$189),8),
0,1))</f>
        <v>0</v>
      </c>
      <c r="I249" s="84">
        <f>IF(I213="-","-",
IF(
ROUND(I213,8)=
ROUND(SUMIFS(Calc_TUV_ENVGroup_2[Citipower],Calc_TUV_ENVGroup_2[[Cost item]:[Cost item]],$D249,Calc_TUV_ENVGroup_2[[Cost element]:[Cost element]],$G249)*($F$188/$F$189),8),
0,1))</f>
        <v>0</v>
      </c>
      <c r="J249" s="84">
        <f>IF(J213="-","-",
IF(
ROUND(J213,8)=
ROUND(SUMIFS(Calc_TUV_ENVGroup_2[Jemena],Calc_TUV_ENVGroup_2[[Cost item]:[Cost item]],$D249,Calc_TUV_ENVGroup_2[[Cost element]:[Cost element]],$G249)*($F$188/$F$189),8),
0,1))</f>
        <v>0</v>
      </c>
      <c r="K249" s="84">
        <f>IF(K213="-","-",
IF(
ROUND(K213,8)=
ROUND(SUMIFS(Calc_TUV_ENVGroup_2[Powercor],Calc_TUV_ENVGroup_2[[Cost item]:[Cost item]],$D249,Calc_TUV_ENVGroup_2[[Cost element]:[Cost element]],$G249)*($F$188/$F$189),8),
0,1))</f>
        <v>0</v>
      </c>
      <c r="L249" s="84">
        <f>IF(L213="-","-",
IF(
ROUND(L213,8)=
ROUND(SUMIFS(Calc_TUV_ENVGroup_2[United Energy],Calc_TUV_ENVGroup_2[[Cost item]:[Cost item]],$D249,Calc_TUV_ENVGroup_2[[Cost element]:[Cost element]],$G249)*($F$188/$F$189),8),
0,1))</f>
        <v>0</v>
      </c>
    </row>
    <row r="250" spans="3:12" ht="15.5" outlineLevel="1">
      <c r="C250" s="53" t="s">
        <v>73</v>
      </c>
      <c r="D250" s="53" t="s">
        <v>273</v>
      </c>
      <c r="E250" s="53" t="s">
        <v>68</v>
      </c>
      <c r="F250" s="53" t="s">
        <v>65</v>
      </c>
      <c r="G250" s="53" t="s">
        <v>82</v>
      </c>
      <c r="H250" s="84">
        <f>IF(H214="-","-",
IF(
ROUND(H214,8)=
ROUND(SUMIFS(Calc_TUV_ENVGroup_2[Ausnet],Calc_TUV_ENVGroup_2[[Cost item]:[Cost item]],$D250,Calc_TUV_ENVGroup_2[[Cost element]:[Cost element]],$G250)*($F$188/$F$189),8),
0,1))</f>
        <v>0</v>
      </c>
      <c r="I250" s="84">
        <f>IF(I214="-","-",
IF(
ROUND(I214,8)=
ROUND(SUMIFS(Calc_TUV_ENVGroup_2[Citipower],Calc_TUV_ENVGroup_2[[Cost item]:[Cost item]],$D250,Calc_TUV_ENVGroup_2[[Cost element]:[Cost element]],$G250)*($F$188/$F$189),8),
0,1))</f>
        <v>0</v>
      </c>
      <c r="J250" s="84">
        <f>IF(J214="-","-",
IF(
ROUND(J214,8)=
ROUND(SUMIFS(Calc_TUV_ENVGroup_2[Jemena],Calc_TUV_ENVGroup_2[[Cost item]:[Cost item]],$D250,Calc_TUV_ENVGroup_2[[Cost element]:[Cost element]],$G250)*($F$188/$F$189),8),
0,1))</f>
        <v>0</v>
      </c>
      <c r="K250" s="84">
        <f>IF(K214="-","-",
IF(
ROUND(K214,8)=
ROUND(SUMIFS(Calc_TUV_ENVGroup_2[Powercor],Calc_TUV_ENVGroup_2[[Cost item]:[Cost item]],$D250,Calc_TUV_ENVGroup_2[[Cost element]:[Cost element]],$G250)*($F$188/$F$189),8),
0,1))</f>
        <v>0</v>
      </c>
      <c r="L250" s="84">
        <f>IF(L214="-","-",
IF(
ROUND(L214,8)=
ROUND(SUMIFS(Calc_TUV_ENVGroup_2[United Energy],Calc_TUV_ENVGroup_2[[Cost item]:[Cost item]],$D250,Calc_TUV_ENVGroup_2[[Cost element]:[Cost element]],$G250)*($F$188/$F$189),8),
0,1))</f>
        <v>0</v>
      </c>
    </row>
    <row r="251" spans="3:12" ht="15.5" outlineLevel="1">
      <c r="C251" s="53" t="s">
        <v>73</v>
      </c>
      <c r="D251" s="53" t="s">
        <v>273</v>
      </c>
      <c r="E251" s="53" t="s">
        <v>68</v>
      </c>
      <c r="F251" s="53" t="s">
        <v>66</v>
      </c>
      <c r="G251" s="53" t="s">
        <v>82</v>
      </c>
      <c r="H251" s="84">
        <f>IF(H215="-","-",
IF(
ROUND(H215,8)=
ROUND(SUMIFS(Calc_TUV_ENVGroup_2[Ausnet],Calc_TUV_ENVGroup_2[[Cost item]:[Cost item]],$D251,Calc_TUV_ENVGroup_2[[Cost element]:[Cost element]],$G251)*($F$188/$F$189),8),
0,1))</f>
        <v>0</v>
      </c>
      <c r="I251" s="84">
        <f>IF(I215="-","-",
IF(
ROUND(I215,8)=
ROUND(SUMIFS(Calc_TUV_ENVGroup_2[Citipower],Calc_TUV_ENVGroup_2[[Cost item]:[Cost item]],$D251,Calc_TUV_ENVGroup_2[[Cost element]:[Cost element]],$G251)*($F$188/$F$189),8),
0,1))</f>
        <v>0</v>
      </c>
      <c r="J251" s="84">
        <f>IF(J215="-","-",
IF(
ROUND(J215,8)=
ROUND(SUMIFS(Calc_TUV_ENVGroup_2[Jemena],Calc_TUV_ENVGroup_2[[Cost item]:[Cost item]],$D251,Calc_TUV_ENVGroup_2[[Cost element]:[Cost element]],$G251)*($F$188/$F$189),8),
0,1))</f>
        <v>0</v>
      </c>
      <c r="K251" s="84">
        <f>IF(K215="-","-",
IF(
ROUND(K215,8)=
ROUND(SUMIFS(Calc_TUV_ENVGroup_2[Powercor],Calc_TUV_ENVGroup_2[[Cost item]:[Cost item]],$D251,Calc_TUV_ENVGroup_2[[Cost element]:[Cost element]],$G251)*($F$188/$F$189),8),
0,1))</f>
        <v>0</v>
      </c>
      <c r="L251" s="84">
        <f>IF(L215="-","-",
IF(
ROUND(L215,8)=
ROUND(SUMIFS(Calc_TUV_ENVGroup_2[United Energy],Calc_TUV_ENVGroup_2[[Cost item]:[Cost item]],$D251,Calc_TUV_ENVGroup_2[[Cost element]:[Cost element]],$G251)*($F$188/$F$189),8),
0,1))</f>
        <v>0</v>
      </c>
    </row>
    <row r="252" spans="3:12" ht="15.5" outlineLevel="1">
      <c r="C252" s="53" t="s">
        <v>70</v>
      </c>
      <c r="D252" s="53" t="s">
        <v>274</v>
      </c>
      <c r="E252" s="53" t="s">
        <v>68</v>
      </c>
      <c r="F252" s="53" t="s">
        <v>65</v>
      </c>
      <c r="G252" s="53" t="s">
        <v>82</v>
      </c>
      <c r="H252" s="84" t="str">
        <f>IF(H216="-","-",
IF(
ROUND(H216,8)=
ROUND(SUMIFS(Calc_TUV_ENVGroup_2[Ausnet],Calc_TUV_ENVGroup_2[[Cost item]:[Cost item]],$D252,Calc_TUV_ENVGroup_2[[Cost element]:[Cost element]],$G252)*($F$188/$F$189),8),
0,1))</f>
        <v>-</v>
      </c>
      <c r="I252" s="84">
        <f>IF(I216="-","-",
IF(
ROUND(I216,8)=
ROUND(SUMIFS(Calc_TUV_ENVGroup_2[Citipower],Calc_TUV_ENVGroup_2[[Cost item]:[Cost item]],$D252,Calc_TUV_ENVGroup_2[[Cost element]:[Cost element]],$G252)*($F$188/$F$189),8),
0,1))</f>
        <v>0</v>
      </c>
      <c r="J252" s="84">
        <f>IF(J216="-","-",
IF(
ROUND(J216,8)=
ROUND(SUMIFS(Calc_TUV_ENVGroup_2[Jemena],Calc_TUV_ENVGroup_2[[Cost item]:[Cost item]],$D252,Calc_TUV_ENVGroup_2[[Cost element]:[Cost element]],$G252)*($F$188/$F$189),8),
0,1))</f>
        <v>0</v>
      </c>
      <c r="K252" s="84">
        <f>IF(K216="-","-",
IF(
ROUND(K216,8)=
ROUND(SUMIFS(Calc_TUV_ENVGroup_2[Powercor],Calc_TUV_ENVGroup_2[[Cost item]:[Cost item]],$D252,Calc_TUV_ENVGroup_2[[Cost element]:[Cost element]],$G252)*($F$188/$F$189),8),
0,1))</f>
        <v>0</v>
      </c>
      <c r="L252" s="84">
        <f>IF(L216="-","-",
IF(
ROUND(L216,8)=
ROUND(SUMIFS(Calc_TUV_ENVGroup_2[United Energy],Calc_TUV_ENVGroup_2[[Cost item]:[Cost item]],$D252,Calc_TUV_ENVGroup_2[[Cost element]:[Cost element]],$G252)*($F$188/$F$189),8),
0,1))</f>
        <v>0</v>
      </c>
    </row>
    <row r="253" spans="3:12" ht="15.5" outlineLevel="1">
      <c r="C253" s="53" t="s">
        <v>70</v>
      </c>
      <c r="D253" s="53" t="s">
        <v>274</v>
      </c>
      <c r="E253" s="53" t="s">
        <v>68</v>
      </c>
      <c r="F253" s="53" t="s">
        <v>66</v>
      </c>
      <c r="G253" s="53" t="s">
        <v>82</v>
      </c>
      <c r="H253" s="84" t="str">
        <f>IF(H217="-","-",
IF(
ROUND(H217,8)=
ROUND(SUMIFS(Calc_TUV_ENVGroup_2[Ausnet],Calc_TUV_ENVGroup_2[[Cost item]:[Cost item]],$D253,Calc_TUV_ENVGroup_2[[Cost element]:[Cost element]],$G253)*($F$188/$F$189),8),
0,1))</f>
        <v>-</v>
      </c>
      <c r="I253" s="84">
        <f>IF(I217="-","-",
IF(
ROUND(I217,8)=
ROUND(SUMIFS(Calc_TUV_ENVGroup_2[Citipower],Calc_TUV_ENVGroup_2[[Cost item]:[Cost item]],$D253,Calc_TUV_ENVGroup_2[[Cost element]:[Cost element]],$G253)*($F$188/$F$189),8),
0,1))</f>
        <v>0</v>
      </c>
      <c r="J253" s="84">
        <f>IF(J217="-","-",
IF(
ROUND(J217,8)=
ROUND(SUMIFS(Calc_TUV_ENVGroup_2[Jemena],Calc_TUV_ENVGroup_2[[Cost item]:[Cost item]],$D253,Calc_TUV_ENVGroup_2[[Cost element]:[Cost element]],$G253)*($F$188/$F$189),8),
0,1))</f>
        <v>0</v>
      </c>
      <c r="K253" s="84">
        <f>IF(K217="-","-",
IF(
ROUND(K217,8)=
ROUND(SUMIFS(Calc_TUV_ENVGroup_2[Powercor],Calc_TUV_ENVGroup_2[[Cost item]:[Cost item]],$D253,Calc_TUV_ENVGroup_2[[Cost element]:[Cost element]],$G253)*($F$188/$F$189),8),
0,1))</f>
        <v>0</v>
      </c>
      <c r="L253" s="84">
        <f>IF(L217="-","-",
IF(
ROUND(L217,8)=
ROUND(SUMIFS(Calc_TUV_ENVGroup_2[United Energy],Calc_TUV_ENVGroup_2[[Cost item]:[Cost item]],$D253,Calc_TUV_ENVGroup_2[[Cost element]:[Cost element]],$G253)*($F$188/$F$189),8),
0,1))</f>
        <v>0</v>
      </c>
    </row>
    <row r="254" spans="3:12" ht="15.5" outlineLevel="1">
      <c r="C254" s="53" t="s">
        <v>67</v>
      </c>
      <c r="D254" s="53" t="s">
        <v>274</v>
      </c>
      <c r="E254" s="53" t="s">
        <v>68</v>
      </c>
      <c r="F254" s="53" t="s">
        <v>65</v>
      </c>
      <c r="G254" s="53" t="s">
        <v>82</v>
      </c>
      <c r="H254" s="84">
        <f>IF(H218="-","-",
IF(
ROUND(H218,8)=
ROUND(SUMIFS(Calc_TUV_ENVGroup_2[Ausnet],Calc_TUV_ENVGroup_2[[Cost item]:[Cost item]],$D254,Calc_TUV_ENVGroup_2[[Cost element]:[Cost element]],$G254)*($F$188/$F$189),8),
0,1))</f>
        <v>0</v>
      </c>
      <c r="I254" s="84" t="str">
        <f>IF(I218="-","-",
IF(
ROUND(I218,8)=
ROUND(SUMIFS(Calc_TUV_ENVGroup_2[Citipower],Calc_TUV_ENVGroup_2[[Cost item]:[Cost item]],$D254,Calc_TUV_ENVGroup_2[[Cost element]:[Cost element]],$G254)*($F$188/$F$189),8),
0,1))</f>
        <v>-</v>
      </c>
      <c r="J254" s="84" t="str">
        <f>IF(J218="-","-",
IF(
ROUND(J218,8)=
ROUND(SUMIFS(Calc_TUV_ENVGroup_2[Jemena],Calc_TUV_ENVGroup_2[[Cost item]:[Cost item]],$D254,Calc_TUV_ENVGroup_2[[Cost element]:[Cost element]],$G254)*($F$188/$F$189),8),
0,1))</f>
        <v>-</v>
      </c>
      <c r="K254" s="84" t="str">
        <f>IF(K218="-","-",
IF(
ROUND(K218,8)=
ROUND(SUMIFS(Calc_TUV_ENVGroup_2[Powercor],Calc_TUV_ENVGroup_2[[Cost item]:[Cost item]],$D254,Calc_TUV_ENVGroup_2[[Cost element]:[Cost element]],$G254)*($F$188/$F$189),8),
0,1))</f>
        <v>-</v>
      </c>
      <c r="L254" s="84" t="str">
        <f>IF(L218="-","-",
IF(
ROUND(L218,8)=
ROUND(SUMIFS(Calc_TUV_ENVGroup_2[United Energy],Calc_TUV_ENVGroup_2[[Cost item]:[Cost item]],$D254,Calc_TUV_ENVGroup_2[[Cost element]:[Cost element]],$G254)*($F$188/$F$189),8),
0,1))</f>
        <v>-</v>
      </c>
    </row>
    <row r="255" spans="3:12" ht="15.5" outlineLevel="1">
      <c r="C255" s="53" t="s">
        <v>67</v>
      </c>
      <c r="D255" s="53" t="s">
        <v>274</v>
      </c>
      <c r="E255" s="53" t="s">
        <v>68</v>
      </c>
      <c r="F255" s="53" t="s">
        <v>66</v>
      </c>
      <c r="G255" s="53" t="s">
        <v>82</v>
      </c>
      <c r="H255" s="84">
        <f>IF(H219="-","-",
IF(
ROUND(H219,8)=
ROUND(SUMIFS(Calc_TUV_ENVGroup_2[Ausnet],Calc_TUV_ENVGroup_2[[Cost item]:[Cost item]],$D255,Calc_TUV_ENVGroup_2[[Cost element]:[Cost element]],$G255)*($F$188/$F$189),8),
0,1))</f>
        <v>0</v>
      </c>
      <c r="I255" s="84" t="str">
        <f>IF(I219="-","-",
IF(
ROUND(I219,8)=
ROUND(SUMIFS(Calc_TUV_ENVGroup_2[Citipower],Calc_TUV_ENVGroup_2[[Cost item]:[Cost item]],$D255,Calc_TUV_ENVGroup_2[[Cost element]:[Cost element]],$G255)*($F$188/$F$189),8),
0,1))</f>
        <v>-</v>
      </c>
      <c r="J255" s="84" t="str">
        <f>IF(J219="-","-",
IF(
ROUND(J219,8)=
ROUND(SUMIFS(Calc_TUV_ENVGroup_2[Jemena],Calc_TUV_ENVGroup_2[[Cost item]:[Cost item]],$D255,Calc_TUV_ENVGroup_2[[Cost element]:[Cost element]],$G255)*($F$188/$F$189),8),
0,1))</f>
        <v>-</v>
      </c>
      <c r="K255" s="84" t="str">
        <f>IF(K219="-","-",
IF(
ROUND(K219,8)=
ROUND(SUMIFS(Calc_TUV_ENVGroup_2[Powercor],Calc_TUV_ENVGroup_2[[Cost item]:[Cost item]],$D255,Calc_TUV_ENVGroup_2[[Cost element]:[Cost element]],$G255)*($F$188/$F$189),8),
0,1))</f>
        <v>-</v>
      </c>
      <c r="L255" s="84" t="str">
        <f>IF(L219="-","-",
IF(
ROUND(L219,8)=
ROUND(SUMIFS(Calc_TUV_ENVGroup_2[United Energy],Calc_TUV_ENVGroup_2[[Cost item]:[Cost item]],$D255,Calc_TUV_ENVGroup_2[[Cost element]:[Cost element]],$G255)*($F$188/$F$189),8),
0,1))</f>
        <v>-</v>
      </c>
    </row>
    <row r="256" spans="3:12" ht="15.5" outlineLevel="1">
      <c r="C256" s="53" t="s">
        <v>74</v>
      </c>
      <c r="D256" s="53" t="s">
        <v>274</v>
      </c>
      <c r="E256" s="53" t="s">
        <v>68</v>
      </c>
      <c r="F256" s="53" t="s">
        <v>65</v>
      </c>
      <c r="G256" s="53" t="s">
        <v>82</v>
      </c>
      <c r="H256" s="84">
        <f>IF(H220="-","-",
IF(
ROUND(H220,8)=
ROUND(SUMIFS(Calc_TUV_ENVGroup_2[Ausnet],Calc_TUV_ENVGroup_2[[Cost item]:[Cost item]],$D256,Calc_TUV_ENVGroup_2[[Cost element]:[Cost element]],$G256)*($F$188/$F$189),8),
0,1))</f>
        <v>0</v>
      </c>
      <c r="I256" s="84">
        <f>IF(I220="-","-",
IF(
ROUND(I220,8)=
ROUND(SUMIFS(Calc_TUV_ENVGroup_2[Citipower],Calc_TUV_ENVGroup_2[[Cost item]:[Cost item]],$D256,Calc_TUV_ENVGroup_2[[Cost element]:[Cost element]],$G256)*($F$188/$F$189),8),
0,1))</f>
        <v>0</v>
      </c>
      <c r="J256" s="84">
        <f>IF(J220="-","-",
IF(
ROUND(J220,8)=
ROUND(SUMIFS(Calc_TUV_ENVGroup_2[Jemena],Calc_TUV_ENVGroup_2[[Cost item]:[Cost item]],$D256,Calc_TUV_ENVGroup_2[[Cost element]:[Cost element]],$G256)*($F$188/$F$189),8),
0,1))</f>
        <v>0</v>
      </c>
      <c r="K256" s="84">
        <f>IF(K220="-","-",
IF(
ROUND(K220,8)=
ROUND(SUMIFS(Calc_TUV_ENVGroup_2[Powercor],Calc_TUV_ENVGroup_2[[Cost item]:[Cost item]],$D256,Calc_TUV_ENVGroup_2[[Cost element]:[Cost element]],$G256)*($F$188/$F$189),8),
0,1))</f>
        <v>0</v>
      </c>
      <c r="L256" s="84">
        <f>IF(L220="-","-",
IF(
ROUND(L220,8)=
ROUND(SUMIFS(Calc_TUV_ENVGroup_2[United Energy],Calc_TUV_ENVGroup_2[[Cost item]:[Cost item]],$D256,Calc_TUV_ENVGroup_2[[Cost element]:[Cost element]],$G256)*($F$188/$F$189),8),
0,1))</f>
        <v>0</v>
      </c>
    </row>
    <row r="257" spans="3:12" ht="15.5" outlineLevel="1">
      <c r="C257" s="53" t="s">
        <v>69</v>
      </c>
      <c r="D257" s="53" t="s">
        <v>274</v>
      </c>
      <c r="E257" s="53" t="s">
        <v>68</v>
      </c>
      <c r="F257" s="53" t="s">
        <v>65</v>
      </c>
      <c r="G257" s="53" t="s">
        <v>82</v>
      </c>
      <c r="H257" s="84">
        <f>IF(H221="-","-",
IF(
ROUND(H221,8)=
ROUND(SUMIFS(Calc_TUV_ENVGroup_2[Ausnet],Calc_TUV_ENVGroup_2[[Cost item]:[Cost item]],$D257,Calc_TUV_ENVGroup_2[[Cost element]:[Cost element]],$G257)*($F$188/$F$189),8),
0,1))</f>
        <v>0</v>
      </c>
      <c r="I257" s="84" t="str">
        <f>IF(I221="-","-",
IF(
ROUND(I221,8)=
ROUND(SUMIFS(Calc_TUV_ENVGroup_2[Citipower],Calc_TUV_ENVGroup_2[[Cost item]:[Cost item]],$D257,Calc_TUV_ENVGroup_2[[Cost element]:[Cost element]],$G257)*($F$188/$F$189),8),
0,1))</f>
        <v>-</v>
      </c>
      <c r="J257" s="84" t="str">
        <f>IF(J221="-","-",
IF(
ROUND(J221,8)=
ROUND(SUMIFS(Calc_TUV_ENVGroup_2[Jemena],Calc_TUV_ENVGroup_2[[Cost item]:[Cost item]],$D257,Calc_TUV_ENVGroup_2[[Cost element]:[Cost element]],$G257)*($F$188/$F$189),8),
0,1))</f>
        <v>-</v>
      </c>
      <c r="K257" s="84" t="str">
        <f>IF(K221="-","-",
IF(
ROUND(K221,8)=
ROUND(SUMIFS(Calc_TUV_ENVGroup_2[Powercor],Calc_TUV_ENVGroup_2[[Cost item]:[Cost item]],$D257,Calc_TUV_ENVGroup_2[[Cost element]:[Cost element]],$G257)*($F$188/$F$189),8),
0,1))</f>
        <v>-</v>
      </c>
      <c r="L257" s="84" t="str">
        <f>IF(L221="-","-",
IF(
ROUND(L221,8)=
ROUND(SUMIFS(Calc_TUV_ENVGroup_2[United Energy],Calc_TUV_ENVGroup_2[[Cost item]:[Cost item]],$D257,Calc_TUV_ENVGroup_2[[Cost element]:[Cost element]],$G257)*($F$188/$F$189),8),
0,1))</f>
        <v>-</v>
      </c>
    </row>
    <row r="258" spans="3:12" ht="15.5" outlineLevel="1">
      <c r="C258" s="53" t="s">
        <v>69</v>
      </c>
      <c r="D258" s="53" t="s">
        <v>274</v>
      </c>
      <c r="E258" s="53" t="s">
        <v>68</v>
      </c>
      <c r="F258" s="53" t="s">
        <v>66</v>
      </c>
      <c r="G258" s="53" t="s">
        <v>82</v>
      </c>
      <c r="H258" s="84">
        <f>IF(H222="-","-",
IF(
ROUND(H222,8)=
ROUND(SUMIFS(Calc_TUV_ENVGroup_2[Ausnet],Calc_TUV_ENVGroup_2[[Cost item]:[Cost item]],$D258,Calc_TUV_ENVGroup_2[[Cost element]:[Cost element]],$G258)*($F$188/$F$189),8),
0,1))</f>
        <v>0</v>
      </c>
      <c r="I258" s="84" t="str">
        <f>IF(I222="-","-",
IF(
ROUND(I222,8)=
ROUND(SUMIFS(Calc_TUV_ENVGroup_2[Citipower],Calc_TUV_ENVGroup_2[[Cost item]:[Cost item]],$D258,Calc_TUV_ENVGroup_2[[Cost element]:[Cost element]],$G258)*($F$188/$F$189),8),
0,1))</f>
        <v>-</v>
      </c>
      <c r="J258" s="84" t="str">
        <f>IF(J222="-","-",
IF(
ROUND(J222,8)=
ROUND(SUMIFS(Calc_TUV_ENVGroup_2[Jemena],Calc_TUV_ENVGroup_2[[Cost item]:[Cost item]],$D258,Calc_TUV_ENVGroup_2[[Cost element]:[Cost element]],$G258)*($F$188/$F$189),8),
0,1))</f>
        <v>-</v>
      </c>
      <c r="K258" s="84" t="str">
        <f>IF(K222="-","-",
IF(
ROUND(K222,8)=
ROUND(SUMIFS(Calc_TUV_ENVGroup_2[Powercor],Calc_TUV_ENVGroup_2[[Cost item]:[Cost item]],$D258,Calc_TUV_ENVGroup_2[[Cost element]:[Cost element]],$G258)*($F$188/$F$189),8),
0,1))</f>
        <v>-</v>
      </c>
      <c r="L258" s="84" t="str">
        <f>IF(L222="-","-",
IF(
ROUND(L222,8)=
ROUND(SUMIFS(Calc_TUV_ENVGroup_2[United Energy],Calc_TUV_ENVGroup_2[[Cost item]:[Cost item]],$D258,Calc_TUV_ENVGroup_2[[Cost element]:[Cost element]],$G258)*($F$188/$F$189),8),
0,1))</f>
        <v>-</v>
      </c>
    </row>
    <row r="259" spans="3:12" ht="15.5" outlineLevel="1">
      <c r="C259" s="53" t="s">
        <v>72</v>
      </c>
      <c r="D259" s="53" t="s">
        <v>274</v>
      </c>
      <c r="E259" s="53" t="s">
        <v>68</v>
      </c>
      <c r="F259" s="53" t="s">
        <v>65</v>
      </c>
      <c r="G259" s="53" t="s">
        <v>82</v>
      </c>
      <c r="H259" s="84">
        <f>IF(H223="-","-",
IF(
ROUND(H223,8)=
ROUND(SUMIFS(Calc_TUV_ENVGroup_2[Ausnet],Calc_TUV_ENVGroup_2[[Cost item]:[Cost item]],$D259,Calc_TUV_ENVGroup_2[[Cost element]:[Cost element]],$G259)*($F$188/$F$189),8),
0,1))</f>
        <v>0</v>
      </c>
      <c r="I259" s="84">
        <f>IF(I223="-","-",
IF(
ROUND(I223,8)=
ROUND(SUMIFS(Calc_TUV_ENVGroup_2[Citipower],Calc_TUV_ENVGroup_2[[Cost item]:[Cost item]],$D259,Calc_TUV_ENVGroup_2[[Cost element]:[Cost element]],$G259)*($F$188/$F$189),8),
0,1))</f>
        <v>0</v>
      </c>
      <c r="J259" s="84">
        <f>IF(J223="-","-",
IF(
ROUND(J223,8)=
ROUND(SUMIFS(Calc_TUV_ENVGroup_2[Jemena],Calc_TUV_ENVGroup_2[[Cost item]:[Cost item]],$D259,Calc_TUV_ENVGroup_2[[Cost element]:[Cost element]],$G259)*($F$188/$F$189),8),
0,1))</f>
        <v>0</v>
      </c>
      <c r="K259" s="84">
        <f>IF(K223="-","-",
IF(
ROUND(K223,8)=
ROUND(SUMIFS(Calc_TUV_ENVGroup_2[Powercor],Calc_TUV_ENVGroup_2[[Cost item]:[Cost item]],$D259,Calc_TUV_ENVGroup_2[[Cost element]:[Cost element]],$G259)*($F$188/$F$189),8),
0,1))</f>
        <v>0</v>
      </c>
      <c r="L259" s="84">
        <f>IF(L223="-","-",
IF(
ROUND(L223,8)=
ROUND(SUMIFS(Calc_TUV_ENVGroup_2[United Energy],Calc_TUV_ENVGroup_2[[Cost item]:[Cost item]],$D259,Calc_TUV_ENVGroup_2[[Cost element]:[Cost element]],$G259)*($F$188/$F$189),8),
0,1))</f>
        <v>0</v>
      </c>
    </row>
    <row r="260" spans="3:12" ht="15.5" outlineLevel="1">
      <c r="C260" s="53" t="s">
        <v>72</v>
      </c>
      <c r="D260" s="53" t="s">
        <v>274</v>
      </c>
      <c r="E260" s="53" t="s">
        <v>68</v>
      </c>
      <c r="F260" s="53" t="s">
        <v>66</v>
      </c>
      <c r="G260" s="53" t="s">
        <v>82</v>
      </c>
      <c r="H260" s="84">
        <f>IF(H224="-","-",
IF(
ROUND(H224,8)=
ROUND(SUMIFS(Calc_TUV_ENVGroup_2[Ausnet],Calc_TUV_ENVGroup_2[[Cost item]:[Cost item]],$D260,Calc_TUV_ENVGroup_2[[Cost element]:[Cost element]],$G260)*($F$188/$F$189),8),
0,1))</f>
        <v>0</v>
      </c>
      <c r="I260" s="84">
        <f>IF(I224="-","-",
IF(
ROUND(I224,8)=
ROUND(SUMIFS(Calc_TUV_ENVGroup_2[Citipower],Calc_TUV_ENVGroup_2[[Cost item]:[Cost item]],$D260,Calc_TUV_ENVGroup_2[[Cost element]:[Cost element]],$G260)*($F$188/$F$189),8),
0,1))</f>
        <v>0</v>
      </c>
      <c r="J260" s="84">
        <f>IF(J224="-","-",
IF(
ROUND(J224,8)=
ROUND(SUMIFS(Calc_TUV_ENVGroup_2[Jemena],Calc_TUV_ENVGroup_2[[Cost item]:[Cost item]],$D260,Calc_TUV_ENVGroup_2[[Cost element]:[Cost element]],$G260)*($F$188/$F$189),8),
0,1))</f>
        <v>0</v>
      </c>
      <c r="K260" s="84">
        <f>IF(K224="-","-",
IF(
ROUND(K224,8)=
ROUND(SUMIFS(Calc_TUV_ENVGroup_2[Powercor],Calc_TUV_ENVGroup_2[[Cost item]:[Cost item]],$D260,Calc_TUV_ENVGroup_2[[Cost element]:[Cost element]],$G260)*($F$188/$F$189),8),
0,1))</f>
        <v>0</v>
      </c>
      <c r="L260" s="84">
        <f>IF(L224="-","-",
IF(
ROUND(L224,8)=
ROUND(SUMIFS(Calc_TUV_ENVGroup_2[United Energy],Calc_TUV_ENVGroup_2[[Cost item]:[Cost item]],$D260,Calc_TUV_ENVGroup_2[[Cost element]:[Cost element]],$G260)*($F$188/$F$189),8),
0,1))</f>
        <v>0</v>
      </c>
    </row>
    <row r="261" spans="3:12" ht="15.5" outlineLevel="1">
      <c r="C261" s="53" t="s">
        <v>73</v>
      </c>
      <c r="D261" s="53" t="s">
        <v>274</v>
      </c>
      <c r="E261" s="53" t="s">
        <v>68</v>
      </c>
      <c r="F261" s="53" t="s">
        <v>65</v>
      </c>
      <c r="G261" s="53" t="s">
        <v>82</v>
      </c>
      <c r="H261" s="84">
        <f>IF(H225="-","-",
IF(
ROUND(H225,8)=
ROUND(SUMIFS(Calc_TUV_ENVGroup_2[Ausnet],Calc_TUV_ENVGroup_2[[Cost item]:[Cost item]],$D261,Calc_TUV_ENVGroup_2[[Cost element]:[Cost element]],$G261)*($F$188/$F$189),8),
0,1))</f>
        <v>0</v>
      </c>
      <c r="I261" s="84">
        <f>IF(I225="-","-",
IF(
ROUND(I225,8)=
ROUND(SUMIFS(Calc_TUV_ENVGroup_2[Citipower],Calc_TUV_ENVGroup_2[[Cost item]:[Cost item]],$D261,Calc_TUV_ENVGroup_2[[Cost element]:[Cost element]],$G261)*($F$188/$F$189),8),
0,1))</f>
        <v>0</v>
      </c>
      <c r="J261" s="84">
        <f>IF(J225="-","-",
IF(
ROUND(J225,8)=
ROUND(SUMIFS(Calc_TUV_ENVGroup_2[Jemena],Calc_TUV_ENVGroup_2[[Cost item]:[Cost item]],$D261,Calc_TUV_ENVGroup_2[[Cost element]:[Cost element]],$G261)*($F$188/$F$189),8),
0,1))</f>
        <v>0</v>
      </c>
      <c r="K261" s="84">
        <f>IF(K225="-","-",
IF(
ROUND(K225,8)=
ROUND(SUMIFS(Calc_TUV_ENVGroup_2[Powercor],Calc_TUV_ENVGroup_2[[Cost item]:[Cost item]],$D261,Calc_TUV_ENVGroup_2[[Cost element]:[Cost element]],$G261)*($F$188/$F$189),8),
0,1))</f>
        <v>0</v>
      </c>
      <c r="L261" s="84">
        <f>IF(L225="-","-",
IF(
ROUND(L225,8)=
ROUND(SUMIFS(Calc_TUV_ENVGroup_2[United Energy],Calc_TUV_ENVGroup_2[[Cost item]:[Cost item]],$D261,Calc_TUV_ENVGroup_2[[Cost element]:[Cost element]],$G261)*($F$188/$F$189),8),
0,1))</f>
        <v>0</v>
      </c>
    </row>
    <row r="262" spans="3:12" ht="15.5" outlineLevel="1">
      <c r="C262" s="53" t="s">
        <v>73</v>
      </c>
      <c r="D262" s="53" t="s">
        <v>274</v>
      </c>
      <c r="E262" s="53" t="s">
        <v>68</v>
      </c>
      <c r="F262" s="53" t="s">
        <v>66</v>
      </c>
      <c r="G262" s="53" t="s">
        <v>82</v>
      </c>
      <c r="H262" s="84">
        <f>IF(H226="-","-",
IF(
ROUND(H226,8)=
ROUND(SUMIFS(Calc_TUV_ENVGroup_2[Ausnet],Calc_TUV_ENVGroup_2[[Cost item]:[Cost item]],$D262,Calc_TUV_ENVGroup_2[[Cost element]:[Cost element]],$G262)*($F$188/$F$189),8),
0,1))</f>
        <v>0</v>
      </c>
      <c r="I262" s="84">
        <f>IF(I226="-","-",
IF(
ROUND(I226,8)=
ROUND(SUMIFS(Calc_TUV_ENVGroup_2[Citipower],Calc_TUV_ENVGroup_2[[Cost item]:[Cost item]],$D262,Calc_TUV_ENVGroup_2[[Cost element]:[Cost element]],$G262)*($F$188/$F$189),8),
0,1))</f>
        <v>0</v>
      </c>
      <c r="J262" s="84">
        <f>IF(J226="-","-",
IF(
ROUND(J226,8)=
ROUND(SUMIFS(Calc_TUV_ENVGroup_2[Jemena],Calc_TUV_ENVGroup_2[[Cost item]:[Cost item]],$D262,Calc_TUV_ENVGroup_2[[Cost element]:[Cost element]],$G262)*($F$188/$F$189),8),
0,1))</f>
        <v>0</v>
      </c>
      <c r="K262" s="84">
        <f>IF(K226="-","-",
IF(
ROUND(K226,8)=
ROUND(SUMIFS(Calc_TUV_ENVGroup_2[Powercor],Calc_TUV_ENVGroup_2[[Cost item]:[Cost item]],$D262,Calc_TUV_ENVGroup_2[[Cost element]:[Cost element]],$G262)*($F$188/$F$189),8),
0,1))</f>
        <v>0</v>
      </c>
      <c r="L262" s="84">
        <f>IF(L226="-","-",
IF(
ROUND(L226,8)=
ROUND(SUMIFS(Calc_TUV_ENVGroup_2[United Energy],Calc_TUV_ENVGroup_2[[Cost item]:[Cost item]],$D262,Calc_TUV_ENVGroup_2[[Cost element]:[Cost element]],$G262)*($F$188/$F$189),8),
0,1))</f>
        <v>0</v>
      </c>
    </row>
    <row r="264" spans="3:12">
      <c r="H264" s="71"/>
      <c r="I264" s="71"/>
      <c r="J264" s="71"/>
      <c r="K264" s="71"/>
      <c r="L264" s="71"/>
    </row>
    <row r="267" spans="3:12">
      <c r="H267" s="78"/>
    </row>
  </sheetData>
  <sheetProtection algorithmName="SHA-512" hashValue="kYuyURMhY59MrVKHNr6l3x8CSfwIUoFVecYg8KEOoRqkTZck5i0t6vxCh9efm5+56YGErjWgDi0fpmleJEIZVw==" saltValue="OKjwvAvxAchxuYTvTI/YaQ==" spinCount="100000" sheet="1" objects="1" scenarios="1"/>
  <autoFilter ref="C99:L132" xr:uid="{2F386CEB-3301-4A59-8593-A05FFA1D9B81}">
    <sortState xmlns:xlrd2="http://schemas.microsoft.com/office/spreadsheetml/2017/richdata2" ref="C100:L132">
      <sortCondition ref="F99:F132"/>
    </sortState>
  </autoFilter>
  <mergeCells count="1">
    <mergeCell ref="A2:A3"/>
  </mergeCells>
  <phoneticPr fontId="30" type="noConversion"/>
  <hyperlinks>
    <hyperlink ref="B1" location="Contents!A1" display="&lt;&lt; Back to contents" xr:uid="{1735F0FE-1BCD-49B8-A540-7345BC040231}"/>
  </hyperlinks>
  <pageMargins left="0.7" right="0.7" top="0.75" bottom="0.75" header="0.3" footer="0.3"/>
  <pageSetup paperSize="9" orientation="portrait" r:id="rId1"/>
  <headerFooter>
    <oddHeader>&amp;C&amp;B&amp;"Arial"&amp;12&amp;Kff0000​‌OFFICIAL‌​</oddHeader>
  </headerFooter>
  <ignoredErrors>
    <ignoredError sqref="E165" formula="1"/>
    <ignoredError sqref="I184:L186" calculatedColumn="1"/>
  </ignoredErrors>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3">
        <x14:dataValidation type="list" allowBlank="1" showInputMessage="1" showErrorMessage="1" xr:uid="{6617A46C-B968-43BA-9E13-719722B65CFE}">
          <x14:formula1>
            <xm:f>'Lookup refs'!$G$8:$G$10</xm:f>
          </x14:formula1>
          <xm:sqref>F64:F96 F100:F132 F184:F186 F11:F19 F98 F178:F179 F141:F149 F194:F226 F228 F54:F56 F230:F262 F170:F172 F158:F162 F28:F32 F40:F42</xm:sqref>
        </x14:dataValidation>
        <x14:dataValidation type="list" allowBlank="1" showInputMessage="1" showErrorMessage="1" xr:uid="{24461534-7B65-4CD7-AC66-5EE85C5EAA2D}">
          <x14:formula1>
            <xm:f>'Lookup refs'!$E$8:$E$20</xm:f>
          </x14:formula1>
          <xm:sqref>E184:E186 E100:E132 E64:E96 E11:E19 E98 E178:E179 E141:E149 E230:E262 E194:E226 E228 E54:E56 E170:E172 E158:E162 E28:E32 E40:E42</xm:sqref>
        </x14:dataValidation>
        <x14:dataValidation type="list" allowBlank="1" showInputMessage="1" showErrorMessage="1" xr:uid="{C6CFE2F4-435E-4577-9383-0CE7F7F69F73}">
          <x14:formula1>
            <xm:f>'Lookup refs'!$C$8:$C$10</xm:f>
          </x14:formula1>
          <xm:sqref>D184:D186 D98 D11:D19 D178:D179 D141:D149 D228 D54:D56 D170:D172 D158:D162 D28:D32 D40:D42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88F3-5E40-4324-B83F-9806A19FD282}">
  <sheetPr>
    <tabColor rgb="FFFFB13F"/>
  </sheetPr>
  <dimension ref="A1:AB125"/>
  <sheetViews>
    <sheetView showGridLines="0" topLeftCell="B1" zoomScale="70" zoomScaleNormal="70" workbookViewId="0">
      <pane ySplit="3" topLeftCell="A45" activePane="bottomLeft" state="frozen"/>
      <selection pane="bottomLeft" activeCell="H113" sqref="H113"/>
    </sheetView>
  </sheetViews>
  <sheetFormatPr defaultColWidth="9.453125" defaultRowHeight="14.5" outlineLevelCol="1"/>
  <cols>
    <col min="1" max="1" width="100.54296875" hidden="1" customWidth="1" outlineLevel="1"/>
    <col min="2" max="2" width="10.54296875" style="6" customWidth="1" collapsed="1"/>
    <col min="3" max="3" width="50.54296875" customWidth="1"/>
    <col min="4" max="4" width="25.54296875" customWidth="1"/>
    <col min="5" max="28" width="15.54296875" customWidth="1"/>
  </cols>
  <sheetData>
    <row r="1" spans="1:28" ht="15" customHeight="1">
      <c r="A1" s="1" t="s">
        <v>15</v>
      </c>
      <c r="B1" s="18"/>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s="4" customFormat="1" ht="50.15" customHeight="1">
      <c r="A2" s="236" t="s">
        <v>16</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c r="AA2" s="22"/>
      <c r="AB2" s="22"/>
    </row>
    <row r="3" spans="1:28" s="4" customFormat="1" ht="30" customHeight="1">
      <c r="A3" s="237"/>
      <c r="B3" s="24">
        <f ca="1">_xlfn.SHEET()</f>
        <v>16</v>
      </c>
      <c r="C3" s="23" t="s">
        <v>473</v>
      </c>
      <c r="D3" s="23"/>
      <c r="E3" s="23"/>
      <c r="F3" s="23"/>
      <c r="G3" s="23"/>
      <c r="H3" s="23"/>
      <c r="I3" s="23"/>
      <c r="J3" s="23"/>
      <c r="K3" s="23"/>
      <c r="L3" s="23"/>
      <c r="M3" s="23"/>
      <c r="N3" s="23"/>
      <c r="O3" s="23"/>
      <c r="P3" s="23"/>
      <c r="Q3" s="23"/>
      <c r="R3" s="23"/>
      <c r="S3" s="23"/>
      <c r="T3" s="23"/>
      <c r="U3" s="23"/>
      <c r="V3" s="23"/>
      <c r="W3" s="23"/>
      <c r="X3" s="23"/>
      <c r="Y3" s="23"/>
      <c r="Z3" s="23"/>
      <c r="AA3" s="23"/>
      <c r="AB3" s="23"/>
    </row>
    <row r="4" spans="1:28">
      <c r="B4"/>
    </row>
    <row r="5" spans="1:28" ht="16" thickBot="1">
      <c r="A5" s="1" t="s">
        <v>18</v>
      </c>
      <c r="B5" s="7">
        <f ca="1">MAX(B$3:B4)+0.1</f>
        <v>16.100000000000001</v>
      </c>
      <c r="C5" s="25" t="s">
        <v>474</v>
      </c>
      <c r="D5" s="25"/>
      <c r="E5" s="25"/>
      <c r="F5" s="25"/>
      <c r="G5" s="25"/>
      <c r="H5" s="25"/>
      <c r="I5" s="25"/>
      <c r="J5" s="25"/>
      <c r="K5" s="25"/>
      <c r="L5" s="25"/>
      <c r="M5" s="25"/>
      <c r="N5" s="25"/>
      <c r="O5" s="25"/>
      <c r="P5" s="25"/>
      <c r="Q5" s="25"/>
      <c r="R5" s="25"/>
      <c r="S5" s="25"/>
      <c r="T5" s="25"/>
      <c r="U5" s="25"/>
      <c r="V5" s="25"/>
      <c r="W5" s="25"/>
      <c r="X5" s="25"/>
      <c r="Y5" s="25"/>
      <c r="Z5" s="25"/>
      <c r="AA5" s="25"/>
      <c r="AB5" s="25"/>
    </row>
    <row r="6" spans="1:28">
      <c r="B6"/>
    </row>
    <row r="7" spans="1:28">
      <c r="B7"/>
    </row>
    <row r="8" spans="1:28">
      <c r="B8"/>
    </row>
    <row r="9" spans="1:28">
      <c r="B9"/>
    </row>
    <row r="10" spans="1:28">
      <c r="B10"/>
    </row>
    <row r="11" spans="1:28">
      <c r="B11"/>
    </row>
    <row r="12" spans="1:28">
      <c r="B12"/>
    </row>
    <row r="13" spans="1:28">
      <c r="B13"/>
    </row>
    <row r="14" spans="1:28">
      <c r="B14"/>
    </row>
    <row r="15" spans="1:28">
      <c r="B15"/>
    </row>
    <row r="16" spans="1:28">
      <c r="B16"/>
    </row>
    <row r="17" spans="2:2">
      <c r="B17"/>
    </row>
    <row r="18" spans="2:2">
      <c r="B18"/>
    </row>
    <row r="19" spans="2:2">
      <c r="B19"/>
    </row>
    <row r="20" spans="2:2">
      <c r="B20"/>
    </row>
    <row r="21" spans="2:2">
      <c r="B21"/>
    </row>
    <row r="22" spans="2:2">
      <c r="B22"/>
    </row>
    <row r="23" spans="2:2">
      <c r="B23"/>
    </row>
    <row r="24" spans="2:2">
      <c r="B24"/>
    </row>
    <row r="25" spans="2:2">
      <c r="B25"/>
    </row>
    <row r="26" spans="2:2">
      <c r="B26"/>
    </row>
    <row r="27" spans="2:2">
      <c r="B27"/>
    </row>
    <row r="28" spans="2:2">
      <c r="B28"/>
    </row>
    <row r="29" spans="2:2">
      <c r="B29"/>
    </row>
    <row r="30" spans="2:2">
      <c r="B30"/>
    </row>
    <row r="31" spans="2:2">
      <c r="B31"/>
    </row>
    <row r="32" spans="2:2">
      <c r="B32"/>
    </row>
    <row r="33" spans="1:28">
      <c r="B33"/>
    </row>
    <row r="34" spans="1:28">
      <c r="B34"/>
    </row>
    <row r="35" spans="1:28">
      <c r="B35"/>
    </row>
    <row r="36" spans="1:28">
      <c r="B36"/>
    </row>
    <row r="37" spans="1:28">
      <c r="B37"/>
    </row>
    <row r="38" spans="1:28">
      <c r="B38"/>
    </row>
    <row r="39" spans="1:28">
      <c r="B39"/>
    </row>
    <row r="40" spans="1:28">
      <c r="B40"/>
    </row>
    <row r="41" spans="1:28">
      <c r="B41"/>
    </row>
    <row r="42" spans="1:28">
      <c r="B42"/>
    </row>
    <row r="43" spans="1:28">
      <c r="B43"/>
    </row>
    <row r="44" spans="1:28">
      <c r="B44"/>
    </row>
    <row r="45" spans="1:28">
      <c r="B45"/>
    </row>
    <row r="46" spans="1:28">
      <c r="B46"/>
    </row>
    <row r="47" spans="1:28">
      <c r="B47"/>
    </row>
    <row r="48" spans="1:28" ht="16" thickBot="1">
      <c r="A48" s="1" t="s">
        <v>18</v>
      </c>
      <c r="B48" s="7">
        <f ca="1">MAX(B$3:B47)+0.1</f>
        <v>16.200000000000003</v>
      </c>
      <c r="C48" s="25" t="s">
        <v>475</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50" spans="3:17" ht="15.5">
      <c r="C50" s="38" t="s">
        <v>57</v>
      </c>
      <c r="D50" s="91" t="s">
        <v>65</v>
      </c>
      <c r="E50" s="26"/>
    </row>
    <row r="51" spans="3:17" ht="15.5">
      <c r="E51" s="26"/>
    </row>
    <row r="52" spans="3:17" ht="15.5">
      <c r="C52" s="49" t="s">
        <v>464</v>
      </c>
      <c r="D52" s="49" t="s">
        <v>31</v>
      </c>
      <c r="E52" s="45" t="s">
        <v>467</v>
      </c>
      <c r="F52" s="45" t="s">
        <v>140</v>
      </c>
      <c r="G52" s="45" t="s">
        <v>80</v>
      </c>
      <c r="H52" s="45" t="s">
        <v>471</v>
      </c>
      <c r="I52" s="45" t="s">
        <v>89</v>
      </c>
      <c r="J52" s="45" t="s">
        <v>469</v>
      </c>
      <c r="K52" s="45" t="s">
        <v>472</v>
      </c>
      <c r="L52" s="45" t="s">
        <v>470</v>
      </c>
      <c r="M52" s="45" t="s">
        <v>92</v>
      </c>
      <c r="N52" s="45" t="s">
        <v>383</v>
      </c>
      <c r="O52" s="45" t="s">
        <v>98</v>
      </c>
      <c r="Q52" s="38" t="s">
        <v>476</v>
      </c>
    </row>
    <row r="53" spans="3:17">
      <c r="Q53" s="109"/>
    </row>
    <row r="54" spans="3:17">
      <c r="C54" t="s">
        <v>58</v>
      </c>
      <c r="D54" t="s">
        <v>477</v>
      </c>
      <c r="E54" s="161" t="str" cm="1">
        <f t="array" ref="E54">IFERROR(INDEX(#REF!,
MATCH(1,(#REF!=CH_CostElements_Anytime!E$52)*(#REF!=$D$50)*(#REF!=CH_CostElements_Anytime!$D54),0),
MATCH(CH_CostElements_Anytime!$C54,#REF!,0)),"-")</f>
        <v>-</v>
      </c>
      <c r="F54" s="92" t="str" cm="1">
        <f t="array" ref="F54">IFERROR(INDEX(#REF!,
MATCH(1,(#REF!=CH_CostElements_Anytime!F$52)*(#REF!=$D$50)*(#REF!=CH_CostElements_Anytime!$D54),0),
MATCH(CH_CostElements_Anytime!$C54,#REF!,0)),"-")</f>
        <v>-</v>
      </c>
      <c r="G54" s="160" t="str" cm="1">
        <f t="array" ref="G54">IFERROR(INDEX(#REF!,
MATCH(1,(#REF!=CH_CostElements_Anytime!G$52)*(#REF!=$D$50)*(#REF!=CH_CostElements_Anytime!$D54),0),
MATCH(CH_CostElements_Anytime!$C54,#REF!,0)),"-")</f>
        <v>-</v>
      </c>
      <c r="H54" s="160" t="str" cm="1">
        <f t="array" ref="H54">IFERROR(INDEX(#REF!,
MATCH(1,(#REF!=CH_CostElements_Anytime!H$52)*(#REF!=$D$50)*(#REF!=CH_CostElements_Anytime!$D54),0),
MATCH(CH_CostElements_Anytime!$C54,#REF!,0)),"-")</f>
        <v>-</v>
      </c>
      <c r="I54" s="92" t="str" cm="1">
        <f t="array" ref="I54">IFERROR(INDEX(#REF!,
MATCH(1,(#REF!=CH_CostElements_Anytime!I$52)*(#REF!=$D$50)*(#REF!=CH_CostElements_Anytime!$D54),0),
MATCH(CH_CostElements_Anytime!$C54,#REF!,0)),"-")</f>
        <v>-</v>
      </c>
      <c r="J54" s="92" t="str" cm="1">
        <f t="array" ref="J54">IFERROR(INDEX(#REF!,
MATCH(1,(#REF!=CH_CostElements_Anytime!J$52)*(#REF!=$D$50)*(#REF!=CH_CostElements_Anytime!$D54),0),
MATCH(CH_CostElements_Anytime!$C54,#REF!,0)),"-")</f>
        <v>-</v>
      </c>
      <c r="K54" s="160" t="str" cm="1">
        <f t="array" ref="K54">IFERROR(INDEX(#REF!,
MATCH(1,(#REF!=CH_CostElements_Anytime!K$52)*(#REF!=$D$50)*(#REF!=CH_CostElements_Anytime!$D54),0),
MATCH(CH_CostElements_Anytime!$C54,#REF!,0)),"-")</f>
        <v>-</v>
      </c>
      <c r="L54" s="92" t="str" cm="1">
        <f t="array" ref="L54">IFERROR(INDEX(#REF!,
MATCH(1,(#REF!=CH_CostElements_Anytime!L$52)*(#REF!=$D$50)*(#REF!=CH_CostElements_Anytime!$D54),0),
MATCH(CH_CostElements_Anytime!$C54,#REF!,0)),"-")</f>
        <v>-</v>
      </c>
      <c r="M54" s="92" t="str" cm="1">
        <f t="array" ref="M54">IFERROR(INDEX(#REF!,
MATCH(1,(#REF!=CH_CostElements_Anytime!M$52)*(#REF!=$D$50)*(#REF!=CH_CostElements_Anytime!$D54),0),
MATCH(CH_CostElements_Anytime!$C54,#REF!,0)),"-")</f>
        <v>-</v>
      </c>
      <c r="N54" s="92" t="str" cm="1">
        <f t="array" ref="N54">IFERROR(INDEX(#REF!,
MATCH(1,(#REF!=CH_CostElements_Anytime!N$52)*(#REF!=$D$50)*(#REF!=CH_CostElements_Anytime!$D54),0),
MATCH(CH_CostElements_Anytime!$C54,#REF!,0)),"-")</f>
        <v>-</v>
      </c>
      <c r="O54" s="92" t="str" cm="1">
        <f t="array" ref="O54">IFERROR(INDEX(#REF!,
MATCH(1,(#REF!=CH_CostElements_Anytime!O$52)*(#REF!=$D$50)*(#REF!=CH_CostElements_Anytime!$D54),0),
MATCH(CH_CostElements_Anytime!$C54,#REF!,0)),"-")</f>
        <v>-</v>
      </c>
      <c r="Q54" s="166" t="e">
        <f>IF(ROUND(E54,8)=ROUND(SUM(F54:O54),8),0,1)</f>
        <v>#VALUE!</v>
      </c>
    </row>
    <row r="55" spans="3:17">
      <c r="C55" t="s">
        <v>59</v>
      </c>
      <c r="D55" t="s">
        <v>477</v>
      </c>
      <c r="E55" s="161" t="str" cm="1">
        <f t="array" ref="E55">IFERROR(INDEX(#REF!,
MATCH(1,(#REF!=CH_CostElements_Anytime!E$52)*(#REF!=$D$50)*(#REF!=CH_CostElements_Anytime!$D55),0),
MATCH(CH_CostElements_Anytime!$C55,#REF!,0)),"-")</f>
        <v>-</v>
      </c>
      <c r="F55" s="92" t="str" cm="1">
        <f t="array" ref="F55">IFERROR(INDEX(#REF!,
MATCH(1,(#REF!=CH_CostElements_Anytime!F$52)*(#REF!=$D$50)*(#REF!=CH_CostElements_Anytime!$D55),0),
MATCH(CH_CostElements_Anytime!$C55,#REF!,0)),"-")</f>
        <v>-</v>
      </c>
      <c r="G55" s="160" t="str" cm="1">
        <f t="array" ref="G55">IFERROR(INDEX(#REF!,
MATCH(1,(#REF!=CH_CostElements_Anytime!G$52)*(#REF!=$D$50)*(#REF!=CH_CostElements_Anytime!$D55),0),
MATCH(CH_CostElements_Anytime!$C55,#REF!,0)),"-")</f>
        <v>-</v>
      </c>
      <c r="H55" s="160" t="str" cm="1">
        <f t="array" ref="H55">IFERROR(INDEX(#REF!,
MATCH(1,(#REF!=CH_CostElements_Anytime!H$52)*(#REF!=$D$50)*(#REF!=CH_CostElements_Anytime!$D55),0),
MATCH(CH_CostElements_Anytime!$C55,#REF!,0)),"-")</f>
        <v>-</v>
      </c>
      <c r="I55" s="92" t="str" cm="1">
        <f t="array" ref="I55">IFERROR(INDEX(#REF!,
MATCH(1,(#REF!=CH_CostElements_Anytime!I$52)*(#REF!=$D$50)*(#REF!=CH_CostElements_Anytime!$D55),0),
MATCH(CH_CostElements_Anytime!$C55,#REF!,0)),"-")</f>
        <v>-</v>
      </c>
      <c r="J55" s="92" t="str" cm="1">
        <f t="array" ref="J55">IFERROR(INDEX(#REF!,
MATCH(1,(#REF!=CH_CostElements_Anytime!J$52)*(#REF!=$D$50)*(#REF!=CH_CostElements_Anytime!$D55),0),
MATCH(CH_CostElements_Anytime!$C55,#REF!,0)),"-")</f>
        <v>-</v>
      </c>
      <c r="K55" s="160" t="str" cm="1">
        <f t="array" ref="K55">IFERROR(INDEX(#REF!,
MATCH(1,(#REF!=CH_CostElements_Anytime!K$52)*(#REF!=$D$50)*(#REF!=CH_CostElements_Anytime!$D55),0),
MATCH(CH_CostElements_Anytime!$C55,#REF!,0)),"-")</f>
        <v>-</v>
      </c>
      <c r="L55" s="92" t="str" cm="1">
        <f t="array" ref="L55">IFERROR(INDEX(#REF!,
MATCH(1,(#REF!=CH_CostElements_Anytime!L$52)*(#REF!=$D$50)*(#REF!=CH_CostElements_Anytime!$D55),0),
MATCH(CH_CostElements_Anytime!$C55,#REF!,0)),"-")</f>
        <v>-</v>
      </c>
      <c r="M55" s="92" t="str" cm="1">
        <f t="array" ref="M55">IFERROR(INDEX(#REF!,
MATCH(1,(#REF!=CH_CostElements_Anytime!M$52)*(#REF!=$D$50)*(#REF!=CH_CostElements_Anytime!$D55),0),
MATCH(CH_CostElements_Anytime!$C55,#REF!,0)),"-")</f>
        <v>-</v>
      </c>
      <c r="N55" s="92" t="str" cm="1">
        <f t="array" ref="N55">IFERROR(INDEX(#REF!,
MATCH(1,(#REF!=CH_CostElements_Anytime!N$52)*(#REF!=$D$50)*(#REF!=CH_CostElements_Anytime!$D55),0),
MATCH(CH_CostElements_Anytime!$C55,#REF!,0)),"-")</f>
        <v>-</v>
      </c>
      <c r="O55" s="92" t="str" cm="1">
        <f t="array" ref="O55">IFERROR(INDEX(#REF!,
MATCH(1,(#REF!=CH_CostElements_Anytime!O$52)*(#REF!=$D$50)*(#REF!=CH_CostElements_Anytime!$D55),0),
MATCH(CH_CostElements_Anytime!$C55,#REF!,0)),"-")</f>
        <v>-</v>
      </c>
      <c r="Q55" s="166" t="e">
        <f t="shared" ref="Q55:Q59" si="0">IF(ROUND(E55,8)=ROUND(SUM(F55:O55),8),0,1)</f>
        <v>#VALUE!</v>
      </c>
    </row>
    <row r="56" spans="3:17">
      <c r="C56" t="s">
        <v>60</v>
      </c>
      <c r="D56" t="s">
        <v>477</v>
      </c>
      <c r="E56" s="161" t="str" cm="1">
        <f t="array" ref="E56">IFERROR(INDEX(#REF!,
MATCH(1,(#REF!=CH_CostElements_Anytime!E$52)*(#REF!=$D$50)*(#REF!=CH_CostElements_Anytime!$D56),0),
MATCH(CH_CostElements_Anytime!$C56,#REF!,0)),"-")</f>
        <v>-</v>
      </c>
      <c r="F56" s="92" t="str" cm="1">
        <f t="array" ref="F56">IFERROR(INDEX(#REF!,
MATCH(1,(#REF!=CH_CostElements_Anytime!F$52)*(#REF!=$D$50)*(#REF!=CH_CostElements_Anytime!$D56),0),
MATCH(CH_CostElements_Anytime!$C56,#REF!,0)),"-")</f>
        <v>-</v>
      </c>
      <c r="G56" s="160" t="str" cm="1">
        <f t="array" ref="G56">IFERROR(INDEX(#REF!,
MATCH(1,(#REF!=CH_CostElements_Anytime!G$52)*(#REF!=$D$50)*(#REF!=CH_CostElements_Anytime!$D56),0),
MATCH(CH_CostElements_Anytime!$C56,#REF!,0)),"-")</f>
        <v>-</v>
      </c>
      <c r="H56" s="160" t="str" cm="1">
        <f t="array" ref="H56">IFERROR(INDEX(#REF!,
MATCH(1,(#REF!=CH_CostElements_Anytime!H$52)*(#REF!=$D$50)*(#REF!=CH_CostElements_Anytime!$D56),0),
MATCH(CH_CostElements_Anytime!$C56,#REF!,0)),"-")</f>
        <v>-</v>
      </c>
      <c r="I56" s="92" t="str" cm="1">
        <f t="array" ref="I56">IFERROR(INDEX(#REF!,
MATCH(1,(#REF!=CH_CostElements_Anytime!I$52)*(#REF!=$D$50)*(#REF!=CH_CostElements_Anytime!$D56),0),
MATCH(CH_CostElements_Anytime!$C56,#REF!,0)),"-")</f>
        <v>-</v>
      </c>
      <c r="J56" s="92" t="str" cm="1">
        <f t="array" ref="J56">IFERROR(INDEX(#REF!,
MATCH(1,(#REF!=CH_CostElements_Anytime!J$52)*(#REF!=$D$50)*(#REF!=CH_CostElements_Anytime!$D56),0),
MATCH(CH_CostElements_Anytime!$C56,#REF!,0)),"-")</f>
        <v>-</v>
      </c>
      <c r="K56" s="160" t="str" cm="1">
        <f t="array" ref="K56">IFERROR(INDEX(#REF!,
MATCH(1,(#REF!=CH_CostElements_Anytime!K$52)*(#REF!=$D$50)*(#REF!=CH_CostElements_Anytime!$D56),0),
MATCH(CH_CostElements_Anytime!$C56,#REF!,0)),"-")</f>
        <v>-</v>
      </c>
      <c r="L56" s="92" t="str" cm="1">
        <f t="array" ref="L56">IFERROR(INDEX(#REF!,
MATCH(1,(#REF!=CH_CostElements_Anytime!L$52)*(#REF!=$D$50)*(#REF!=CH_CostElements_Anytime!$D56),0),
MATCH(CH_CostElements_Anytime!$C56,#REF!,0)),"-")</f>
        <v>-</v>
      </c>
      <c r="M56" s="92" t="str" cm="1">
        <f t="array" ref="M56">IFERROR(INDEX(#REF!,
MATCH(1,(#REF!=CH_CostElements_Anytime!M$52)*(#REF!=$D$50)*(#REF!=CH_CostElements_Anytime!$D56),0),
MATCH(CH_CostElements_Anytime!$C56,#REF!,0)),"-")</f>
        <v>-</v>
      </c>
      <c r="N56" s="92" t="str" cm="1">
        <f t="array" ref="N56">IFERROR(INDEX(#REF!,
MATCH(1,(#REF!=CH_CostElements_Anytime!N$52)*(#REF!=$D$50)*(#REF!=CH_CostElements_Anytime!$D56),0),
MATCH(CH_CostElements_Anytime!$C56,#REF!,0)),"-")</f>
        <v>-</v>
      </c>
      <c r="O56" s="92" t="str" cm="1">
        <f t="array" ref="O56">IFERROR(INDEX(#REF!,
MATCH(1,(#REF!=CH_CostElements_Anytime!O$52)*(#REF!=$D$50)*(#REF!=CH_CostElements_Anytime!$D56),0),
MATCH(CH_CostElements_Anytime!$C56,#REF!,0)),"-")</f>
        <v>-</v>
      </c>
      <c r="Q56" s="166" t="e">
        <f t="shared" si="0"/>
        <v>#VALUE!</v>
      </c>
    </row>
    <row r="57" spans="3:17">
      <c r="C57" t="s">
        <v>61</v>
      </c>
      <c r="D57" t="s">
        <v>477</v>
      </c>
      <c r="E57" s="161" t="str" cm="1">
        <f t="array" ref="E57">IFERROR(INDEX(#REF!,
MATCH(1,(#REF!=CH_CostElements_Anytime!E$52)*(#REF!=$D$50)*(#REF!=CH_CostElements_Anytime!$D57),0),
MATCH(CH_CostElements_Anytime!$C57,#REF!,0)),"-")</f>
        <v>-</v>
      </c>
      <c r="F57" s="92" t="str" cm="1">
        <f t="array" ref="F57">IFERROR(INDEX(#REF!,
MATCH(1,(#REF!=CH_CostElements_Anytime!F$52)*(#REF!=$D$50)*(#REF!=CH_CostElements_Anytime!$D57),0),
MATCH(CH_CostElements_Anytime!$C57,#REF!,0)),"-")</f>
        <v>-</v>
      </c>
      <c r="G57" s="160" t="str" cm="1">
        <f t="array" ref="G57">IFERROR(INDEX(#REF!,
MATCH(1,(#REF!=CH_CostElements_Anytime!G$52)*(#REF!=$D$50)*(#REF!=CH_CostElements_Anytime!$D57),0),
MATCH(CH_CostElements_Anytime!$C57,#REF!,0)),"-")</f>
        <v>-</v>
      </c>
      <c r="H57" s="160" t="str" cm="1">
        <f t="array" ref="H57">IFERROR(INDEX(#REF!,
MATCH(1,(#REF!=CH_CostElements_Anytime!H$52)*(#REF!=$D$50)*(#REF!=CH_CostElements_Anytime!$D57),0),
MATCH(CH_CostElements_Anytime!$C57,#REF!,0)),"-")</f>
        <v>-</v>
      </c>
      <c r="I57" s="92" t="str" cm="1">
        <f t="array" ref="I57">IFERROR(INDEX(#REF!,
MATCH(1,(#REF!=CH_CostElements_Anytime!I$52)*(#REF!=$D$50)*(#REF!=CH_CostElements_Anytime!$D57),0),
MATCH(CH_CostElements_Anytime!$C57,#REF!,0)),"-")</f>
        <v>-</v>
      </c>
      <c r="J57" s="92" t="str" cm="1">
        <f t="array" ref="J57">IFERROR(INDEX(#REF!,
MATCH(1,(#REF!=CH_CostElements_Anytime!J$52)*(#REF!=$D$50)*(#REF!=CH_CostElements_Anytime!$D57),0),
MATCH(CH_CostElements_Anytime!$C57,#REF!,0)),"-")</f>
        <v>-</v>
      </c>
      <c r="K57" s="160" t="str" cm="1">
        <f t="array" ref="K57">IFERROR(INDEX(#REF!,
MATCH(1,(#REF!=CH_CostElements_Anytime!K$52)*(#REF!=$D$50)*(#REF!=CH_CostElements_Anytime!$D57),0),
MATCH(CH_CostElements_Anytime!$C57,#REF!,0)),"-")</f>
        <v>-</v>
      </c>
      <c r="L57" s="92" t="str" cm="1">
        <f t="array" ref="L57">IFERROR(INDEX(#REF!,
MATCH(1,(#REF!=CH_CostElements_Anytime!L$52)*(#REF!=$D$50)*(#REF!=CH_CostElements_Anytime!$D57),0),
MATCH(CH_CostElements_Anytime!$C57,#REF!,0)),"-")</f>
        <v>-</v>
      </c>
      <c r="M57" s="92" t="str" cm="1">
        <f t="array" ref="M57">IFERROR(INDEX(#REF!,
MATCH(1,(#REF!=CH_CostElements_Anytime!M$52)*(#REF!=$D$50)*(#REF!=CH_CostElements_Anytime!$D57),0),
MATCH(CH_CostElements_Anytime!$C57,#REF!,0)),"-")</f>
        <v>-</v>
      </c>
      <c r="N57" s="92" t="str" cm="1">
        <f t="array" ref="N57">IFERROR(INDEX(#REF!,
MATCH(1,(#REF!=CH_CostElements_Anytime!N$52)*(#REF!=$D$50)*(#REF!=CH_CostElements_Anytime!$D57),0),
MATCH(CH_CostElements_Anytime!$C57,#REF!,0)),"-")</f>
        <v>-</v>
      </c>
      <c r="O57" s="92" t="str" cm="1">
        <f t="array" ref="O57">IFERROR(INDEX(#REF!,
MATCH(1,(#REF!=CH_CostElements_Anytime!O$52)*(#REF!=$D$50)*(#REF!=CH_CostElements_Anytime!$D57),0),
MATCH(CH_CostElements_Anytime!$C57,#REF!,0)),"-")</f>
        <v>-</v>
      </c>
      <c r="Q57" s="166" t="e">
        <f t="shared" si="0"/>
        <v>#VALUE!</v>
      </c>
    </row>
    <row r="58" spans="3:17">
      <c r="C58" t="s">
        <v>62</v>
      </c>
      <c r="D58" t="s">
        <v>477</v>
      </c>
      <c r="E58" s="161" t="str" cm="1">
        <f t="array" ref="E58">IFERROR(INDEX(#REF!,
MATCH(1,(#REF!=CH_CostElements_Anytime!E$52)*(#REF!=$D$50)*(#REF!=CH_CostElements_Anytime!$D58),0),
MATCH(CH_CostElements_Anytime!$C58,#REF!,0)),"-")</f>
        <v>-</v>
      </c>
      <c r="F58" s="92" t="str" cm="1">
        <f t="array" ref="F58">IFERROR(INDEX(#REF!,
MATCH(1,(#REF!=CH_CostElements_Anytime!F$52)*(#REF!=$D$50)*(#REF!=CH_CostElements_Anytime!$D58),0),
MATCH(CH_CostElements_Anytime!$C58,#REF!,0)),"-")</f>
        <v>-</v>
      </c>
      <c r="G58" s="160" t="str" cm="1">
        <f t="array" ref="G58">IFERROR(INDEX(#REF!,
MATCH(1,(#REF!=CH_CostElements_Anytime!G$52)*(#REF!=$D$50)*(#REF!=CH_CostElements_Anytime!$D58),0),
MATCH(CH_CostElements_Anytime!$C58,#REF!,0)),"-")</f>
        <v>-</v>
      </c>
      <c r="H58" s="160" t="str" cm="1">
        <f t="array" ref="H58">IFERROR(INDEX(#REF!,
MATCH(1,(#REF!=CH_CostElements_Anytime!H$52)*(#REF!=$D$50)*(#REF!=CH_CostElements_Anytime!$D58),0),
MATCH(CH_CostElements_Anytime!$C58,#REF!,0)),"-")</f>
        <v>-</v>
      </c>
      <c r="I58" s="92" t="str" cm="1">
        <f t="array" ref="I58">IFERROR(INDEX(#REF!,
MATCH(1,(#REF!=CH_CostElements_Anytime!I$52)*(#REF!=$D$50)*(#REF!=CH_CostElements_Anytime!$D58),0),
MATCH(CH_CostElements_Anytime!$C58,#REF!,0)),"-")</f>
        <v>-</v>
      </c>
      <c r="J58" s="92" t="str" cm="1">
        <f t="array" ref="J58">IFERROR(INDEX(#REF!,
MATCH(1,(#REF!=CH_CostElements_Anytime!J$52)*(#REF!=$D$50)*(#REF!=CH_CostElements_Anytime!$D58),0),
MATCH(CH_CostElements_Anytime!$C58,#REF!,0)),"-")</f>
        <v>-</v>
      </c>
      <c r="K58" s="160" t="str" cm="1">
        <f t="array" ref="K58">IFERROR(INDEX(#REF!,
MATCH(1,(#REF!=CH_CostElements_Anytime!K$52)*(#REF!=$D$50)*(#REF!=CH_CostElements_Anytime!$D58),0),
MATCH(CH_CostElements_Anytime!$C58,#REF!,0)),"-")</f>
        <v>-</v>
      </c>
      <c r="L58" s="92" t="str" cm="1">
        <f t="array" ref="L58">IFERROR(INDEX(#REF!,
MATCH(1,(#REF!=CH_CostElements_Anytime!L$52)*(#REF!=$D$50)*(#REF!=CH_CostElements_Anytime!$D58),0),
MATCH(CH_CostElements_Anytime!$C58,#REF!,0)),"-")</f>
        <v>-</v>
      </c>
      <c r="M58" s="92" t="str" cm="1">
        <f t="array" ref="M58">IFERROR(INDEX(#REF!,
MATCH(1,(#REF!=CH_CostElements_Anytime!M$52)*(#REF!=$D$50)*(#REF!=CH_CostElements_Anytime!$D58),0),
MATCH(CH_CostElements_Anytime!$C58,#REF!,0)),"-")</f>
        <v>-</v>
      </c>
      <c r="N58" s="92" t="str" cm="1">
        <f t="array" ref="N58">IFERROR(INDEX(#REF!,
MATCH(1,(#REF!=CH_CostElements_Anytime!N$52)*(#REF!=$D$50)*(#REF!=CH_CostElements_Anytime!$D58),0),
MATCH(CH_CostElements_Anytime!$C58,#REF!,0)),"-")</f>
        <v>-</v>
      </c>
      <c r="O58" s="92" t="str" cm="1">
        <f t="array" ref="O58">IFERROR(INDEX(#REF!,
MATCH(1,(#REF!=CH_CostElements_Anytime!O$52)*(#REF!=$D$50)*(#REF!=CH_CostElements_Anytime!$D58),0),
MATCH(CH_CostElements_Anytime!$C58,#REF!,0)),"-")</f>
        <v>-</v>
      </c>
      <c r="Q58" s="166" t="e">
        <f t="shared" si="0"/>
        <v>#VALUE!</v>
      </c>
    </row>
    <row r="59" spans="3:17">
      <c r="C59" t="s">
        <v>465</v>
      </c>
      <c r="D59" t="s">
        <v>477</v>
      </c>
      <c r="E59" s="161" t="str" cm="1">
        <f t="array" ref="E59">IFERROR(INDEX(#REF!,
MATCH(1,(#REF!=CH_CostElements_Anytime!E$52)*(#REF!=$D$50)*(#REF!=CH_CostElements_Anytime!$D59),0),
MATCH(CH_CostElements_Anytime!$C59,#REF!,0)),"-")</f>
        <v>-</v>
      </c>
      <c r="F59" s="92" t="str" cm="1">
        <f t="array" ref="F59">IFERROR(INDEX(#REF!,
MATCH(1,(#REF!=CH_CostElements_Anytime!F$52)*(#REF!=$D$50)*(#REF!=CH_CostElements_Anytime!$D59),0),
MATCH(CH_CostElements_Anytime!$C59,#REF!,0)),"-")</f>
        <v>-</v>
      </c>
      <c r="G59" s="160" t="str" cm="1">
        <f t="array" ref="G59">IFERROR(INDEX(#REF!,
MATCH(1,(#REF!=CH_CostElements_Anytime!G$52)*(#REF!=$D$50)*(#REF!=CH_CostElements_Anytime!$D59),0),
MATCH(CH_CostElements_Anytime!$C59,#REF!,0)),"-")</f>
        <v>-</v>
      </c>
      <c r="H59" s="160" t="str" cm="1">
        <f t="array" ref="H59">IFERROR(INDEX(#REF!,
MATCH(1,(#REF!=CH_CostElements_Anytime!H$52)*(#REF!=$D$50)*(#REF!=CH_CostElements_Anytime!$D59),0),
MATCH(CH_CostElements_Anytime!$C59,#REF!,0)),"-")</f>
        <v>-</v>
      </c>
      <c r="I59" s="92" t="str" cm="1">
        <f t="array" ref="I59">IFERROR(INDEX(#REF!,
MATCH(1,(#REF!=CH_CostElements_Anytime!I$52)*(#REF!=$D$50)*(#REF!=CH_CostElements_Anytime!$D59),0),
MATCH(CH_CostElements_Anytime!$C59,#REF!,0)),"-")</f>
        <v>-</v>
      </c>
      <c r="J59" s="92" t="str" cm="1">
        <f t="array" ref="J59">IFERROR(INDEX(#REF!,
MATCH(1,(#REF!=CH_CostElements_Anytime!J$52)*(#REF!=$D$50)*(#REF!=CH_CostElements_Anytime!$D59),0),
MATCH(CH_CostElements_Anytime!$C59,#REF!,0)),"-")</f>
        <v>-</v>
      </c>
      <c r="K59" s="160" t="str" cm="1">
        <f t="array" ref="K59">IFERROR(INDEX(#REF!,
MATCH(1,(#REF!=CH_CostElements_Anytime!K$52)*(#REF!=$D$50)*(#REF!=CH_CostElements_Anytime!$D59),0),
MATCH(CH_CostElements_Anytime!$C59,#REF!,0)),"-")</f>
        <v>-</v>
      </c>
      <c r="L59" s="92" t="str" cm="1">
        <f t="array" ref="L59">IFERROR(INDEX(#REF!,
MATCH(1,(#REF!=CH_CostElements_Anytime!L$52)*(#REF!=$D$50)*(#REF!=CH_CostElements_Anytime!$D59),0),
MATCH(CH_CostElements_Anytime!$C59,#REF!,0)),"-")</f>
        <v>-</v>
      </c>
      <c r="M59" s="92" t="str" cm="1">
        <f t="array" ref="M59">IFERROR(INDEX(#REF!,
MATCH(1,(#REF!=CH_CostElements_Anytime!M$52)*(#REF!=$D$50)*(#REF!=CH_CostElements_Anytime!$D59),0),
MATCH(CH_CostElements_Anytime!$C59,#REF!,0)),"-")</f>
        <v>-</v>
      </c>
      <c r="N59" s="92" t="str" cm="1">
        <f t="array" ref="N59">IFERROR(INDEX(#REF!,
MATCH(1,(#REF!=CH_CostElements_Anytime!N$52)*(#REF!=$D$50)*(#REF!=CH_CostElements_Anytime!$D59),0),
MATCH(CH_CostElements_Anytime!$C59,#REF!,0)),"-")</f>
        <v>-</v>
      </c>
      <c r="O59" s="92" t="str" cm="1">
        <f t="array" ref="O59">IFERROR(INDEX(#REF!,
MATCH(1,(#REF!=CH_CostElements_Anytime!O$52)*(#REF!=$D$50)*(#REF!=CH_CostElements_Anytime!$D59),0),
MATCH(CH_CostElements_Anytime!$C59,#REF!,0)),"-")</f>
        <v>-</v>
      </c>
      <c r="Q59" s="166" t="e">
        <f t="shared" si="0"/>
        <v>#VALUE!</v>
      </c>
    </row>
    <row r="60" spans="3:17">
      <c r="Q60" s="109"/>
    </row>
    <row r="61" spans="3:17">
      <c r="C61" t="s">
        <v>58</v>
      </c>
      <c r="D61" t="s">
        <v>478</v>
      </c>
      <c r="E61" s="161" t="str" cm="1">
        <f t="array" ref="E61">IFERROR(INDEX(#REF!,
MATCH(1,(#REF!=CH_CostElements_Anytime!E$52)*(#REF!=$D$50)*(#REF!=CH_CostElements_Anytime!$D61),0),
MATCH(CH_CostElements_Anytime!$C61,#REF!,0)),"-")</f>
        <v>-</v>
      </c>
      <c r="F61" s="92" t="str" cm="1">
        <f t="array" ref="F61">IFERROR(INDEX(#REF!,
MATCH(1,(#REF!=CH_CostElements_Anytime!F$52)*(#REF!=$D$50)*(#REF!=CH_CostElements_Anytime!$D61),0),
MATCH(CH_CostElements_Anytime!$C61,#REF!,0)),"-")</f>
        <v>-</v>
      </c>
      <c r="G61" s="160" t="str" cm="1">
        <f t="array" ref="G61">IFERROR(INDEX(#REF!,
MATCH(1,(#REF!=CH_CostElements_Anytime!G$52)*(#REF!=$D$50)*(#REF!=CH_CostElements_Anytime!$D61),0),
MATCH(CH_CostElements_Anytime!$C61,#REF!,0)),"-")</f>
        <v>-</v>
      </c>
      <c r="H61" s="160" t="str" cm="1">
        <f t="array" ref="H61">IFERROR(INDEX(#REF!,
MATCH(1,(#REF!=CH_CostElements_Anytime!H$52)*(#REF!=$D$50)*(#REF!=CH_CostElements_Anytime!$D61),0),
MATCH(CH_CostElements_Anytime!$C61,#REF!,0)),"-")</f>
        <v>-</v>
      </c>
      <c r="I61" s="92" t="str" cm="1">
        <f t="array" ref="I61">IFERROR(INDEX(#REF!,
MATCH(1,(#REF!=CH_CostElements_Anytime!I$52)*(#REF!=$D$50)*(#REF!=CH_CostElements_Anytime!$D61),0),
MATCH(CH_CostElements_Anytime!$C61,#REF!,0)),"-")</f>
        <v>-</v>
      </c>
      <c r="J61" s="92" t="str" cm="1">
        <f t="array" ref="J61">IFERROR(INDEX(#REF!,
MATCH(1,(#REF!=CH_CostElements_Anytime!J$52)*(#REF!=$D$50)*(#REF!=CH_CostElements_Anytime!$D61),0),
MATCH(CH_CostElements_Anytime!$C61,#REF!,0)),"-")</f>
        <v>-</v>
      </c>
      <c r="K61" s="160" t="str" cm="1">
        <f t="array" ref="K61">IFERROR(INDEX(#REF!,
MATCH(1,(#REF!=CH_CostElements_Anytime!K$52)*(#REF!=$D$50)*(#REF!=CH_CostElements_Anytime!$D61),0),
MATCH(CH_CostElements_Anytime!$C61,#REF!,0)),"-")</f>
        <v>-</v>
      </c>
      <c r="L61" s="92" t="str" cm="1">
        <f t="array" ref="L61">IFERROR(INDEX(#REF!,
MATCH(1,(#REF!=CH_CostElements_Anytime!L$52)*(#REF!=$D$50)*(#REF!=CH_CostElements_Anytime!$D61),0),
MATCH(CH_CostElements_Anytime!$C61,#REF!,0)),"-")</f>
        <v>-</v>
      </c>
      <c r="M61" s="92" t="str" cm="1">
        <f t="array" ref="M61">IFERROR(INDEX(#REF!,
MATCH(1,(#REF!=CH_CostElements_Anytime!M$52)*(#REF!=$D$50)*(#REF!=CH_CostElements_Anytime!$D61),0),
MATCH(CH_CostElements_Anytime!$C61,#REF!,0)),"-")</f>
        <v>-</v>
      </c>
      <c r="N61" s="92" t="str" cm="1">
        <f t="array" ref="N61">IFERROR(INDEX(#REF!,
MATCH(1,(#REF!=CH_CostElements_Anytime!N$52)*(#REF!=$D$50)*(#REF!=CH_CostElements_Anytime!$D61),0),
MATCH(CH_CostElements_Anytime!$C61,#REF!,0)),"-")</f>
        <v>-</v>
      </c>
      <c r="O61" s="92" t="str" cm="1">
        <f t="array" ref="O61">IFERROR(INDEX(#REF!,
MATCH(1,(#REF!=CH_CostElements_Anytime!O$52)*(#REF!=$D$50)*(#REF!=CH_CostElements_Anytime!$D61),0),
MATCH(CH_CostElements_Anytime!$C61,#REF!,0)),"-")</f>
        <v>-</v>
      </c>
      <c r="Q61" s="166" t="e">
        <f>IF(ROUND(E61,8)=ROUND(SUM(F61:O61),8),0,1)</f>
        <v>#VALUE!</v>
      </c>
    </row>
    <row r="62" spans="3:17">
      <c r="C62" t="s">
        <v>59</v>
      </c>
      <c r="D62" t="s">
        <v>478</v>
      </c>
      <c r="E62" s="161" t="str" cm="1">
        <f t="array" ref="E62">IFERROR(INDEX(#REF!,
MATCH(1,(#REF!=CH_CostElements_Anytime!E$52)*(#REF!=$D$50)*(#REF!=CH_CostElements_Anytime!$D62),0),
MATCH(CH_CostElements_Anytime!$C62,#REF!,0)),"-")</f>
        <v>-</v>
      </c>
      <c r="F62" s="92" t="str" cm="1">
        <f t="array" ref="F62">IFERROR(INDEX(#REF!,
MATCH(1,(#REF!=CH_CostElements_Anytime!F$52)*(#REF!=$D$50)*(#REF!=CH_CostElements_Anytime!$D62),0),
MATCH(CH_CostElements_Anytime!$C62,#REF!,0)),"-")</f>
        <v>-</v>
      </c>
      <c r="G62" s="160" t="str" cm="1">
        <f t="array" ref="G62">IFERROR(INDEX(#REF!,
MATCH(1,(#REF!=CH_CostElements_Anytime!G$52)*(#REF!=$D$50)*(#REF!=CH_CostElements_Anytime!$D62),0),
MATCH(CH_CostElements_Anytime!$C62,#REF!,0)),"-")</f>
        <v>-</v>
      </c>
      <c r="H62" s="160" t="str" cm="1">
        <f t="array" ref="H62">IFERROR(INDEX(#REF!,
MATCH(1,(#REF!=CH_CostElements_Anytime!H$52)*(#REF!=$D$50)*(#REF!=CH_CostElements_Anytime!$D62),0),
MATCH(CH_CostElements_Anytime!$C62,#REF!,0)),"-")</f>
        <v>-</v>
      </c>
      <c r="I62" s="92" t="str" cm="1">
        <f t="array" ref="I62">IFERROR(INDEX(#REF!,
MATCH(1,(#REF!=CH_CostElements_Anytime!I$52)*(#REF!=$D$50)*(#REF!=CH_CostElements_Anytime!$D62),0),
MATCH(CH_CostElements_Anytime!$C62,#REF!,0)),"-")</f>
        <v>-</v>
      </c>
      <c r="J62" s="92" t="str" cm="1">
        <f t="array" ref="J62">IFERROR(INDEX(#REF!,
MATCH(1,(#REF!=CH_CostElements_Anytime!J$52)*(#REF!=$D$50)*(#REF!=CH_CostElements_Anytime!$D62),0),
MATCH(CH_CostElements_Anytime!$C62,#REF!,0)),"-")</f>
        <v>-</v>
      </c>
      <c r="K62" s="160" t="str" cm="1">
        <f t="array" ref="K62">IFERROR(INDEX(#REF!,
MATCH(1,(#REF!=CH_CostElements_Anytime!K$52)*(#REF!=$D$50)*(#REF!=CH_CostElements_Anytime!$D62),0),
MATCH(CH_CostElements_Anytime!$C62,#REF!,0)),"-")</f>
        <v>-</v>
      </c>
      <c r="L62" s="92" t="str" cm="1">
        <f t="array" ref="L62">IFERROR(INDEX(#REF!,
MATCH(1,(#REF!=CH_CostElements_Anytime!L$52)*(#REF!=$D$50)*(#REF!=CH_CostElements_Anytime!$D62),0),
MATCH(CH_CostElements_Anytime!$C62,#REF!,0)),"-")</f>
        <v>-</v>
      </c>
      <c r="M62" s="92" t="str" cm="1">
        <f t="array" ref="M62">IFERROR(INDEX(#REF!,
MATCH(1,(#REF!=CH_CostElements_Anytime!M$52)*(#REF!=$D$50)*(#REF!=CH_CostElements_Anytime!$D62),0),
MATCH(CH_CostElements_Anytime!$C62,#REF!,0)),"-")</f>
        <v>-</v>
      </c>
      <c r="N62" s="92" t="str" cm="1">
        <f t="array" ref="N62">IFERROR(INDEX(#REF!,
MATCH(1,(#REF!=CH_CostElements_Anytime!N$52)*(#REF!=$D$50)*(#REF!=CH_CostElements_Anytime!$D62),0),
MATCH(CH_CostElements_Anytime!$C62,#REF!,0)),"-")</f>
        <v>-</v>
      </c>
      <c r="O62" s="92" t="str" cm="1">
        <f t="array" ref="O62">IFERROR(INDEX(#REF!,
MATCH(1,(#REF!=CH_CostElements_Anytime!O$52)*(#REF!=$D$50)*(#REF!=CH_CostElements_Anytime!$D62),0),
MATCH(CH_CostElements_Anytime!$C62,#REF!,0)),"-")</f>
        <v>-</v>
      </c>
      <c r="Q62" s="166" t="e">
        <f t="shared" ref="Q62:Q66" si="1">IF(ROUND(E62,8)=ROUND(SUM(F62:O62),8),0,1)</f>
        <v>#VALUE!</v>
      </c>
    </row>
    <row r="63" spans="3:17">
      <c r="C63" t="s">
        <v>60</v>
      </c>
      <c r="D63" t="s">
        <v>478</v>
      </c>
      <c r="E63" s="161" t="str" cm="1">
        <f t="array" ref="E63">IFERROR(INDEX(#REF!,
MATCH(1,(#REF!=CH_CostElements_Anytime!E$52)*(#REF!=$D$50)*(#REF!=CH_CostElements_Anytime!$D63),0),
MATCH(CH_CostElements_Anytime!$C63,#REF!,0)),"-")</f>
        <v>-</v>
      </c>
      <c r="F63" s="92" t="str" cm="1">
        <f t="array" ref="F63">IFERROR(INDEX(#REF!,
MATCH(1,(#REF!=CH_CostElements_Anytime!F$52)*(#REF!=$D$50)*(#REF!=CH_CostElements_Anytime!$D63),0),
MATCH(CH_CostElements_Anytime!$C63,#REF!,0)),"-")</f>
        <v>-</v>
      </c>
      <c r="G63" s="160" t="str" cm="1">
        <f t="array" ref="G63">IFERROR(INDEX(#REF!,
MATCH(1,(#REF!=CH_CostElements_Anytime!G$52)*(#REF!=$D$50)*(#REF!=CH_CostElements_Anytime!$D63),0),
MATCH(CH_CostElements_Anytime!$C63,#REF!,0)),"-")</f>
        <v>-</v>
      </c>
      <c r="H63" s="160" t="str" cm="1">
        <f t="array" ref="H63">IFERROR(INDEX(#REF!,
MATCH(1,(#REF!=CH_CostElements_Anytime!H$52)*(#REF!=$D$50)*(#REF!=CH_CostElements_Anytime!$D63),0),
MATCH(CH_CostElements_Anytime!$C63,#REF!,0)),"-")</f>
        <v>-</v>
      </c>
      <c r="I63" s="92" t="str" cm="1">
        <f t="array" ref="I63">IFERROR(INDEX(#REF!,
MATCH(1,(#REF!=CH_CostElements_Anytime!I$52)*(#REF!=$D$50)*(#REF!=CH_CostElements_Anytime!$D63),0),
MATCH(CH_CostElements_Anytime!$C63,#REF!,0)),"-")</f>
        <v>-</v>
      </c>
      <c r="J63" s="92" t="str" cm="1">
        <f t="array" ref="J63">IFERROR(INDEX(#REF!,
MATCH(1,(#REF!=CH_CostElements_Anytime!J$52)*(#REF!=$D$50)*(#REF!=CH_CostElements_Anytime!$D63),0),
MATCH(CH_CostElements_Anytime!$C63,#REF!,0)),"-")</f>
        <v>-</v>
      </c>
      <c r="K63" s="160" t="str" cm="1">
        <f t="array" ref="K63">IFERROR(INDEX(#REF!,
MATCH(1,(#REF!=CH_CostElements_Anytime!K$52)*(#REF!=$D$50)*(#REF!=CH_CostElements_Anytime!$D63),0),
MATCH(CH_CostElements_Anytime!$C63,#REF!,0)),"-")</f>
        <v>-</v>
      </c>
      <c r="L63" s="92" t="str" cm="1">
        <f t="array" ref="L63">IFERROR(INDEX(#REF!,
MATCH(1,(#REF!=CH_CostElements_Anytime!L$52)*(#REF!=$D$50)*(#REF!=CH_CostElements_Anytime!$D63),0),
MATCH(CH_CostElements_Anytime!$C63,#REF!,0)),"-")</f>
        <v>-</v>
      </c>
      <c r="M63" s="92" t="str" cm="1">
        <f t="array" ref="M63">IFERROR(INDEX(#REF!,
MATCH(1,(#REF!=CH_CostElements_Anytime!M$52)*(#REF!=$D$50)*(#REF!=CH_CostElements_Anytime!$D63),0),
MATCH(CH_CostElements_Anytime!$C63,#REF!,0)),"-")</f>
        <v>-</v>
      </c>
      <c r="N63" s="92" t="str" cm="1">
        <f t="array" ref="N63">IFERROR(INDEX(#REF!,
MATCH(1,(#REF!=CH_CostElements_Anytime!N$52)*(#REF!=$D$50)*(#REF!=CH_CostElements_Anytime!$D63),0),
MATCH(CH_CostElements_Anytime!$C63,#REF!,0)),"-")</f>
        <v>-</v>
      </c>
      <c r="O63" s="92" t="str" cm="1">
        <f t="array" ref="O63">IFERROR(INDEX(#REF!,
MATCH(1,(#REF!=CH_CostElements_Anytime!O$52)*(#REF!=$D$50)*(#REF!=CH_CostElements_Anytime!$D63),0),
MATCH(CH_CostElements_Anytime!$C63,#REF!,0)),"-")</f>
        <v>-</v>
      </c>
      <c r="Q63" s="166" t="e">
        <f t="shared" si="1"/>
        <v>#VALUE!</v>
      </c>
    </row>
    <row r="64" spans="3:17">
      <c r="C64" t="s">
        <v>61</v>
      </c>
      <c r="D64" t="s">
        <v>478</v>
      </c>
      <c r="E64" s="161" t="str" cm="1">
        <f t="array" ref="E64">IFERROR(INDEX(#REF!,
MATCH(1,(#REF!=CH_CostElements_Anytime!E$52)*(#REF!=$D$50)*(#REF!=CH_CostElements_Anytime!$D64),0),
MATCH(CH_CostElements_Anytime!$C64,#REF!,0)),"-")</f>
        <v>-</v>
      </c>
      <c r="F64" s="92" t="str" cm="1">
        <f t="array" ref="F64">IFERROR(INDEX(#REF!,
MATCH(1,(#REF!=CH_CostElements_Anytime!F$52)*(#REF!=$D$50)*(#REF!=CH_CostElements_Anytime!$D64),0),
MATCH(CH_CostElements_Anytime!$C64,#REF!,0)),"-")</f>
        <v>-</v>
      </c>
      <c r="G64" s="160" t="str" cm="1">
        <f t="array" ref="G64">IFERROR(INDEX(#REF!,
MATCH(1,(#REF!=CH_CostElements_Anytime!G$52)*(#REF!=$D$50)*(#REF!=CH_CostElements_Anytime!$D64),0),
MATCH(CH_CostElements_Anytime!$C64,#REF!,0)),"-")</f>
        <v>-</v>
      </c>
      <c r="H64" s="160" t="str" cm="1">
        <f t="array" ref="H64">IFERROR(INDEX(#REF!,
MATCH(1,(#REF!=CH_CostElements_Anytime!H$52)*(#REF!=$D$50)*(#REF!=CH_CostElements_Anytime!$D64),0),
MATCH(CH_CostElements_Anytime!$C64,#REF!,0)),"-")</f>
        <v>-</v>
      </c>
      <c r="I64" s="92" t="str" cm="1">
        <f t="array" ref="I64">IFERROR(INDEX(#REF!,
MATCH(1,(#REF!=CH_CostElements_Anytime!I$52)*(#REF!=$D$50)*(#REF!=CH_CostElements_Anytime!$D64),0),
MATCH(CH_CostElements_Anytime!$C64,#REF!,0)),"-")</f>
        <v>-</v>
      </c>
      <c r="J64" s="92" t="str" cm="1">
        <f t="array" ref="J64">IFERROR(INDEX(#REF!,
MATCH(1,(#REF!=CH_CostElements_Anytime!J$52)*(#REF!=$D$50)*(#REF!=CH_CostElements_Anytime!$D64),0),
MATCH(CH_CostElements_Anytime!$C64,#REF!,0)),"-")</f>
        <v>-</v>
      </c>
      <c r="K64" s="160" t="str" cm="1">
        <f t="array" ref="K64">IFERROR(INDEX(#REF!,
MATCH(1,(#REF!=CH_CostElements_Anytime!K$52)*(#REF!=$D$50)*(#REF!=CH_CostElements_Anytime!$D64),0),
MATCH(CH_CostElements_Anytime!$C64,#REF!,0)),"-")</f>
        <v>-</v>
      </c>
      <c r="L64" s="92" t="str" cm="1">
        <f t="array" ref="L64">IFERROR(INDEX(#REF!,
MATCH(1,(#REF!=CH_CostElements_Anytime!L$52)*(#REF!=$D$50)*(#REF!=CH_CostElements_Anytime!$D64),0),
MATCH(CH_CostElements_Anytime!$C64,#REF!,0)),"-")</f>
        <v>-</v>
      </c>
      <c r="M64" s="92" t="str" cm="1">
        <f t="array" ref="M64">IFERROR(INDEX(#REF!,
MATCH(1,(#REF!=CH_CostElements_Anytime!M$52)*(#REF!=$D$50)*(#REF!=CH_CostElements_Anytime!$D64),0),
MATCH(CH_CostElements_Anytime!$C64,#REF!,0)),"-")</f>
        <v>-</v>
      </c>
      <c r="N64" s="92" t="str" cm="1">
        <f t="array" ref="N64">IFERROR(INDEX(#REF!,
MATCH(1,(#REF!=CH_CostElements_Anytime!N$52)*(#REF!=$D$50)*(#REF!=CH_CostElements_Anytime!$D64),0),
MATCH(CH_CostElements_Anytime!$C64,#REF!,0)),"-")</f>
        <v>-</v>
      </c>
      <c r="O64" s="92" t="str" cm="1">
        <f t="array" ref="O64">IFERROR(INDEX(#REF!,
MATCH(1,(#REF!=CH_CostElements_Anytime!O$52)*(#REF!=$D$50)*(#REF!=CH_CostElements_Anytime!$D64),0),
MATCH(CH_CostElements_Anytime!$C64,#REF!,0)),"-")</f>
        <v>-</v>
      </c>
      <c r="Q64" s="166" t="e">
        <f t="shared" si="1"/>
        <v>#VALUE!</v>
      </c>
    </row>
    <row r="65" spans="3:17">
      <c r="C65" t="s">
        <v>62</v>
      </c>
      <c r="D65" t="s">
        <v>478</v>
      </c>
      <c r="E65" s="161" t="str" cm="1">
        <f t="array" ref="E65">IFERROR(INDEX(#REF!,
MATCH(1,(#REF!=CH_CostElements_Anytime!E$52)*(#REF!=$D$50)*(#REF!=CH_CostElements_Anytime!$D65),0),
MATCH(CH_CostElements_Anytime!$C65,#REF!,0)),"-")</f>
        <v>-</v>
      </c>
      <c r="F65" s="92" t="str" cm="1">
        <f t="array" ref="F65">IFERROR(INDEX(#REF!,
MATCH(1,(#REF!=CH_CostElements_Anytime!F$52)*(#REF!=$D$50)*(#REF!=CH_CostElements_Anytime!$D65),0),
MATCH(CH_CostElements_Anytime!$C65,#REF!,0)),"-")</f>
        <v>-</v>
      </c>
      <c r="G65" s="160" t="str" cm="1">
        <f t="array" ref="G65">IFERROR(INDEX(#REF!,
MATCH(1,(#REF!=CH_CostElements_Anytime!G$52)*(#REF!=$D$50)*(#REF!=CH_CostElements_Anytime!$D65),0),
MATCH(CH_CostElements_Anytime!$C65,#REF!,0)),"-")</f>
        <v>-</v>
      </c>
      <c r="H65" s="160" t="str" cm="1">
        <f t="array" ref="H65">IFERROR(INDEX(#REF!,
MATCH(1,(#REF!=CH_CostElements_Anytime!H$52)*(#REF!=$D$50)*(#REF!=CH_CostElements_Anytime!$D65),0),
MATCH(CH_CostElements_Anytime!$C65,#REF!,0)),"-")</f>
        <v>-</v>
      </c>
      <c r="I65" s="92" t="str" cm="1">
        <f t="array" ref="I65">IFERROR(INDEX(#REF!,
MATCH(1,(#REF!=CH_CostElements_Anytime!I$52)*(#REF!=$D$50)*(#REF!=CH_CostElements_Anytime!$D65),0),
MATCH(CH_CostElements_Anytime!$C65,#REF!,0)),"-")</f>
        <v>-</v>
      </c>
      <c r="J65" s="92" t="str" cm="1">
        <f t="array" ref="J65">IFERROR(INDEX(#REF!,
MATCH(1,(#REF!=CH_CostElements_Anytime!J$52)*(#REF!=$D$50)*(#REF!=CH_CostElements_Anytime!$D65),0),
MATCH(CH_CostElements_Anytime!$C65,#REF!,0)),"-")</f>
        <v>-</v>
      </c>
      <c r="K65" s="160" t="str" cm="1">
        <f t="array" ref="K65">IFERROR(INDEX(#REF!,
MATCH(1,(#REF!=CH_CostElements_Anytime!K$52)*(#REF!=$D$50)*(#REF!=CH_CostElements_Anytime!$D65),0),
MATCH(CH_CostElements_Anytime!$C65,#REF!,0)),"-")</f>
        <v>-</v>
      </c>
      <c r="L65" s="92" t="str" cm="1">
        <f t="array" ref="L65">IFERROR(INDEX(#REF!,
MATCH(1,(#REF!=CH_CostElements_Anytime!L$52)*(#REF!=$D$50)*(#REF!=CH_CostElements_Anytime!$D65),0),
MATCH(CH_CostElements_Anytime!$C65,#REF!,0)),"-")</f>
        <v>-</v>
      </c>
      <c r="M65" s="92" t="str" cm="1">
        <f t="array" ref="M65">IFERROR(INDEX(#REF!,
MATCH(1,(#REF!=CH_CostElements_Anytime!M$52)*(#REF!=$D$50)*(#REF!=CH_CostElements_Anytime!$D65),0),
MATCH(CH_CostElements_Anytime!$C65,#REF!,0)),"-")</f>
        <v>-</v>
      </c>
      <c r="N65" s="92" t="str" cm="1">
        <f t="array" ref="N65">IFERROR(INDEX(#REF!,
MATCH(1,(#REF!=CH_CostElements_Anytime!N$52)*(#REF!=$D$50)*(#REF!=CH_CostElements_Anytime!$D65),0),
MATCH(CH_CostElements_Anytime!$C65,#REF!,0)),"-")</f>
        <v>-</v>
      </c>
      <c r="O65" s="92" t="str" cm="1">
        <f t="array" ref="O65">IFERROR(INDEX(#REF!,
MATCH(1,(#REF!=CH_CostElements_Anytime!O$52)*(#REF!=$D$50)*(#REF!=CH_CostElements_Anytime!$D65),0),
MATCH(CH_CostElements_Anytime!$C65,#REF!,0)),"-")</f>
        <v>-</v>
      </c>
      <c r="Q65" s="166" t="e">
        <f t="shared" si="1"/>
        <v>#VALUE!</v>
      </c>
    </row>
    <row r="66" spans="3:17">
      <c r="C66" t="s">
        <v>465</v>
      </c>
      <c r="D66" t="s">
        <v>478</v>
      </c>
      <c r="E66" s="161" t="str" cm="1">
        <f t="array" ref="E66">IFERROR(INDEX(#REF!,
MATCH(1,(#REF!=CH_CostElements_Anytime!E$52)*(#REF!=$D$50)*(#REF!=CH_CostElements_Anytime!$D66),0),
MATCH(CH_CostElements_Anytime!$C66,#REF!,0)),"-")</f>
        <v>-</v>
      </c>
      <c r="F66" s="92" t="str" cm="1">
        <f t="array" ref="F66">IFERROR(INDEX(#REF!,
MATCH(1,(#REF!=CH_CostElements_Anytime!F$52)*(#REF!=$D$50)*(#REF!=CH_CostElements_Anytime!$D66),0),
MATCH(CH_CostElements_Anytime!$C66,#REF!,0)),"-")</f>
        <v>-</v>
      </c>
      <c r="G66" s="160" t="str" cm="1">
        <f t="array" ref="G66">IFERROR(INDEX(#REF!,
MATCH(1,(#REF!=CH_CostElements_Anytime!G$52)*(#REF!=$D$50)*(#REF!=CH_CostElements_Anytime!$D66),0),
MATCH(CH_CostElements_Anytime!$C66,#REF!,0)),"-")</f>
        <v>-</v>
      </c>
      <c r="H66" s="160" t="str" cm="1">
        <f t="array" ref="H66">IFERROR(INDEX(#REF!,
MATCH(1,(#REF!=CH_CostElements_Anytime!H$52)*(#REF!=$D$50)*(#REF!=CH_CostElements_Anytime!$D66),0),
MATCH(CH_CostElements_Anytime!$C66,#REF!,0)),"-")</f>
        <v>-</v>
      </c>
      <c r="I66" s="92" t="str" cm="1">
        <f t="array" ref="I66">IFERROR(INDEX(#REF!,
MATCH(1,(#REF!=CH_CostElements_Anytime!I$52)*(#REF!=$D$50)*(#REF!=CH_CostElements_Anytime!$D66),0),
MATCH(CH_CostElements_Anytime!$C66,#REF!,0)),"-")</f>
        <v>-</v>
      </c>
      <c r="J66" s="92" t="str" cm="1">
        <f t="array" ref="J66">IFERROR(INDEX(#REF!,
MATCH(1,(#REF!=CH_CostElements_Anytime!J$52)*(#REF!=$D$50)*(#REF!=CH_CostElements_Anytime!$D66),0),
MATCH(CH_CostElements_Anytime!$C66,#REF!,0)),"-")</f>
        <v>-</v>
      </c>
      <c r="K66" s="160" t="str" cm="1">
        <f t="array" ref="K66">IFERROR(INDEX(#REF!,
MATCH(1,(#REF!=CH_CostElements_Anytime!K$52)*(#REF!=$D$50)*(#REF!=CH_CostElements_Anytime!$D66),0),
MATCH(CH_CostElements_Anytime!$C66,#REF!,0)),"-")</f>
        <v>-</v>
      </c>
      <c r="L66" s="92" t="str" cm="1">
        <f t="array" ref="L66">IFERROR(INDEX(#REF!,
MATCH(1,(#REF!=CH_CostElements_Anytime!L$52)*(#REF!=$D$50)*(#REF!=CH_CostElements_Anytime!$D66),0),
MATCH(CH_CostElements_Anytime!$C66,#REF!,0)),"-")</f>
        <v>-</v>
      </c>
      <c r="M66" s="92" t="str" cm="1">
        <f t="array" ref="M66">IFERROR(INDEX(#REF!,
MATCH(1,(#REF!=CH_CostElements_Anytime!M$52)*(#REF!=$D$50)*(#REF!=CH_CostElements_Anytime!$D66),0),
MATCH(CH_CostElements_Anytime!$C66,#REF!,0)),"-")</f>
        <v>-</v>
      </c>
      <c r="N66" s="92" t="str" cm="1">
        <f t="array" ref="N66">IFERROR(INDEX(#REF!,
MATCH(1,(#REF!=CH_CostElements_Anytime!N$52)*(#REF!=$D$50)*(#REF!=CH_CostElements_Anytime!$D66),0),
MATCH(CH_CostElements_Anytime!$C66,#REF!,0)),"-")</f>
        <v>-</v>
      </c>
      <c r="O66" s="92" t="str" cm="1">
        <f t="array" ref="O66">IFERROR(INDEX(#REF!,
MATCH(1,(#REF!=CH_CostElements_Anytime!O$52)*(#REF!=$D$50)*(#REF!=CH_CostElements_Anytime!$D66),0),
MATCH(CH_CostElements_Anytime!$C66,#REF!,0)),"-")</f>
        <v>-</v>
      </c>
      <c r="Q66" s="166" t="e">
        <f t="shared" si="1"/>
        <v>#VALUE!</v>
      </c>
    </row>
    <row r="67" spans="3:17">
      <c r="Q67" s="109"/>
    </row>
    <row r="68" spans="3:17">
      <c r="C68" t="s">
        <v>58</v>
      </c>
      <c r="D68" t="s">
        <v>427</v>
      </c>
      <c r="E68" s="161" t="str" cm="1">
        <f t="array" ref="E68">IFERROR(INDEX(#REF!,
MATCH(1,(#REF!=CH_CostElements_Anytime!E$52)*(#REF!=$D$50)*(#REF!=CH_CostElements_Anytime!$D68),0),
MATCH(CH_CostElements_Anytime!$C68,#REF!,0)),"-")</f>
        <v>-</v>
      </c>
      <c r="F68" s="92" t="str" cm="1">
        <f t="array" ref="F68">IFERROR(INDEX(#REF!,
MATCH(1,(#REF!=CH_CostElements_Anytime!F$52)*(#REF!=$D$50)*(#REF!=CH_CostElements_Anytime!$D68),0),
MATCH(CH_CostElements_Anytime!$C68,#REF!,0)),"-")</f>
        <v>-</v>
      </c>
      <c r="G68" s="160" t="str" cm="1">
        <f t="array" ref="G68">IFERROR(INDEX(#REF!,
MATCH(1,(#REF!=CH_CostElements_Anytime!G$52)*(#REF!=$D$50)*(#REF!=CH_CostElements_Anytime!$D68),0),
MATCH(CH_CostElements_Anytime!$C68,#REF!,0)),"-")</f>
        <v>-</v>
      </c>
      <c r="H68" s="160" t="str" cm="1">
        <f t="array" ref="H68">IFERROR(INDEX(#REF!,
MATCH(1,(#REF!=CH_CostElements_Anytime!H$52)*(#REF!=$D$50)*(#REF!=CH_CostElements_Anytime!$D68),0),
MATCH(CH_CostElements_Anytime!$C68,#REF!,0)),"-")</f>
        <v>-</v>
      </c>
      <c r="I68" s="92" t="str" cm="1">
        <f t="array" ref="I68">IFERROR(INDEX(#REF!,
MATCH(1,(#REF!=CH_CostElements_Anytime!I$52)*(#REF!=$D$50)*(#REF!=CH_CostElements_Anytime!$D68),0),
MATCH(CH_CostElements_Anytime!$C68,#REF!,0)),"-")</f>
        <v>-</v>
      </c>
      <c r="J68" s="92" t="str" cm="1">
        <f t="array" ref="J68">IFERROR(INDEX(#REF!,
MATCH(1,(#REF!=CH_CostElements_Anytime!J$52)*(#REF!=$D$50)*(#REF!=CH_CostElements_Anytime!$D68),0),
MATCH(CH_CostElements_Anytime!$C68,#REF!,0)),"-")</f>
        <v>-</v>
      </c>
      <c r="K68" s="160" t="str" cm="1">
        <f t="array" ref="K68">IFERROR(INDEX(#REF!,
MATCH(1,(#REF!=CH_CostElements_Anytime!K$52)*(#REF!=$D$50)*(#REF!=CH_CostElements_Anytime!$D68),0),
MATCH(CH_CostElements_Anytime!$C68,#REF!,0)),"-")</f>
        <v>-</v>
      </c>
      <c r="L68" s="92" t="str" cm="1">
        <f t="array" ref="L68">IFERROR(INDEX(#REF!,
MATCH(1,(#REF!=CH_CostElements_Anytime!L$52)*(#REF!=$D$50)*(#REF!=CH_CostElements_Anytime!$D68),0),
MATCH(CH_CostElements_Anytime!$C68,#REF!,0)),"-")</f>
        <v>-</v>
      </c>
      <c r="M68" s="92" t="str" cm="1">
        <f t="array" ref="M68">IFERROR(INDEX(#REF!,
MATCH(1,(#REF!=CH_CostElements_Anytime!M$52)*(#REF!=$D$50)*(#REF!=CH_CostElements_Anytime!$D68),0),
MATCH(CH_CostElements_Anytime!$C68,#REF!,0)),"-")</f>
        <v>-</v>
      </c>
      <c r="N68" s="92" t="str" cm="1">
        <f t="array" ref="N68">IFERROR(INDEX(#REF!,
MATCH(1,(#REF!=CH_CostElements_Anytime!N$52)*(#REF!=$D$50)*(#REF!=CH_CostElements_Anytime!$D68),0),
MATCH(CH_CostElements_Anytime!$C68,#REF!,0)),"-")</f>
        <v>-</v>
      </c>
      <c r="O68" s="92" t="str" cm="1">
        <f t="array" ref="O68">IFERROR(INDEX(#REF!,
MATCH(1,(#REF!=CH_CostElements_Anytime!O$52)*(#REF!=$D$50)*(#REF!=CH_CostElements_Anytime!$D68),0),
MATCH(CH_CostElements_Anytime!$C68,#REF!,0)),"-")</f>
        <v>-</v>
      </c>
      <c r="Q68" s="166" t="e">
        <f>IF(ROUND(E68,8)=ROUND(SUM(F68:O68),8),0,1)</f>
        <v>#VALUE!</v>
      </c>
    </row>
    <row r="69" spans="3:17">
      <c r="C69" t="s">
        <v>59</v>
      </c>
      <c r="D69" t="s">
        <v>427</v>
      </c>
      <c r="E69" s="161" t="str" cm="1">
        <f t="array" ref="E69">IFERROR(INDEX(#REF!,
MATCH(1,(#REF!=CH_CostElements_Anytime!E$52)*(#REF!=$D$50)*(#REF!=CH_CostElements_Anytime!$D69),0),
MATCH(CH_CostElements_Anytime!$C69,#REF!,0)),"-")</f>
        <v>-</v>
      </c>
      <c r="F69" s="92" t="str" cm="1">
        <f t="array" ref="F69">IFERROR(INDEX(#REF!,
MATCH(1,(#REF!=CH_CostElements_Anytime!F$52)*(#REF!=$D$50)*(#REF!=CH_CostElements_Anytime!$D69),0),
MATCH(CH_CostElements_Anytime!$C69,#REF!,0)),"-")</f>
        <v>-</v>
      </c>
      <c r="G69" s="160" t="str" cm="1">
        <f t="array" ref="G69">IFERROR(INDEX(#REF!,
MATCH(1,(#REF!=CH_CostElements_Anytime!G$52)*(#REF!=$D$50)*(#REF!=CH_CostElements_Anytime!$D69),0),
MATCH(CH_CostElements_Anytime!$C69,#REF!,0)),"-")</f>
        <v>-</v>
      </c>
      <c r="H69" s="160" t="str" cm="1">
        <f t="array" ref="H69">IFERROR(INDEX(#REF!,
MATCH(1,(#REF!=CH_CostElements_Anytime!H$52)*(#REF!=$D$50)*(#REF!=CH_CostElements_Anytime!$D69),0),
MATCH(CH_CostElements_Anytime!$C69,#REF!,0)),"-")</f>
        <v>-</v>
      </c>
      <c r="I69" s="92" t="str" cm="1">
        <f t="array" ref="I69">IFERROR(INDEX(#REF!,
MATCH(1,(#REF!=CH_CostElements_Anytime!I$52)*(#REF!=$D$50)*(#REF!=CH_CostElements_Anytime!$D69),0),
MATCH(CH_CostElements_Anytime!$C69,#REF!,0)),"-")</f>
        <v>-</v>
      </c>
      <c r="J69" s="92" t="str" cm="1">
        <f t="array" ref="J69">IFERROR(INDEX(#REF!,
MATCH(1,(#REF!=CH_CostElements_Anytime!J$52)*(#REF!=$D$50)*(#REF!=CH_CostElements_Anytime!$D69),0),
MATCH(CH_CostElements_Anytime!$C69,#REF!,0)),"-")</f>
        <v>-</v>
      </c>
      <c r="K69" s="160" t="str" cm="1">
        <f t="array" ref="K69">IFERROR(INDEX(#REF!,
MATCH(1,(#REF!=CH_CostElements_Anytime!K$52)*(#REF!=$D$50)*(#REF!=CH_CostElements_Anytime!$D69),0),
MATCH(CH_CostElements_Anytime!$C69,#REF!,0)),"-")</f>
        <v>-</v>
      </c>
      <c r="L69" s="92" t="str" cm="1">
        <f t="array" ref="L69">IFERROR(INDEX(#REF!,
MATCH(1,(#REF!=CH_CostElements_Anytime!L$52)*(#REF!=$D$50)*(#REF!=CH_CostElements_Anytime!$D69),0),
MATCH(CH_CostElements_Anytime!$C69,#REF!,0)),"-")</f>
        <v>-</v>
      </c>
      <c r="M69" s="92" t="str" cm="1">
        <f t="array" ref="M69">IFERROR(INDEX(#REF!,
MATCH(1,(#REF!=CH_CostElements_Anytime!M$52)*(#REF!=$D$50)*(#REF!=CH_CostElements_Anytime!$D69),0),
MATCH(CH_CostElements_Anytime!$C69,#REF!,0)),"-")</f>
        <v>-</v>
      </c>
      <c r="N69" s="92" t="str" cm="1">
        <f t="array" ref="N69">IFERROR(INDEX(#REF!,
MATCH(1,(#REF!=CH_CostElements_Anytime!N$52)*(#REF!=$D$50)*(#REF!=CH_CostElements_Anytime!$D69),0),
MATCH(CH_CostElements_Anytime!$C69,#REF!,0)),"-")</f>
        <v>-</v>
      </c>
      <c r="O69" s="92" t="str" cm="1">
        <f t="array" ref="O69">IFERROR(INDEX(#REF!,
MATCH(1,(#REF!=CH_CostElements_Anytime!O$52)*(#REF!=$D$50)*(#REF!=CH_CostElements_Anytime!$D69),0),
MATCH(CH_CostElements_Anytime!$C69,#REF!,0)),"-")</f>
        <v>-</v>
      </c>
      <c r="Q69" s="166" t="e">
        <f t="shared" ref="Q69:Q73" si="2">IF(ROUND(E69,8)=ROUND(SUM(F69:O69),8),0,1)</f>
        <v>#VALUE!</v>
      </c>
    </row>
    <row r="70" spans="3:17">
      <c r="C70" t="s">
        <v>60</v>
      </c>
      <c r="D70" t="s">
        <v>427</v>
      </c>
      <c r="E70" s="161" t="str" cm="1">
        <f t="array" ref="E70">IFERROR(INDEX(#REF!,
MATCH(1,(#REF!=CH_CostElements_Anytime!E$52)*(#REF!=$D$50)*(#REF!=CH_CostElements_Anytime!$D70),0),
MATCH(CH_CostElements_Anytime!$C70,#REF!,0)),"-")</f>
        <v>-</v>
      </c>
      <c r="F70" s="92" t="str" cm="1">
        <f t="array" ref="F70">IFERROR(INDEX(#REF!,
MATCH(1,(#REF!=CH_CostElements_Anytime!F$52)*(#REF!=$D$50)*(#REF!=CH_CostElements_Anytime!$D70),0),
MATCH(CH_CostElements_Anytime!$C70,#REF!,0)),"-")</f>
        <v>-</v>
      </c>
      <c r="G70" s="160" t="str" cm="1">
        <f t="array" ref="G70">IFERROR(INDEX(#REF!,
MATCH(1,(#REF!=CH_CostElements_Anytime!G$52)*(#REF!=$D$50)*(#REF!=CH_CostElements_Anytime!$D70),0),
MATCH(CH_CostElements_Anytime!$C70,#REF!,0)),"-")</f>
        <v>-</v>
      </c>
      <c r="H70" s="160" t="str" cm="1">
        <f t="array" ref="H70">IFERROR(INDEX(#REF!,
MATCH(1,(#REF!=CH_CostElements_Anytime!H$52)*(#REF!=$D$50)*(#REF!=CH_CostElements_Anytime!$D70),0),
MATCH(CH_CostElements_Anytime!$C70,#REF!,0)),"-")</f>
        <v>-</v>
      </c>
      <c r="I70" s="92" t="str" cm="1">
        <f t="array" ref="I70">IFERROR(INDEX(#REF!,
MATCH(1,(#REF!=CH_CostElements_Anytime!I$52)*(#REF!=$D$50)*(#REF!=CH_CostElements_Anytime!$D70),0),
MATCH(CH_CostElements_Anytime!$C70,#REF!,0)),"-")</f>
        <v>-</v>
      </c>
      <c r="J70" s="92" t="str" cm="1">
        <f t="array" ref="J70">IFERROR(INDEX(#REF!,
MATCH(1,(#REF!=CH_CostElements_Anytime!J$52)*(#REF!=$D$50)*(#REF!=CH_CostElements_Anytime!$D70),0),
MATCH(CH_CostElements_Anytime!$C70,#REF!,0)),"-")</f>
        <v>-</v>
      </c>
      <c r="K70" s="160" t="str" cm="1">
        <f t="array" ref="K70">IFERROR(INDEX(#REF!,
MATCH(1,(#REF!=CH_CostElements_Anytime!K$52)*(#REF!=$D$50)*(#REF!=CH_CostElements_Anytime!$D70),0),
MATCH(CH_CostElements_Anytime!$C70,#REF!,0)),"-")</f>
        <v>-</v>
      </c>
      <c r="L70" s="92" t="str" cm="1">
        <f t="array" ref="L70">IFERROR(INDEX(#REF!,
MATCH(1,(#REF!=CH_CostElements_Anytime!L$52)*(#REF!=$D$50)*(#REF!=CH_CostElements_Anytime!$D70),0),
MATCH(CH_CostElements_Anytime!$C70,#REF!,0)),"-")</f>
        <v>-</v>
      </c>
      <c r="M70" s="92" t="str" cm="1">
        <f t="array" ref="M70">IFERROR(INDEX(#REF!,
MATCH(1,(#REF!=CH_CostElements_Anytime!M$52)*(#REF!=$D$50)*(#REF!=CH_CostElements_Anytime!$D70),0),
MATCH(CH_CostElements_Anytime!$C70,#REF!,0)),"-")</f>
        <v>-</v>
      </c>
      <c r="N70" s="92" t="str" cm="1">
        <f t="array" ref="N70">IFERROR(INDEX(#REF!,
MATCH(1,(#REF!=CH_CostElements_Anytime!N$52)*(#REF!=$D$50)*(#REF!=CH_CostElements_Anytime!$D70),0),
MATCH(CH_CostElements_Anytime!$C70,#REF!,0)),"-")</f>
        <v>-</v>
      </c>
      <c r="O70" s="92" t="str" cm="1">
        <f t="array" ref="O70">IFERROR(INDEX(#REF!,
MATCH(1,(#REF!=CH_CostElements_Anytime!O$52)*(#REF!=$D$50)*(#REF!=CH_CostElements_Anytime!$D70),0),
MATCH(CH_CostElements_Anytime!$C70,#REF!,0)),"-")</f>
        <v>-</v>
      </c>
      <c r="Q70" s="166" t="e">
        <f t="shared" si="2"/>
        <v>#VALUE!</v>
      </c>
    </row>
    <row r="71" spans="3:17">
      <c r="C71" t="s">
        <v>61</v>
      </c>
      <c r="D71" t="s">
        <v>427</v>
      </c>
      <c r="E71" s="161" t="str" cm="1">
        <f t="array" ref="E71">IFERROR(INDEX(#REF!,
MATCH(1,(#REF!=CH_CostElements_Anytime!E$52)*(#REF!=$D$50)*(#REF!=CH_CostElements_Anytime!$D71),0),
MATCH(CH_CostElements_Anytime!$C71,#REF!,0)),"-")</f>
        <v>-</v>
      </c>
      <c r="F71" s="92" t="str" cm="1">
        <f t="array" ref="F71">IFERROR(INDEX(#REF!,
MATCH(1,(#REF!=CH_CostElements_Anytime!F$52)*(#REF!=$D$50)*(#REF!=CH_CostElements_Anytime!$D71),0),
MATCH(CH_CostElements_Anytime!$C71,#REF!,0)),"-")</f>
        <v>-</v>
      </c>
      <c r="G71" s="160" t="str" cm="1">
        <f t="array" ref="G71">IFERROR(INDEX(#REF!,
MATCH(1,(#REF!=CH_CostElements_Anytime!G$52)*(#REF!=$D$50)*(#REF!=CH_CostElements_Anytime!$D71),0),
MATCH(CH_CostElements_Anytime!$C71,#REF!,0)),"-")</f>
        <v>-</v>
      </c>
      <c r="H71" s="160" t="str" cm="1">
        <f t="array" ref="H71">IFERROR(INDEX(#REF!,
MATCH(1,(#REF!=CH_CostElements_Anytime!H$52)*(#REF!=$D$50)*(#REF!=CH_CostElements_Anytime!$D71),0),
MATCH(CH_CostElements_Anytime!$C71,#REF!,0)),"-")</f>
        <v>-</v>
      </c>
      <c r="I71" s="92" t="str" cm="1">
        <f t="array" ref="I71">IFERROR(INDEX(#REF!,
MATCH(1,(#REF!=CH_CostElements_Anytime!I$52)*(#REF!=$D$50)*(#REF!=CH_CostElements_Anytime!$D71),0),
MATCH(CH_CostElements_Anytime!$C71,#REF!,0)),"-")</f>
        <v>-</v>
      </c>
      <c r="J71" s="92" t="str" cm="1">
        <f t="array" ref="J71">IFERROR(INDEX(#REF!,
MATCH(1,(#REF!=CH_CostElements_Anytime!J$52)*(#REF!=$D$50)*(#REF!=CH_CostElements_Anytime!$D71),0),
MATCH(CH_CostElements_Anytime!$C71,#REF!,0)),"-")</f>
        <v>-</v>
      </c>
      <c r="K71" s="160" t="str" cm="1">
        <f t="array" ref="K71">IFERROR(INDEX(#REF!,
MATCH(1,(#REF!=CH_CostElements_Anytime!K$52)*(#REF!=$D$50)*(#REF!=CH_CostElements_Anytime!$D71),0),
MATCH(CH_CostElements_Anytime!$C71,#REF!,0)),"-")</f>
        <v>-</v>
      </c>
      <c r="L71" s="92" t="str" cm="1">
        <f t="array" ref="L71">IFERROR(INDEX(#REF!,
MATCH(1,(#REF!=CH_CostElements_Anytime!L$52)*(#REF!=$D$50)*(#REF!=CH_CostElements_Anytime!$D71),0),
MATCH(CH_CostElements_Anytime!$C71,#REF!,0)),"-")</f>
        <v>-</v>
      </c>
      <c r="M71" s="92" t="str" cm="1">
        <f t="array" ref="M71">IFERROR(INDEX(#REF!,
MATCH(1,(#REF!=CH_CostElements_Anytime!M$52)*(#REF!=$D$50)*(#REF!=CH_CostElements_Anytime!$D71),0),
MATCH(CH_CostElements_Anytime!$C71,#REF!,0)),"-")</f>
        <v>-</v>
      </c>
      <c r="N71" s="92" t="str" cm="1">
        <f t="array" ref="N71">IFERROR(INDEX(#REF!,
MATCH(1,(#REF!=CH_CostElements_Anytime!N$52)*(#REF!=$D$50)*(#REF!=CH_CostElements_Anytime!$D71),0),
MATCH(CH_CostElements_Anytime!$C71,#REF!,0)),"-")</f>
        <v>-</v>
      </c>
      <c r="O71" s="92" t="str" cm="1">
        <f t="array" ref="O71">IFERROR(INDEX(#REF!,
MATCH(1,(#REF!=CH_CostElements_Anytime!O$52)*(#REF!=$D$50)*(#REF!=CH_CostElements_Anytime!$D71),0),
MATCH(CH_CostElements_Anytime!$C71,#REF!,0)),"-")</f>
        <v>-</v>
      </c>
      <c r="Q71" s="166" t="e">
        <f t="shared" si="2"/>
        <v>#VALUE!</v>
      </c>
    </row>
    <row r="72" spans="3:17">
      <c r="C72" t="s">
        <v>62</v>
      </c>
      <c r="D72" t="s">
        <v>427</v>
      </c>
      <c r="E72" s="161" t="str" cm="1">
        <f t="array" ref="E72">IFERROR(INDEX(#REF!,
MATCH(1,(#REF!=CH_CostElements_Anytime!E$52)*(#REF!=$D$50)*(#REF!=CH_CostElements_Anytime!$D72),0),
MATCH(CH_CostElements_Anytime!$C72,#REF!,0)),"-")</f>
        <v>-</v>
      </c>
      <c r="F72" s="92" t="str" cm="1">
        <f t="array" ref="F72">IFERROR(INDEX(#REF!,
MATCH(1,(#REF!=CH_CostElements_Anytime!F$52)*(#REF!=$D$50)*(#REF!=CH_CostElements_Anytime!$D72),0),
MATCH(CH_CostElements_Anytime!$C72,#REF!,0)),"-")</f>
        <v>-</v>
      </c>
      <c r="G72" s="160" t="str" cm="1">
        <f t="array" ref="G72">IFERROR(INDEX(#REF!,
MATCH(1,(#REF!=CH_CostElements_Anytime!G$52)*(#REF!=$D$50)*(#REF!=CH_CostElements_Anytime!$D72),0),
MATCH(CH_CostElements_Anytime!$C72,#REF!,0)),"-")</f>
        <v>-</v>
      </c>
      <c r="H72" s="160" t="str" cm="1">
        <f t="array" ref="H72">IFERROR(INDEX(#REF!,
MATCH(1,(#REF!=CH_CostElements_Anytime!H$52)*(#REF!=$D$50)*(#REF!=CH_CostElements_Anytime!$D72),0),
MATCH(CH_CostElements_Anytime!$C72,#REF!,0)),"-")</f>
        <v>-</v>
      </c>
      <c r="I72" s="92" t="str" cm="1">
        <f t="array" ref="I72">IFERROR(INDEX(#REF!,
MATCH(1,(#REF!=CH_CostElements_Anytime!I$52)*(#REF!=$D$50)*(#REF!=CH_CostElements_Anytime!$D72),0),
MATCH(CH_CostElements_Anytime!$C72,#REF!,0)),"-")</f>
        <v>-</v>
      </c>
      <c r="J72" s="92" t="str" cm="1">
        <f t="array" ref="J72">IFERROR(INDEX(#REF!,
MATCH(1,(#REF!=CH_CostElements_Anytime!J$52)*(#REF!=$D$50)*(#REF!=CH_CostElements_Anytime!$D72),0),
MATCH(CH_CostElements_Anytime!$C72,#REF!,0)),"-")</f>
        <v>-</v>
      </c>
      <c r="K72" s="160" t="str" cm="1">
        <f t="array" ref="K72">IFERROR(INDEX(#REF!,
MATCH(1,(#REF!=CH_CostElements_Anytime!K$52)*(#REF!=$D$50)*(#REF!=CH_CostElements_Anytime!$D72),0),
MATCH(CH_CostElements_Anytime!$C72,#REF!,0)),"-")</f>
        <v>-</v>
      </c>
      <c r="L72" s="92" t="str" cm="1">
        <f t="array" ref="L72">IFERROR(INDEX(#REF!,
MATCH(1,(#REF!=CH_CostElements_Anytime!L$52)*(#REF!=$D$50)*(#REF!=CH_CostElements_Anytime!$D72),0),
MATCH(CH_CostElements_Anytime!$C72,#REF!,0)),"-")</f>
        <v>-</v>
      </c>
      <c r="M72" s="92" t="str" cm="1">
        <f t="array" ref="M72">IFERROR(INDEX(#REF!,
MATCH(1,(#REF!=CH_CostElements_Anytime!M$52)*(#REF!=$D$50)*(#REF!=CH_CostElements_Anytime!$D72),0),
MATCH(CH_CostElements_Anytime!$C72,#REF!,0)),"-")</f>
        <v>-</v>
      </c>
      <c r="N72" s="92" t="str" cm="1">
        <f t="array" ref="N72">IFERROR(INDEX(#REF!,
MATCH(1,(#REF!=CH_CostElements_Anytime!N$52)*(#REF!=$D$50)*(#REF!=CH_CostElements_Anytime!$D72),0),
MATCH(CH_CostElements_Anytime!$C72,#REF!,0)),"-")</f>
        <v>-</v>
      </c>
      <c r="O72" s="92" t="str" cm="1">
        <f t="array" ref="O72">IFERROR(INDEX(#REF!,
MATCH(1,(#REF!=CH_CostElements_Anytime!O$52)*(#REF!=$D$50)*(#REF!=CH_CostElements_Anytime!$D72),0),
MATCH(CH_CostElements_Anytime!$C72,#REF!,0)),"-")</f>
        <v>-</v>
      </c>
      <c r="Q72" s="166" t="e">
        <f t="shared" si="2"/>
        <v>#VALUE!</v>
      </c>
    </row>
    <row r="73" spans="3:17">
      <c r="C73" t="s">
        <v>465</v>
      </c>
      <c r="D73" t="s">
        <v>427</v>
      </c>
      <c r="E73" s="161" t="str" cm="1">
        <f t="array" ref="E73">IFERROR(INDEX(#REF!,
MATCH(1,(#REF!=CH_CostElements_Anytime!E$52)*(#REF!=$D$50)*(#REF!=CH_CostElements_Anytime!$D73),0),
MATCH(CH_CostElements_Anytime!$C73,#REF!,0)),"-")</f>
        <v>-</v>
      </c>
      <c r="F73" s="92" t="str" cm="1">
        <f t="array" ref="F73">IFERROR(INDEX(#REF!,
MATCH(1,(#REF!=CH_CostElements_Anytime!F$52)*(#REF!=$D$50)*(#REF!=CH_CostElements_Anytime!$D73),0),
MATCH(CH_CostElements_Anytime!$C73,#REF!,0)),"-")</f>
        <v>-</v>
      </c>
      <c r="G73" s="160" t="str" cm="1">
        <f t="array" ref="G73">IFERROR(INDEX(#REF!,
MATCH(1,(#REF!=CH_CostElements_Anytime!G$52)*(#REF!=$D$50)*(#REF!=CH_CostElements_Anytime!$D73),0),
MATCH(CH_CostElements_Anytime!$C73,#REF!,0)),"-")</f>
        <v>-</v>
      </c>
      <c r="H73" s="160" t="str" cm="1">
        <f t="array" ref="H73">IFERROR(INDEX(#REF!,
MATCH(1,(#REF!=CH_CostElements_Anytime!H$52)*(#REF!=$D$50)*(#REF!=CH_CostElements_Anytime!$D73),0),
MATCH(CH_CostElements_Anytime!$C73,#REF!,0)),"-")</f>
        <v>-</v>
      </c>
      <c r="I73" s="92" t="str" cm="1">
        <f t="array" ref="I73">IFERROR(INDEX(#REF!,
MATCH(1,(#REF!=CH_CostElements_Anytime!I$52)*(#REF!=$D$50)*(#REF!=CH_CostElements_Anytime!$D73),0),
MATCH(CH_CostElements_Anytime!$C73,#REF!,0)),"-")</f>
        <v>-</v>
      </c>
      <c r="J73" s="92" t="str" cm="1">
        <f t="array" ref="J73">IFERROR(INDEX(#REF!,
MATCH(1,(#REF!=CH_CostElements_Anytime!J$52)*(#REF!=$D$50)*(#REF!=CH_CostElements_Anytime!$D73),0),
MATCH(CH_CostElements_Anytime!$C73,#REF!,0)),"-")</f>
        <v>-</v>
      </c>
      <c r="K73" s="160" t="str" cm="1">
        <f t="array" ref="K73">IFERROR(INDEX(#REF!,
MATCH(1,(#REF!=CH_CostElements_Anytime!K$52)*(#REF!=$D$50)*(#REF!=CH_CostElements_Anytime!$D73),0),
MATCH(CH_CostElements_Anytime!$C73,#REF!,0)),"-")</f>
        <v>-</v>
      </c>
      <c r="L73" s="92" t="str" cm="1">
        <f t="array" ref="L73">IFERROR(INDEX(#REF!,
MATCH(1,(#REF!=CH_CostElements_Anytime!L$52)*(#REF!=$D$50)*(#REF!=CH_CostElements_Anytime!$D73),0),
MATCH(CH_CostElements_Anytime!$C73,#REF!,0)),"-")</f>
        <v>-</v>
      </c>
      <c r="M73" s="92" t="str" cm="1">
        <f t="array" ref="M73">IFERROR(INDEX(#REF!,
MATCH(1,(#REF!=CH_CostElements_Anytime!M$52)*(#REF!=$D$50)*(#REF!=CH_CostElements_Anytime!$D73),0),
MATCH(CH_CostElements_Anytime!$C73,#REF!,0)),"-")</f>
        <v>-</v>
      </c>
      <c r="N73" s="92" t="str" cm="1">
        <f t="array" ref="N73">IFERROR(INDEX(#REF!,
MATCH(1,(#REF!=CH_CostElements_Anytime!N$52)*(#REF!=$D$50)*(#REF!=CH_CostElements_Anytime!$D73),0),
MATCH(CH_CostElements_Anytime!$C73,#REF!,0)),"-")</f>
        <v>-</v>
      </c>
      <c r="O73" s="92" t="str" cm="1">
        <f t="array" ref="O73">IFERROR(INDEX(#REF!,
MATCH(1,(#REF!=CH_CostElements_Anytime!O$52)*(#REF!=$D$50)*(#REF!=CH_CostElements_Anytime!$D73),0),
MATCH(CH_CostElements_Anytime!$C73,#REF!,0)),"-")</f>
        <v>-</v>
      </c>
      <c r="Q73" s="166" t="e">
        <f t="shared" si="2"/>
        <v>#VALUE!</v>
      </c>
    </row>
    <row r="74" spans="3:17">
      <c r="E74" s="162"/>
      <c r="G74" s="108"/>
      <c r="H74" s="108"/>
      <c r="K74" s="108"/>
      <c r="Q74" s="109"/>
    </row>
    <row r="75" spans="3:17">
      <c r="C75" t="s">
        <v>58</v>
      </c>
      <c r="D75" t="s">
        <v>479</v>
      </c>
      <c r="E75" s="161" t="str" cm="1">
        <f t="array" ref="E75">IFERROR(INDEX(#REF!,
MATCH(1,(#REF!=CH_CostElements_Anytime!E$52)*(#REF!=$D$50)*(#REF!=CH_CostElements_Anytime!$D75),0),
MATCH(CH_CostElements_Anytime!$C75,#REF!,0)),"-")</f>
        <v>-</v>
      </c>
      <c r="F75" s="92" t="str" cm="1">
        <f t="array" ref="F75">IFERROR(INDEX(#REF!,
MATCH(1,(#REF!=CH_CostElements_Anytime!F$52)*(#REF!=$D$50)*(#REF!=CH_CostElements_Anytime!$D75),0),
MATCH(CH_CostElements_Anytime!$C75,#REF!,0)),"-")</f>
        <v>-</v>
      </c>
      <c r="G75" s="160" t="str" cm="1">
        <f t="array" ref="G75">IFERROR(INDEX(#REF!,
MATCH(1,(#REF!=CH_CostElements_Anytime!G$52)*(#REF!=$D$50)*(#REF!=CH_CostElements_Anytime!$D75),0),
MATCH(CH_CostElements_Anytime!$C75,#REF!,0)),"-")</f>
        <v>-</v>
      </c>
      <c r="H75" s="160" t="str" cm="1">
        <f t="array" ref="H75">IFERROR(INDEX(#REF!,
MATCH(1,(#REF!=CH_CostElements_Anytime!H$52)*(#REF!=$D$50)*(#REF!=CH_CostElements_Anytime!$D75),0),
MATCH(CH_CostElements_Anytime!$C75,#REF!,0)),"-")</f>
        <v>-</v>
      </c>
      <c r="I75" s="92" t="str" cm="1">
        <f t="array" ref="I75">IFERROR(INDEX(#REF!,
MATCH(1,(#REF!=CH_CostElements_Anytime!I$52)*(#REF!=$D$50)*(#REF!=CH_CostElements_Anytime!$D75),0),
MATCH(CH_CostElements_Anytime!$C75,#REF!,0)),"-")</f>
        <v>-</v>
      </c>
      <c r="J75" s="92" t="str" cm="1">
        <f t="array" ref="J75">IFERROR(INDEX(#REF!,
MATCH(1,(#REF!=CH_CostElements_Anytime!J$52)*(#REF!=$D$50)*(#REF!=CH_CostElements_Anytime!$D75),0),
MATCH(CH_CostElements_Anytime!$C75,#REF!,0)),"-")</f>
        <v>-</v>
      </c>
      <c r="K75" s="160" t="str" cm="1">
        <f t="array" ref="K75">IFERROR(INDEX(#REF!,
MATCH(1,(#REF!=CH_CostElements_Anytime!K$52)*(#REF!=$D$50)*(#REF!=CH_CostElements_Anytime!$D75),0),
MATCH(CH_CostElements_Anytime!$C75,#REF!,0)),"-")</f>
        <v>-</v>
      </c>
      <c r="L75" s="92" t="str" cm="1">
        <f t="array" ref="L75">IFERROR(INDEX(#REF!,
MATCH(1,(#REF!=CH_CostElements_Anytime!L$52)*(#REF!=$D$50)*(#REF!=CH_CostElements_Anytime!$D75),0),
MATCH(CH_CostElements_Anytime!$C75,#REF!,0)),"-")</f>
        <v>-</v>
      </c>
      <c r="M75" s="92" t="str" cm="1">
        <f t="array" ref="M75">IFERROR(INDEX(#REF!,
MATCH(1,(#REF!=CH_CostElements_Anytime!M$52)*(#REF!=$D$50)*(#REF!=CH_CostElements_Anytime!$D75),0),
MATCH(CH_CostElements_Anytime!$C75,#REF!,0)),"-")</f>
        <v>-</v>
      </c>
      <c r="N75" s="92" t="str" cm="1">
        <f t="array" ref="N75">IFERROR(INDEX(#REF!,
MATCH(1,(#REF!=CH_CostElements_Anytime!N$52)*(#REF!=$D$50)*(#REF!=CH_CostElements_Anytime!$D75),0),
MATCH(CH_CostElements_Anytime!$C75,#REF!,0)),"-")</f>
        <v>-</v>
      </c>
      <c r="O75" s="92" t="str" cm="1">
        <f t="array" ref="O75">IFERROR(INDEX(#REF!,
MATCH(1,(#REF!=CH_CostElements_Anytime!O$52)*(#REF!=$D$50)*(#REF!=CH_CostElements_Anytime!$D75),0),
MATCH(CH_CostElements_Anytime!$C75,#REF!,0)),"-")</f>
        <v>-</v>
      </c>
      <c r="Q75" s="166" t="e">
        <f t="shared" ref="Q75:Q80" si="3">IF(ROUND(E75,8)=ROUND(SUM(F75:O75),8),0,1)</f>
        <v>#VALUE!</v>
      </c>
    </row>
    <row r="76" spans="3:17">
      <c r="C76" t="s">
        <v>59</v>
      </c>
      <c r="D76" t="s">
        <v>479</v>
      </c>
      <c r="E76" s="161" t="str" cm="1">
        <f t="array" ref="E76">IFERROR(INDEX(#REF!,
MATCH(1,(#REF!=CH_CostElements_Anytime!E$52)*(#REF!=$D$50)*(#REF!=CH_CostElements_Anytime!$D76),0),
MATCH(CH_CostElements_Anytime!$C76,#REF!,0)),"-")</f>
        <v>-</v>
      </c>
      <c r="F76" s="92" t="str" cm="1">
        <f t="array" ref="F76">IFERROR(INDEX(#REF!,
MATCH(1,(#REF!=CH_CostElements_Anytime!F$52)*(#REF!=$D$50)*(#REF!=CH_CostElements_Anytime!$D76),0),
MATCH(CH_CostElements_Anytime!$C76,#REF!,0)),"-")</f>
        <v>-</v>
      </c>
      <c r="G76" s="160" t="str" cm="1">
        <f t="array" ref="G76">IFERROR(INDEX(#REF!,
MATCH(1,(#REF!=CH_CostElements_Anytime!G$52)*(#REF!=$D$50)*(#REF!=CH_CostElements_Anytime!$D76),0),
MATCH(CH_CostElements_Anytime!$C76,#REF!,0)),"-")</f>
        <v>-</v>
      </c>
      <c r="H76" s="160" t="str" cm="1">
        <f t="array" ref="H76">IFERROR(INDEX(#REF!,
MATCH(1,(#REF!=CH_CostElements_Anytime!H$52)*(#REF!=$D$50)*(#REF!=CH_CostElements_Anytime!$D76),0),
MATCH(CH_CostElements_Anytime!$C76,#REF!,0)),"-")</f>
        <v>-</v>
      </c>
      <c r="I76" s="92" t="str" cm="1">
        <f t="array" ref="I76">IFERROR(INDEX(#REF!,
MATCH(1,(#REF!=CH_CostElements_Anytime!I$52)*(#REF!=$D$50)*(#REF!=CH_CostElements_Anytime!$D76),0),
MATCH(CH_CostElements_Anytime!$C76,#REF!,0)),"-")</f>
        <v>-</v>
      </c>
      <c r="J76" s="92" t="str" cm="1">
        <f t="array" ref="J76">IFERROR(INDEX(#REF!,
MATCH(1,(#REF!=CH_CostElements_Anytime!J$52)*(#REF!=$D$50)*(#REF!=CH_CostElements_Anytime!$D76),0),
MATCH(CH_CostElements_Anytime!$C76,#REF!,0)),"-")</f>
        <v>-</v>
      </c>
      <c r="K76" s="160" t="str" cm="1">
        <f t="array" ref="K76">IFERROR(INDEX(#REF!,
MATCH(1,(#REF!=CH_CostElements_Anytime!K$52)*(#REF!=$D$50)*(#REF!=CH_CostElements_Anytime!$D76),0),
MATCH(CH_CostElements_Anytime!$C76,#REF!,0)),"-")</f>
        <v>-</v>
      </c>
      <c r="L76" s="92" t="str" cm="1">
        <f t="array" ref="L76">IFERROR(INDEX(#REF!,
MATCH(1,(#REF!=CH_CostElements_Anytime!L$52)*(#REF!=$D$50)*(#REF!=CH_CostElements_Anytime!$D76),0),
MATCH(CH_CostElements_Anytime!$C76,#REF!,0)),"-")</f>
        <v>-</v>
      </c>
      <c r="M76" s="92" t="str" cm="1">
        <f t="array" ref="M76">IFERROR(INDEX(#REF!,
MATCH(1,(#REF!=CH_CostElements_Anytime!M$52)*(#REF!=$D$50)*(#REF!=CH_CostElements_Anytime!$D76),0),
MATCH(CH_CostElements_Anytime!$C76,#REF!,0)),"-")</f>
        <v>-</v>
      </c>
      <c r="N76" s="92" t="str" cm="1">
        <f t="array" ref="N76">IFERROR(INDEX(#REF!,
MATCH(1,(#REF!=CH_CostElements_Anytime!N$52)*(#REF!=$D$50)*(#REF!=CH_CostElements_Anytime!$D76),0),
MATCH(CH_CostElements_Anytime!$C76,#REF!,0)),"-")</f>
        <v>-</v>
      </c>
      <c r="O76" s="92" t="str" cm="1">
        <f t="array" ref="O76">IFERROR(INDEX(#REF!,
MATCH(1,(#REF!=CH_CostElements_Anytime!O$52)*(#REF!=$D$50)*(#REF!=CH_CostElements_Anytime!$D76),0),
MATCH(CH_CostElements_Anytime!$C76,#REF!,0)),"-")</f>
        <v>-</v>
      </c>
      <c r="Q76" s="166" t="e">
        <f t="shared" si="3"/>
        <v>#VALUE!</v>
      </c>
    </row>
    <row r="77" spans="3:17">
      <c r="C77" t="s">
        <v>60</v>
      </c>
      <c r="D77" t="s">
        <v>479</v>
      </c>
      <c r="E77" s="161" t="str" cm="1">
        <f t="array" ref="E77">IFERROR(INDEX(#REF!,
MATCH(1,(#REF!=CH_CostElements_Anytime!E$52)*(#REF!=$D$50)*(#REF!=CH_CostElements_Anytime!$D77),0),
MATCH(CH_CostElements_Anytime!$C77,#REF!,0)),"-")</f>
        <v>-</v>
      </c>
      <c r="F77" s="92" t="str" cm="1">
        <f t="array" ref="F77">IFERROR(INDEX(#REF!,
MATCH(1,(#REF!=CH_CostElements_Anytime!F$52)*(#REF!=$D$50)*(#REF!=CH_CostElements_Anytime!$D77),0),
MATCH(CH_CostElements_Anytime!$C77,#REF!,0)),"-")</f>
        <v>-</v>
      </c>
      <c r="G77" s="160" t="str" cm="1">
        <f t="array" ref="G77">IFERROR(INDEX(#REF!,
MATCH(1,(#REF!=CH_CostElements_Anytime!G$52)*(#REF!=$D$50)*(#REF!=CH_CostElements_Anytime!$D77),0),
MATCH(CH_CostElements_Anytime!$C77,#REF!,0)),"-")</f>
        <v>-</v>
      </c>
      <c r="H77" s="160" t="str" cm="1">
        <f t="array" ref="H77">IFERROR(INDEX(#REF!,
MATCH(1,(#REF!=CH_CostElements_Anytime!H$52)*(#REF!=$D$50)*(#REF!=CH_CostElements_Anytime!$D77),0),
MATCH(CH_CostElements_Anytime!$C77,#REF!,0)),"-")</f>
        <v>-</v>
      </c>
      <c r="I77" s="92" t="str" cm="1">
        <f t="array" ref="I77">IFERROR(INDEX(#REF!,
MATCH(1,(#REF!=CH_CostElements_Anytime!I$52)*(#REF!=$D$50)*(#REF!=CH_CostElements_Anytime!$D77),0),
MATCH(CH_CostElements_Anytime!$C77,#REF!,0)),"-")</f>
        <v>-</v>
      </c>
      <c r="J77" s="92" t="str" cm="1">
        <f t="array" ref="J77">IFERROR(INDEX(#REF!,
MATCH(1,(#REF!=CH_CostElements_Anytime!J$52)*(#REF!=$D$50)*(#REF!=CH_CostElements_Anytime!$D77),0),
MATCH(CH_CostElements_Anytime!$C77,#REF!,0)),"-")</f>
        <v>-</v>
      </c>
      <c r="K77" s="160" t="str" cm="1">
        <f t="array" ref="K77">IFERROR(INDEX(#REF!,
MATCH(1,(#REF!=CH_CostElements_Anytime!K$52)*(#REF!=$D$50)*(#REF!=CH_CostElements_Anytime!$D77),0),
MATCH(CH_CostElements_Anytime!$C77,#REF!,0)),"-")</f>
        <v>-</v>
      </c>
      <c r="L77" s="92" t="str" cm="1">
        <f t="array" ref="L77">IFERROR(INDEX(#REF!,
MATCH(1,(#REF!=CH_CostElements_Anytime!L$52)*(#REF!=$D$50)*(#REF!=CH_CostElements_Anytime!$D77),0),
MATCH(CH_CostElements_Anytime!$C77,#REF!,0)),"-")</f>
        <v>-</v>
      </c>
      <c r="M77" s="92" t="str" cm="1">
        <f t="array" ref="M77">IFERROR(INDEX(#REF!,
MATCH(1,(#REF!=CH_CostElements_Anytime!M$52)*(#REF!=$D$50)*(#REF!=CH_CostElements_Anytime!$D77),0),
MATCH(CH_CostElements_Anytime!$C77,#REF!,0)),"-")</f>
        <v>-</v>
      </c>
      <c r="N77" s="92" t="str" cm="1">
        <f t="array" ref="N77">IFERROR(INDEX(#REF!,
MATCH(1,(#REF!=CH_CostElements_Anytime!N$52)*(#REF!=$D$50)*(#REF!=CH_CostElements_Anytime!$D77),0),
MATCH(CH_CostElements_Anytime!$C77,#REF!,0)),"-")</f>
        <v>-</v>
      </c>
      <c r="O77" s="92" t="str" cm="1">
        <f t="array" ref="O77">IFERROR(INDEX(#REF!,
MATCH(1,(#REF!=CH_CostElements_Anytime!O$52)*(#REF!=$D$50)*(#REF!=CH_CostElements_Anytime!$D77),0),
MATCH(CH_CostElements_Anytime!$C77,#REF!,0)),"-")</f>
        <v>-</v>
      </c>
      <c r="Q77" s="166" t="e">
        <f t="shared" si="3"/>
        <v>#VALUE!</v>
      </c>
    </row>
    <row r="78" spans="3:17">
      <c r="C78" t="s">
        <v>61</v>
      </c>
      <c r="D78" t="s">
        <v>479</v>
      </c>
      <c r="E78" s="161" t="str" cm="1">
        <f t="array" ref="E78">IFERROR(INDEX(#REF!,
MATCH(1,(#REF!=CH_CostElements_Anytime!E$52)*(#REF!=$D$50)*(#REF!=CH_CostElements_Anytime!$D78),0),
MATCH(CH_CostElements_Anytime!$C78,#REF!,0)),"-")</f>
        <v>-</v>
      </c>
      <c r="F78" s="92" t="str" cm="1">
        <f t="array" ref="F78">IFERROR(INDEX(#REF!,
MATCH(1,(#REF!=CH_CostElements_Anytime!F$52)*(#REF!=$D$50)*(#REF!=CH_CostElements_Anytime!$D78),0),
MATCH(CH_CostElements_Anytime!$C78,#REF!,0)),"-")</f>
        <v>-</v>
      </c>
      <c r="G78" s="160" t="str" cm="1">
        <f t="array" ref="G78">IFERROR(INDEX(#REF!,
MATCH(1,(#REF!=CH_CostElements_Anytime!G$52)*(#REF!=$D$50)*(#REF!=CH_CostElements_Anytime!$D78),0),
MATCH(CH_CostElements_Anytime!$C78,#REF!,0)),"-")</f>
        <v>-</v>
      </c>
      <c r="H78" s="160" t="str" cm="1">
        <f t="array" ref="H78">IFERROR(INDEX(#REF!,
MATCH(1,(#REF!=CH_CostElements_Anytime!H$52)*(#REF!=$D$50)*(#REF!=CH_CostElements_Anytime!$D78),0),
MATCH(CH_CostElements_Anytime!$C78,#REF!,0)),"-")</f>
        <v>-</v>
      </c>
      <c r="I78" s="92" t="str" cm="1">
        <f t="array" ref="I78">IFERROR(INDEX(#REF!,
MATCH(1,(#REF!=CH_CostElements_Anytime!I$52)*(#REF!=$D$50)*(#REF!=CH_CostElements_Anytime!$D78),0),
MATCH(CH_CostElements_Anytime!$C78,#REF!,0)),"-")</f>
        <v>-</v>
      </c>
      <c r="J78" s="92" t="str" cm="1">
        <f t="array" ref="J78">IFERROR(INDEX(#REF!,
MATCH(1,(#REF!=CH_CostElements_Anytime!J$52)*(#REF!=$D$50)*(#REF!=CH_CostElements_Anytime!$D78),0),
MATCH(CH_CostElements_Anytime!$C78,#REF!,0)),"-")</f>
        <v>-</v>
      </c>
      <c r="K78" s="160" t="str" cm="1">
        <f t="array" ref="K78">IFERROR(INDEX(#REF!,
MATCH(1,(#REF!=CH_CostElements_Anytime!K$52)*(#REF!=$D$50)*(#REF!=CH_CostElements_Anytime!$D78),0),
MATCH(CH_CostElements_Anytime!$C78,#REF!,0)),"-")</f>
        <v>-</v>
      </c>
      <c r="L78" s="92" t="str" cm="1">
        <f t="array" ref="L78">IFERROR(INDEX(#REF!,
MATCH(1,(#REF!=CH_CostElements_Anytime!L$52)*(#REF!=$D$50)*(#REF!=CH_CostElements_Anytime!$D78),0),
MATCH(CH_CostElements_Anytime!$C78,#REF!,0)),"-")</f>
        <v>-</v>
      </c>
      <c r="M78" s="92" t="str" cm="1">
        <f t="array" ref="M78">IFERROR(INDEX(#REF!,
MATCH(1,(#REF!=CH_CostElements_Anytime!M$52)*(#REF!=$D$50)*(#REF!=CH_CostElements_Anytime!$D78),0),
MATCH(CH_CostElements_Anytime!$C78,#REF!,0)),"-")</f>
        <v>-</v>
      </c>
      <c r="N78" s="92" t="str" cm="1">
        <f t="array" ref="N78">IFERROR(INDEX(#REF!,
MATCH(1,(#REF!=CH_CostElements_Anytime!N$52)*(#REF!=$D$50)*(#REF!=CH_CostElements_Anytime!$D78),0),
MATCH(CH_CostElements_Anytime!$C78,#REF!,0)),"-")</f>
        <v>-</v>
      </c>
      <c r="O78" s="92" t="str" cm="1">
        <f t="array" ref="O78">IFERROR(INDEX(#REF!,
MATCH(1,(#REF!=CH_CostElements_Anytime!O$52)*(#REF!=$D$50)*(#REF!=CH_CostElements_Anytime!$D78),0),
MATCH(CH_CostElements_Anytime!$C78,#REF!,0)),"-")</f>
        <v>-</v>
      </c>
      <c r="Q78" s="166" t="e">
        <f t="shared" si="3"/>
        <v>#VALUE!</v>
      </c>
    </row>
    <row r="79" spans="3:17">
      <c r="C79" t="s">
        <v>62</v>
      </c>
      <c r="D79" t="s">
        <v>479</v>
      </c>
      <c r="E79" s="161" t="str" cm="1">
        <f t="array" ref="E79">IFERROR(INDEX(#REF!,
MATCH(1,(#REF!=CH_CostElements_Anytime!E$52)*(#REF!=$D$50)*(#REF!=CH_CostElements_Anytime!$D79),0),
MATCH(CH_CostElements_Anytime!$C79,#REF!,0)),"-")</f>
        <v>-</v>
      </c>
      <c r="F79" s="92" t="str" cm="1">
        <f t="array" ref="F79">IFERROR(INDEX(#REF!,
MATCH(1,(#REF!=CH_CostElements_Anytime!F$52)*(#REF!=$D$50)*(#REF!=CH_CostElements_Anytime!$D79),0),
MATCH(CH_CostElements_Anytime!$C79,#REF!,0)),"-")</f>
        <v>-</v>
      </c>
      <c r="G79" s="160" t="str" cm="1">
        <f t="array" ref="G79">IFERROR(INDEX(#REF!,
MATCH(1,(#REF!=CH_CostElements_Anytime!G$52)*(#REF!=$D$50)*(#REF!=CH_CostElements_Anytime!$D79),0),
MATCH(CH_CostElements_Anytime!$C79,#REF!,0)),"-")</f>
        <v>-</v>
      </c>
      <c r="H79" s="160" t="str" cm="1">
        <f t="array" ref="H79">IFERROR(INDEX(#REF!,
MATCH(1,(#REF!=CH_CostElements_Anytime!H$52)*(#REF!=$D$50)*(#REF!=CH_CostElements_Anytime!$D79),0),
MATCH(CH_CostElements_Anytime!$C79,#REF!,0)),"-")</f>
        <v>-</v>
      </c>
      <c r="I79" s="92" t="str" cm="1">
        <f t="array" ref="I79">IFERROR(INDEX(#REF!,
MATCH(1,(#REF!=CH_CostElements_Anytime!I$52)*(#REF!=$D$50)*(#REF!=CH_CostElements_Anytime!$D79),0),
MATCH(CH_CostElements_Anytime!$C79,#REF!,0)),"-")</f>
        <v>-</v>
      </c>
      <c r="J79" s="92" t="str" cm="1">
        <f t="array" ref="J79">IFERROR(INDEX(#REF!,
MATCH(1,(#REF!=CH_CostElements_Anytime!J$52)*(#REF!=$D$50)*(#REF!=CH_CostElements_Anytime!$D79),0),
MATCH(CH_CostElements_Anytime!$C79,#REF!,0)),"-")</f>
        <v>-</v>
      </c>
      <c r="K79" s="160" t="str" cm="1">
        <f t="array" ref="K79">IFERROR(INDEX(#REF!,
MATCH(1,(#REF!=CH_CostElements_Anytime!K$52)*(#REF!=$D$50)*(#REF!=CH_CostElements_Anytime!$D79),0),
MATCH(CH_CostElements_Anytime!$C79,#REF!,0)),"-")</f>
        <v>-</v>
      </c>
      <c r="L79" s="92" t="str" cm="1">
        <f t="array" ref="L79">IFERROR(INDEX(#REF!,
MATCH(1,(#REF!=CH_CostElements_Anytime!L$52)*(#REF!=$D$50)*(#REF!=CH_CostElements_Anytime!$D79),0),
MATCH(CH_CostElements_Anytime!$C79,#REF!,0)),"-")</f>
        <v>-</v>
      </c>
      <c r="M79" s="92" t="str" cm="1">
        <f t="array" ref="M79">IFERROR(INDEX(#REF!,
MATCH(1,(#REF!=CH_CostElements_Anytime!M$52)*(#REF!=$D$50)*(#REF!=CH_CostElements_Anytime!$D79),0),
MATCH(CH_CostElements_Anytime!$C79,#REF!,0)),"-")</f>
        <v>-</v>
      </c>
      <c r="N79" s="92" t="str" cm="1">
        <f t="array" ref="N79">IFERROR(INDEX(#REF!,
MATCH(1,(#REF!=CH_CostElements_Anytime!N$52)*(#REF!=$D$50)*(#REF!=CH_CostElements_Anytime!$D79),0),
MATCH(CH_CostElements_Anytime!$C79,#REF!,0)),"-")</f>
        <v>-</v>
      </c>
      <c r="O79" s="92" t="str" cm="1">
        <f t="array" ref="O79">IFERROR(INDEX(#REF!,
MATCH(1,(#REF!=CH_CostElements_Anytime!O$52)*(#REF!=$D$50)*(#REF!=CH_CostElements_Anytime!$D79),0),
MATCH(CH_CostElements_Anytime!$C79,#REF!,0)),"-")</f>
        <v>-</v>
      </c>
      <c r="Q79" s="166" t="e">
        <f t="shared" si="3"/>
        <v>#VALUE!</v>
      </c>
    </row>
    <row r="80" spans="3:17">
      <c r="C80" t="s">
        <v>465</v>
      </c>
      <c r="D80" t="s">
        <v>479</v>
      </c>
      <c r="E80" s="161" t="str" cm="1">
        <f t="array" ref="E80">IFERROR(INDEX(#REF!,
MATCH(1,(#REF!=CH_CostElements_Anytime!E$52)*(#REF!=$D$50)*(#REF!=CH_CostElements_Anytime!$D80),0),
MATCH(CH_CostElements_Anytime!$C80,#REF!,0)),"-")</f>
        <v>-</v>
      </c>
      <c r="F80" s="92" t="str" cm="1">
        <f t="array" ref="F80">IFERROR(INDEX(#REF!,
MATCH(1,(#REF!=CH_CostElements_Anytime!F$52)*(#REF!=$D$50)*(#REF!=CH_CostElements_Anytime!$D80),0),
MATCH(CH_CostElements_Anytime!$C80,#REF!,0)),"-")</f>
        <v>-</v>
      </c>
      <c r="G80" s="160" t="str" cm="1">
        <f t="array" ref="G80">IFERROR(INDEX(#REF!,
MATCH(1,(#REF!=CH_CostElements_Anytime!G$52)*(#REF!=$D$50)*(#REF!=CH_CostElements_Anytime!$D80),0),
MATCH(CH_CostElements_Anytime!$C80,#REF!,0)),"-")</f>
        <v>-</v>
      </c>
      <c r="H80" s="160" t="str" cm="1">
        <f t="array" ref="H80">IFERROR(INDEX(#REF!,
MATCH(1,(#REF!=CH_CostElements_Anytime!H$52)*(#REF!=$D$50)*(#REF!=CH_CostElements_Anytime!$D80),0),
MATCH(CH_CostElements_Anytime!$C80,#REF!,0)),"-")</f>
        <v>-</v>
      </c>
      <c r="I80" s="92" t="str" cm="1">
        <f t="array" ref="I80">IFERROR(INDEX(#REF!,
MATCH(1,(#REF!=CH_CostElements_Anytime!I$52)*(#REF!=$D$50)*(#REF!=CH_CostElements_Anytime!$D80),0),
MATCH(CH_CostElements_Anytime!$C80,#REF!,0)),"-")</f>
        <v>-</v>
      </c>
      <c r="J80" s="92" t="str" cm="1">
        <f t="array" ref="J80">IFERROR(INDEX(#REF!,
MATCH(1,(#REF!=CH_CostElements_Anytime!J$52)*(#REF!=$D$50)*(#REF!=CH_CostElements_Anytime!$D80),0),
MATCH(CH_CostElements_Anytime!$C80,#REF!,0)),"-")</f>
        <v>-</v>
      </c>
      <c r="K80" s="160" t="str" cm="1">
        <f t="array" ref="K80">IFERROR(INDEX(#REF!,
MATCH(1,(#REF!=CH_CostElements_Anytime!K$52)*(#REF!=$D$50)*(#REF!=CH_CostElements_Anytime!$D80),0),
MATCH(CH_CostElements_Anytime!$C80,#REF!,0)),"-")</f>
        <v>-</v>
      </c>
      <c r="L80" s="92" t="str" cm="1">
        <f t="array" ref="L80">IFERROR(INDEX(#REF!,
MATCH(1,(#REF!=CH_CostElements_Anytime!L$52)*(#REF!=$D$50)*(#REF!=CH_CostElements_Anytime!$D80),0),
MATCH(CH_CostElements_Anytime!$C80,#REF!,0)),"-")</f>
        <v>-</v>
      </c>
      <c r="M80" s="92" t="str" cm="1">
        <f t="array" ref="M80">IFERROR(INDEX(#REF!,
MATCH(1,(#REF!=CH_CostElements_Anytime!M$52)*(#REF!=$D$50)*(#REF!=CH_CostElements_Anytime!$D80),0),
MATCH(CH_CostElements_Anytime!$C80,#REF!,0)),"-")</f>
        <v>-</v>
      </c>
      <c r="N80" s="92" t="str" cm="1">
        <f t="array" ref="N80">IFERROR(INDEX(#REF!,
MATCH(1,(#REF!=CH_CostElements_Anytime!N$52)*(#REF!=$D$50)*(#REF!=CH_CostElements_Anytime!$D80),0),
MATCH(CH_CostElements_Anytime!$C80,#REF!,0)),"-")</f>
        <v>-</v>
      </c>
      <c r="O80" s="92" t="str" cm="1">
        <f t="array" ref="O80">IFERROR(INDEX(#REF!,
MATCH(1,(#REF!=CH_CostElements_Anytime!O$52)*(#REF!=$D$50)*(#REF!=CH_CostElements_Anytime!$D80),0),
MATCH(CH_CostElements_Anytime!$C80,#REF!,0)),"-")</f>
        <v>-</v>
      </c>
      <c r="Q80" s="166" t="e">
        <f t="shared" si="3"/>
        <v>#VALUE!</v>
      </c>
    </row>
    <row r="81" spans="3:17">
      <c r="M81" s="108"/>
      <c r="Q81" s="109"/>
    </row>
    <row r="82" spans="3:17" ht="15.5">
      <c r="E82" s="38" t="s">
        <v>480</v>
      </c>
      <c r="K82" s="108"/>
      <c r="Q82" s="109"/>
    </row>
    <row r="83" spans="3:17">
      <c r="D83" t="s">
        <v>427</v>
      </c>
      <c r="E83" s="2">
        <v>0.6</v>
      </c>
      <c r="K83" s="108"/>
      <c r="Q83" s="109"/>
    </row>
    <row r="84" spans="3:17">
      <c r="D84" t="s">
        <v>479</v>
      </c>
      <c r="E84" s="2">
        <v>0.4</v>
      </c>
      <c r="K84" s="108"/>
      <c r="Q84" s="109"/>
    </row>
    <row r="85" spans="3:17">
      <c r="K85" s="108"/>
      <c r="Q85" s="109"/>
    </row>
    <row r="86" spans="3:17">
      <c r="C86" t="s">
        <v>58</v>
      </c>
      <c r="D86" t="s">
        <v>481</v>
      </c>
      <c r="E86" s="163" t="str">
        <f t="shared" ref="E86:O86" si="4">IFERROR((E68*$E$83)+(E75*$E$84),"-")</f>
        <v>-</v>
      </c>
      <c r="F86" s="113" t="str">
        <f t="shared" si="4"/>
        <v>-</v>
      </c>
      <c r="G86" s="114" t="str">
        <f t="shared" si="4"/>
        <v>-</v>
      </c>
      <c r="H86" s="114" t="str">
        <f t="shared" si="4"/>
        <v>-</v>
      </c>
      <c r="I86" s="113" t="str">
        <f t="shared" si="4"/>
        <v>-</v>
      </c>
      <c r="J86" s="113" t="str">
        <f t="shared" si="4"/>
        <v>-</v>
      </c>
      <c r="K86" s="114" t="str">
        <f t="shared" si="4"/>
        <v>-</v>
      </c>
      <c r="L86" s="113" t="str">
        <f t="shared" si="4"/>
        <v>-</v>
      </c>
      <c r="M86" s="113" t="str">
        <f t="shared" si="4"/>
        <v>-</v>
      </c>
      <c r="N86" s="113" t="str">
        <f t="shared" si="4"/>
        <v>-</v>
      </c>
      <c r="O86" s="113" t="str">
        <f t="shared" si="4"/>
        <v>-</v>
      </c>
      <c r="Q86" s="166" t="e">
        <f t="shared" ref="Q86:Q91" si="5">IF(ROUND(E86,8)=ROUND(SUM(F86:O86),8),0,1)</f>
        <v>#VALUE!</v>
      </c>
    </row>
    <row r="87" spans="3:17">
      <c r="C87" t="s">
        <v>59</v>
      </c>
      <c r="D87" t="s">
        <v>481</v>
      </c>
      <c r="E87" s="163" t="str">
        <f t="shared" ref="E87:O87" si="6">IFERROR((E69*$E$83)+(E76*$E$84),"-")</f>
        <v>-</v>
      </c>
      <c r="F87" s="113" t="str">
        <f t="shared" si="6"/>
        <v>-</v>
      </c>
      <c r="G87" s="114" t="str">
        <f t="shared" si="6"/>
        <v>-</v>
      </c>
      <c r="H87" s="114" t="str">
        <f t="shared" si="6"/>
        <v>-</v>
      </c>
      <c r="I87" s="113" t="str">
        <f t="shared" si="6"/>
        <v>-</v>
      </c>
      <c r="J87" s="113" t="str">
        <f t="shared" si="6"/>
        <v>-</v>
      </c>
      <c r="K87" s="114" t="str">
        <f t="shared" si="6"/>
        <v>-</v>
      </c>
      <c r="L87" s="113" t="str">
        <f t="shared" si="6"/>
        <v>-</v>
      </c>
      <c r="M87" s="113" t="str">
        <f t="shared" si="6"/>
        <v>-</v>
      </c>
      <c r="N87" s="113" t="str">
        <f t="shared" si="6"/>
        <v>-</v>
      </c>
      <c r="O87" s="113" t="str">
        <f t="shared" si="6"/>
        <v>-</v>
      </c>
      <c r="Q87" s="166" t="e">
        <f t="shared" si="5"/>
        <v>#VALUE!</v>
      </c>
    </row>
    <row r="88" spans="3:17">
      <c r="C88" t="s">
        <v>60</v>
      </c>
      <c r="D88" t="s">
        <v>481</v>
      </c>
      <c r="E88" s="163" t="str">
        <f t="shared" ref="E88:O88" si="7">IFERROR((E70*$E$83)+(E77*$E$84),"-")</f>
        <v>-</v>
      </c>
      <c r="F88" s="113" t="str">
        <f t="shared" si="7"/>
        <v>-</v>
      </c>
      <c r="G88" s="114" t="str">
        <f t="shared" si="7"/>
        <v>-</v>
      </c>
      <c r="H88" s="114" t="str">
        <f t="shared" si="7"/>
        <v>-</v>
      </c>
      <c r="I88" s="113" t="str">
        <f t="shared" si="7"/>
        <v>-</v>
      </c>
      <c r="J88" s="113" t="str">
        <f t="shared" si="7"/>
        <v>-</v>
      </c>
      <c r="K88" s="114" t="str">
        <f t="shared" si="7"/>
        <v>-</v>
      </c>
      <c r="L88" s="113" t="str">
        <f t="shared" si="7"/>
        <v>-</v>
      </c>
      <c r="M88" s="113" t="str">
        <f t="shared" si="7"/>
        <v>-</v>
      </c>
      <c r="N88" s="113" t="str">
        <f t="shared" si="7"/>
        <v>-</v>
      </c>
      <c r="O88" s="113" t="str">
        <f t="shared" si="7"/>
        <v>-</v>
      </c>
      <c r="Q88" s="166" t="e">
        <f t="shared" si="5"/>
        <v>#VALUE!</v>
      </c>
    </row>
    <row r="89" spans="3:17">
      <c r="C89" t="s">
        <v>61</v>
      </c>
      <c r="D89" t="s">
        <v>481</v>
      </c>
      <c r="E89" s="163" t="str">
        <f t="shared" ref="E89:O89" si="8">IFERROR((E71*$E$83)+(E78*$E$84),"-")</f>
        <v>-</v>
      </c>
      <c r="F89" s="113" t="str">
        <f t="shared" si="8"/>
        <v>-</v>
      </c>
      <c r="G89" s="114" t="str">
        <f t="shared" si="8"/>
        <v>-</v>
      </c>
      <c r="H89" s="114" t="str">
        <f t="shared" si="8"/>
        <v>-</v>
      </c>
      <c r="I89" s="113" t="str">
        <f t="shared" si="8"/>
        <v>-</v>
      </c>
      <c r="J89" s="113" t="str">
        <f t="shared" si="8"/>
        <v>-</v>
      </c>
      <c r="K89" s="114" t="str">
        <f t="shared" si="8"/>
        <v>-</v>
      </c>
      <c r="L89" s="113" t="str">
        <f t="shared" si="8"/>
        <v>-</v>
      </c>
      <c r="M89" s="113" t="str">
        <f t="shared" si="8"/>
        <v>-</v>
      </c>
      <c r="N89" s="113" t="str">
        <f t="shared" si="8"/>
        <v>-</v>
      </c>
      <c r="O89" s="113" t="str">
        <f t="shared" si="8"/>
        <v>-</v>
      </c>
      <c r="Q89" s="166" t="e">
        <f t="shared" si="5"/>
        <v>#VALUE!</v>
      </c>
    </row>
    <row r="90" spans="3:17">
      <c r="C90" t="s">
        <v>62</v>
      </c>
      <c r="D90" t="s">
        <v>481</v>
      </c>
      <c r="E90" s="163" t="str">
        <f t="shared" ref="E90:O90" si="9">IFERROR((E72*$E$83)+(E79*$E$84),"-")</f>
        <v>-</v>
      </c>
      <c r="F90" s="113" t="str">
        <f t="shared" si="9"/>
        <v>-</v>
      </c>
      <c r="G90" s="114" t="str">
        <f t="shared" si="9"/>
        <v>-</v>
      </c>
      <c r="H90" s="114" t="str">
        <f t="shared" si="9"/>
        <v>-</v>
      </c>
      <c r="I90" s="113" t="str">
        <f t="shared" si="9"/>
        <v>-</v>
      </c>
      <c r="J90" s="113" t="str">
        <f t="shared" si="9"/>
        <v>-</v>
      </c>
      <c r="K90" s="114" t="str">
        <f t="shared" si="9"/>
        <v>-</v>
      </c>
      <c r="L90" s="113" t="str">
        <f t="shared" si="9"/>
        <v>-</v>
      </c>
      <c r="M90" s="113" t="str">
        <f t="shared" si="9"/>
        <v>-</v>
      </c>
      <c r="N90" s="113" t="str">
        <f t="shared" si="9"/>
        <v>-</v>
      </c>
      <c r="O90" s="113" t="str">
        <f t="shared" si="9"/>
        <v>-</v>
      </c>
      <c r="Q90" s="166" t="e">
        <f t="shared" si="5"/>
        <v>#VALUE!</v>
      </c>
    </row>
    <row r="91" spans="3:17">
      <c r="C91" t="s">
        <v>465</v>
      </c>
      <c r="D91" t="s">
        <v>481</v>
      </c>
      <c r="E91" s="163" t="str">
        <f t="shared" ref="E91:O91" si="10">IFERROR((E73*$E$83)+(E80*$E$84),"-")</f>
        <v>-</v>
      </c>
      <c r="F91" s="113" t="str">
        <f t="shared" si="10"/>
        <v>-</v>
      </c>
      <c r="G91" s="114" t="str">
        <f t="shared" si="10"/>
        <v>-</v>
      </c>
      <c r="H91" s="114" t="str">
        <f t="shared" si="10"/>
        <v>-</v>
      </c>
      <c r="I91" s="113" t="str">
        <f t="shared" si="10"/>
        <v>-</v>
      </c>
      <c r="J91" s="113" t="str">
        <f t="shared" si="10"/>
        <v>-</v>
      </c>
      <c r="K91" s="114" t="str">
        <f t="shared" si="10"/>
        <v>-</v>
      </c>
      <c r="L91" s="113" t="str">
        <f t="shared" si="10"/>
        <v>-</v>
      </c>
      <c r="M91" s="113" t="str">
        <f t="shared" si="10"/>
        <v>-</v>
      </c>
      <c r="N91" s="113" t="str">
        <f t="shared" si="10"/>
        <v>-</v>
      </c>
      <c r="O91" s="113" t="str">
        <f t="shared" si="10"/>
        <v>-</v>
      </c>
      <c r="Q91" s="166" t="e">
        <f t="shared" si="5"/>
        <v>#VALUE!</v>
      </c>
    </row>
    <row r="92" spans="3:17">
      <c r="E92" s="162"/>
      <c r="K92" s="108"/>
      <c r="Q92" s="109"/>
    </row>
    <row r="93" spans="3:17">
      <c r="E93" s="162"/>
      <c r="G93" s="172"/>
      <c r="K93" s="108"/>
      <c r="Q93" s="109"/>
    </row>
    <row r="94" spans="3:17">
      <c r="E94" s="162"/>
      <c r="K94" s="108"/>
      <c r="Q94" s="109"/>
    </row>
    <row r="95" spans="3:17" ht="15.5">
      <c r="C95" s="49" t="s">
        <v>482</v>
      </c>
      <c r="D95" s="20" t="str">
        <f>D75</f>
        <v>VDO 2021 Variation - Final</v>
      </c>
      <c r="E95" s="162"/>
      <c r="K95" s="108"/>
      <c r="Q95" s="109"/>
    </row>
    <row r="96" spans="3:17">
      <c r="E96" s="162"/>
      <c r="K96" s="108"/>
      <c r="Q96" s="109"/>
    </row>
    <row r="97" spans="3:19">
      <c r="C97" t="s">
        <v>58</v>
      </c>
      <c r="D97" s="168" t="str">
        <f>$D$95</f>
        <v>VDO 2021 Variation - Final</v>
      </c>
      <c r="E97" s="92" t="str" cm="1">
        <f t="array" ref="E97">INDEX($E$75:$O$91,MATCH(1,($D$75:$D$91=$D97)*($C$75:$C$91=$C97),0),MATCH(E$52,$E$52:$O$52,0))</f>
        <v>-</v>
      </c>
      <c r="F97" s="92" t="str" cm="1">
        <f t="array" ref="F97">INDEX($E$75:$O$91,MATCH(1,($D$75:$D$91=$D97)*($C$75:$C$91=$C97),0),MATCH(F$52,$E$52:$O$52,0))</f>
        <v>-</v>
      </c>
      <c r="G97" s="92" t="str" cm="1">
        <f t="array" ref="G97">INDEX($E$75:$O$91,MATCH(1,($D$75:$D$91=$D97)*($C$75:$C$91=$C97),0),MATCH(G$52,$E$52:$O$52,0))</f>
        <v>-</v>
      </c>
      <c r="H97" s="92" t="str" cm="1">
        <f t="array" ref="H97">INDEX($E$75:$O$91,MATCH(1,($D$75:$D$91=$D97)*($C$75:$C$91=$C97),0),MATCH(H$52,$E$52:$O$52,0))</f>
        <v>-</v>
      </c>
      <c r="I97" s="92" t="str" cm="1">
        <f t="array" ref="I97">INDEX($E$75:$O$91,MATCH(1,($D$75:$D$91=$D97)*($C$75:$C$91=$C97),0),MATCH(I$52,$E$52:$O$52,0))</f>
        <v>-</v>
      </c>
      <c r="J97" s="92" t="str" cm="1">
        <f t="array" ref="J97">INDEX($E$75:$O$91,MATCH(1,($D$75:$D$91=$D97)*($C$75:$C$91=$C97),0),MATCH(J$52,$E$52:$O$52,0))</f>
        <v>-</v>
      </c>
      <c r="K97" s="92" t="str" cm="1">
        <f t="array" ref="K97">INDEX($E$75:$O$91,MATCH(1,($D$75:$D$91=$D97)*($C$75:$C$91=$C97),0),MATCH(K$52,$E$52:$O$52,0))</f>
        <v>-</v>
      </c>
      <c r="L97" s="92" t="str" cm="1">
        <f t="array" ref="L97">INDEX($E$75:$O$91,MATCH(1,($D$75:$D$91=$D97)*($C$75:$C$91=$C97),0),MATCH(L$52,$E$52:$O$52,0))</f>
        <v>-</v>
      </c>
      <c r="M97" s="92" t="str" cm="1">
        <f t="array" ref="M97">INDEX($E$75:$O$91,MATCH(1,($D$75:$D$91=$D97)*($C$75:$C$91=$C97),0),MATCH(M$52,$E$52:$O$52,0))</f>
        <v>-</v>
      </c>
      <c r="N97" s="92" t="str" cm="1">
        <f t="array" ref="N97">INDEX($E$75:$O$91,MATCH(1,($D$75:$D$91=$D97)*($C$75:$C$91=$C97),0),MATCH(N$52,$E$52:$O$52,0))</f>
        <v>-</v>
      </c>
      <c r="O97" s="92" t="str" cm="1">
        <f t="array" ref="O97">INDEX($E$75:$O$91,MATCH(1,($D$75:$D$91=$D97)*($C$75:$C$91=$C97),0),MATCH(O$52,$E$52:$O$52,0))</f>
        <v>-</v>
      </c>
      <c r="Q97" s="109"/>
    </row>
    <row r="98" spans="3:19">
      <c r="C98" t="s">
        <v>59</v>
      </c>
      <c r="D98" s="168" t="str">
        <f t="shared" ref="D98:D102" si="11">$D$95</f>
        <v>VDO 2021 Variation - Final</v>
      </c>
      <c r="E98" s="92" t="str" cm="1">
        <f t="array" ref="E98">INDEX($E$75:$O$91,MATCH(1,($D$75:$D$91=$D98)*($C$75:$C$91=$C98),0),MATCH(E$52,$E$52:$O$52,0))</f>
        <v>-</v>
      </c>
      <c r="F98" s="92" t="str" cm="1">
        <f t="array" ref="F98">INDEX($E$75:$O$91,MATCH(1,($D$75:$D$91=$D98)*($C$75:$C$91=$C98),0),MATCH(F$52,$E$52:$O$52,0))</f>
        <v>-</v>
      </c>
      <c r="G98" s="92" t="str" cm="1">
        <f t="array" ref="G98">INDEX($E$75:$O$91,MATCH(1,($D$75:$D$91=$D98)*($C$75:$C$91=$C98),0),MATCH(G$52,$E$52:$O$52,0))</f>
        <v>-</v>
      </c>
      <c r="H98" s="92" t="str" cm="1">
        <f t="array" ref="H98">INDEX($E$75:$O$91,MATCH(1,($D$75:$D$91=$D98)*($C$75:$C$91=$C98),0),MATCH(H$52,$E$52:$O$52,0))</f>
        <v>-</v>
      </c>
      <c r="I98" s="92" t="str" cm="1">
        <f t="array" ref="I98">INDEX($E$75:$O$91,MATCH(1,($D$75:$D$91=$D98)*($C$75:$C$91=$C98),0),MATCH(I$52,$E$52:$O$52,0))</f>
        <v>-</v>
      </c>
      <c r="J98" s="92" t="str" cm="1">
        <f t="array" ref="J98">INDEX($E$75:$O$91,MATCH(1,($D$75:$D$91=$D98)*($C$75:$C$91=$C98),0),MATCH(J$52,$E$52:$O$52,0))</f>
        <v>-</v>
      </c>
      <c r="K98" s="92" t="str" cm="1">
        <f t="array" ref="K98">INDEX($E$75:$O$91,MATCH(1,($D$75:$D$91=$D98)*($C$75:$C$91=$C98),0),MATCH(K$52,$E$52:$O$52,0))</f>
        <v>-</v>
      </c>
      <c r="L98" s="92" t="str" cm="1">
        <f t="array" ref="L98">INDEX($E$75:$O$91,MATCH(1,($D$75:$D$91=$D98)*($C$75:$C$91=$C98),0),MATCH(L$52,$E$52:$O$52,0))</f>
        <v>-</v>
      </c>
      <c r="M98" s="92" t="str" cm="1">
        <f t="array" ref="M98">INDEX($E$75:$O$91,MATCH(1,($D$75:$D$91=$D98)*($C$75:$C$91=$C98),0),MATCH(M$52,$E$52:$O$52,0))</f>
        <v>-</v>
      </c>
      <c r="N98" s="92" t="str" cm="1">
        <f t="array" ref="N98">INDEX($E$75:$O$91,MATCH(1,($D$75:$D$91=$D98)*($C$75:$C$91=$C98),0),MATCH(N$52,$E$52:$O$52,0))</f>
        <v>-</v>
      </c>
      <c r="O98" s="92" t="str" cm="1">
        <f t="array" ref="O98">INDEX($E$75:$O$91,MATCH(1,($D$75:$D$91=$D98)*($C$75:$C$91=$C98),0),MATCH(O$52,$E$52:$O$52,0))</f>
        <v>-</v>
      </c>
      <c r="Q98" s="109"/>
    </row>
    <row r="99" spans="3:19">
      <c r="C99" t="s">
        <v>60</v>
      </c>
      <c r="D99" s="168" t="str">
        <f t="shared" si="11"/>
        <v>VDO 2021 Variation - Final</v>
      </c>
      <c r="E99" s="92" t="str" cm="1">
        <f t="array" ref="E99">INDEX($E$75:$O$91,MATCH(1,($D$75:$D$91=$D99)*($C$75:$C$91=$C99),0),MATCH(E$52,$E$52:$O$52,0))</f>
        <v>-</v>
      </c>
      <c r="F99" s="92" t="str" cm="1">
        <f t="array" ref="F99">INDEX($E$75:$O$91,MATCH(1,($D$75:$D$91=$D99)*($C$75:$C$91=$C99),0),MATCH(F$52,$E$52:$O$52,0))</f>
        <v>-</v>
      </c>
      <c r="G99" s="92" t="str" cm="1">
        <f t="array" ref="G99">INDEX($E$75:$O$91,MATCH(1,($D$75:$D$91=$D99)*($C$75:$C$91=$C99),0),MATCH(G$52,$E$52:$O$52,0))</f>
        <v>-</v>
      </c>
      <c r="H99" s="92" t="str" cm="1">
        <f t="array" ref="H99">INDEX($E$75:$O$91,MATCH(1,($D$75:$D$91=$D99)*($C$75:$C$91=$C99),0),MATCH(H$52,$E$52:$O$52,0))</f>
        <v>-</v>
      </c>
      <c r="I99" s="92" t="str" cm="1">
        <f t="array" ref="I99">INDEX($E$75:$O$91,MATCH(1,($D$75:$D$91=$D99)*($C$75:$C$91=$C99),0),MATCH(I$52,$E$52:$O$52,0))</f>
        <v>-</v>
      </c>
      <c r="J99" s="92" t="str" cm="1">
        <f t="array" ref="J99">INDEX($E$75:$O$91,MATCH(1,($D$75:$D$91=$D99)*($C$75:$C$91=$C99),0),MATCH(J$52,$E$52:$O$52,0))</f>
        <v>-</v>
      </c>
      <c r="K99" s="92" t="str" cm="1">
        <f t="array" ref="K99">INDEX($E$75:$O$91,MATCH(1,($D$75:$D$91=$D99)*($C$75:$C$91=$C99),0),MATCH(K$52,$E$52:$O$52,0))</f>
        <v>-</v>
      </c>
      <c r="L99" s="92" t="str" cm="1">
        <f t="array" ref="L99">INDEX($E$75:$O$91,MATCH(1,($D$75:$D$91=$D99)*($C$75:$C$91=$C99),0),MATCH(L$52,$E$52:$O$52,0))</f>
        <v>-</v>
      </c>
      <c r="M99" s="92" t="str" cm="1">
        <f t="array" ref="M99">INDEX($E$75:$O$91,MATCH(1,($D$75:$D$91=$D99)*($C$75:$C$91=$C99),0),MATCH(M$52,$E$52:$O$52,0))</f>
        <v>-</v>
      </c>
      <c r="N99" s="92" t="str" cm="1">
        <f t="array" ref="N99">INDEX($E$75:$O$91,MATCH(1,($D$75:$D$91=$D99)*($C$75:$C$91=$C99),0),MATCH(N$52,$E$52:$O$52,0))</f>
        <v>-</v>
      </c>
      <c r="O99" s="92" t="str" cm="1">
        <f t="array" ref="O99">INDEX($E$75:$O$91,MATCH(1,($D$75:$D$91=$D99)*($C$75:$C$91=$C99),0),MATCH(O$52,$E$52:$O$52,0))</f>
        <v>-</v>
      </c>
      <c r="Q99" s="109"/>
    </row>
    <row r="100" spans="3:19">
      <c r="C100" t="s">
        <v>61</v>
      </c>
      <c r="D100" s="168" t="str">
        <f t="shared" si="11"/>
        <v>VDO 2021 Variation - Final</v>
      </c>
      <c r="E100" s="92" t="str" cm="1">
        <f t="array" ref="E100">INDEX($E$75:$O$91,MATCH(1,($D$75:$D$91=$D100)*($C$75:$C$91=$C100),0),MATCH(E$52,$E$52:$O$52,0))</f>
        <v>-</v>
      </c>
      <c r="F100" s="92" t="str" cm="1">
        <f t="array" ref="F100">INDEX($E$75:$O$91,MATCH(1,($D$75:$D$91=$D100)*($C$75:$C$91=$C100),0),MATCH(F$52,$E$52:$O$52,0))</f>
        <v>-</v>
      </c>
      <c r="G100" s="92" t="str" cm="1">
        <f t="array" ref="G100">INDEX($E$75:$O$91,MATCH(1,($D$75:$D$91=$D100)*($C$75:$C$91=$C100),0),MATCH(G$52,$E$52:$O$52,0))</f>
        <v>-</v>
      </c>
      <c r="H100" s="92" t="str" cm="1">
        <f t="array" ref="H100">INDEX($E$75:$O$91,MATCH(1,($D$75:$D$91=$D100)*($C$75:$C$91=$C100),0),MATCH(H$52,$E$52:$O$52,0))</f>
        <v>-</v>
      </c>
      <c r="I100" s="92" t="str" cm="1">
        <f t="array" ref="I100">INDEX($E$75:$O$91,MATCH(1,($D$75:$D$91=$D100)*($C$75:$C$91=$C100),0),MATCH(I$52,$E$52:$O$52,0))</f>
        <v>-</v>
      </c>
      <c r="J100" s="92" t="str" cm="1">
        <f t="array" ref="J100">INDEX($E$75:$O$91,MATCH(1,($D$75:$D$91=$D100)*($C$75:$C$91=$C100),0),MATCH(J$52,$E$52:$O$52,0))</f>
        <v>-</v>
      </c>
      <c r="K100" s="92" t="str" cm="1">
        <f t="array" ref="K100">INDEX($E$75:$O$91,MATCH(1,($D$75:$D$91=$D100)*($C$75:$C$91=$C100),0),MATCH(K$52,$E$52:$O$52,0))</f>
        <v>-</v>
      </c>
      <c r="L100" s="92" t="str" cm="1">
        <f t="array" ref="L100">INDEX($E$75:$O$91,MATCH(1,($D$75:$D$91=$D100)*($C$75:$C$91=$C100),0),MATCH(L$52,$E$52:$O$52,0))</f>
        <v>-</v>
      </c>
      <c r="M100" s="92" t="str" cm="1">
        <f t="array" ref="M100">INDEX($E$75:$O$91,MATCH(1,($D$75:$D$91=$D100)*($C$75:$C$91=$C100),0),MATCH(M$52,$E$52:$O$52,0))</f>
        <v>-</v>
      </c>
      <c r="N100" s="92" t="str" cm="1">
        <f t="array" ref="N100">INDEX($E$75:$O$91,MATCH(1,($D$75:$D$91=$D100)*($C$75:$C$91=$C100),0),MATCH(N$52,$E$52:$O$52,0))</f>
        <v>-</v>
      </c>
      <c r="O100" s="92" t="str" cm="1">
        <f t="array" ref="O100">INDEX($E$75:$O$91,MATCH(1,($D$75:$D$91=$D100)*($C$75:$C$91=$C100),0),MATCH(O$52,$E$52:$O$52,0))</f>
        <v>-</v>
      </c>
      <c r="Q100" s="109"/>
    </row>
    <row r="101" spans="3:19">
      <c r="C101" t="s">
        <v>62</v>
      </c>
      <c r="D101" s="168" t="str">
        <f t="shared" si="11"/>
        <v>VDO 2021 Variation - Final</v>
      </c>
      <c r="E101" s="92" t="str" cm="1">
        <f t="array" ref="E101">INDEX($E$75:$O$91,MATCH(1,($D$75:$D$91=$D101)*($C$75:$C$91=$C101),0),MATCH(E$52,$E$52:$O$52,0))</f>
        <v>-</v>
      </c>
      <c r="F101" s="92" t="str" cm="1">
        <f t="array" ref="F101">INDEX($E$75:$O$91,MATCH(1,($D$75:$D$91=$D101)*($C$75:$C$91=$C101),0),MATCH(F$52,$E$52:$O$52,0))</f>
        <v>-</v>
      </c>
      <c r="G101" s="92" t="str" cm="1">
        <f t="array" ref="G101">INDEX($E$75:$O$91,MATCH(1,($D$75:$D$91=$D101)*($C$75:$C$91=$C101),0),MATCH(G$52,$E$52:$O$52,0))</f>
        <v>-</v>
      </c>
      <c r="H101" s="92" t="str" cm="1">
        <f t="array" ref="H101">INDEX($E$75:$O$91,MATCH(1,($D$75:$D$91=$D101)*($C$75:$C$91=$C101),0),MATCH(H$52,$E$52:$O$52,0))</f>
        <v>-</v>
      </c>
      <c r="I101" s="92" t="str" cm="1">
        <f t="array" ref="I101">INDEX($E$75:$O$91,MATCH(1,($D$75:$D$91=$D101)*($C$75:$C$91=$C101),0),MATCH(I$52,$E$52:$O$52,0))</f>
        <v>-</v>
      </c>
      <c r="J101" s="92" t="str" cm="1">
        <f t="array" ref="J101">INDEX($E$75:$O$91,MATCH(1,($D$75:$D$91=$D101)*($C$75:$C$91=$C101),0),MATCH(J$52,$E$52:$O$52,0))</f>
        <v>-</v>
      </c>
      <c r="K101" s="92" t="str" cm="1">
        <f t="array" ref="K101">INDEX($E$75:$O$91,MATCH(1,($D$75:$D$91=$D101)*($C$75:$C$91=$C101),0),MATCH(K$52,$E$52:$O$52,0))</f>
        <v>-</v>
      </c>
      <c r="L101" s="92" t="str" cm="1">
        <f t="array" ref="L101">INDEX($E$75:$O$91,MATCH(1,($D$75:$D$91=$D101)*($C$75:$C$91=$C101),0),MATCH(L$52,$E$52:$O$52,0))</f>
        <v>-</v>
      </c>
      <c r="M101" s="92" t="str" cm="1">
        <f t="array" ref="M101">INDEX($E$75:$O$91,MATCH(1,($D$75:$D$91=$D101)*($C$75:$C$91=$C101),0),MATCH(M$52,$E$52:$O$52,0))</f>
        <v>-</v>
      </c>
      <c r="N101" s="92" t="str" cm="1">
        <f t="array" ref="N101">INDEX($E$75:$O$91,MATCH(1,($D$75:$D$91=$D101)*($C$75:$C$91=$C101),0),MATCH(N$52,$E$52:$O$52,0))</f>
        <v>-</v>
      </c>
      <c r="O101" s="92" t="str" cm="1">
        <f t="array" ref="O101">INDEX($E$75:$O$91,MATCH(1,($D$75:$D$91=$D101)*($C$75:$C$91=$C101),0),MATCH(O$52,$E$52:$O$52,0))</f>
        <v>-</v>
      </c>
      <c r="Q101" s="109"/>
    </row>
    <row r="102" spans="3:19">
      <c r="C102" t="s">
        <v>465</v>
      </c>
      <c r="D102" s="168" t="str">
        <f t="shared" si="11"/>
        <v>VDO 2021 Variation - Final</v>
      </c>
      <c r="E102" s="92" t="str" cm="1">
        <f t="array" ref="E102">INDEX($E$75:$O$91,MATCH(1,($D$75:$D$91=$D102)*($C$75:$C$91=$C102),0),MATCH(E$52,$E$52:$O$52,0))</f>
        <v>-</v>
      </c>
      <c r="F102" s="92" t="str" cm="1">
        <f t="array" ref="F102">INDEX($E$75:$O$91,MATCH(1,($D$75:$D$91=$D102)*($C$75:$C$91=$C102),0),MATCH(F$52,$E$52:$O$52,0))</f>
        <v>-</v>
      </c>
      <c r="G102" s="92" t="str" cm="1">
        <f t="array" ref="G102">INDEX($E$75:$O$91,MATCH(1,($D$75:$D$91=$D102)*($C$75:$C$91=$C102),0),MATCH(G$52,$E$52:$O$52,0))</f>
        <v>-</v>
      </c>
      <c r="H102" s="92" t="str" cm="1">
        <f t="array" ref="H102">INDEX($E$75:$O$91,MATCH(1,($D$75:$D$91=$D102)*($C$75:$C$91=$C102),0),MATCH(H$52,$E$52:$O$52,0))</f>
        <v>-</v>
      </c>
      <c r="I102" s="92" t="str" cm="1">
        <f t="array" ref="I102">INDEX($E$75:$O$91,MATCH(1,($D$75:$D$91=$D102)*($C$75:$C$91=$C102),0),MATCH(I$52,$E$52:$O$52,0))</f>
        <v>-</v>
      </c>
      <c r="J102" s="92" t="str" cm="1">
        <f t="array" ref="J102">INDEX($E$75:$O$91,MATCH(1,($D$75:$D$91=$D102)*($C$75:$C$91=$C102),0),MATCH(J$52,$E$52:$O$52,0))</f>
        <v>-</v>
      </c>
      <c r="K102" s="92" t="str" cm="1">
        <f t="array" ref="K102">INDEX($E$75:$O$91,MATCH(1,($D$75:$D$91=$D102)*($C$75:$C$91=$C102),0),MATCH(K$52,$E$52:$O$52,0))</f>
        <v>-</v>
      </c>
      <c r="L102" s="92" t="str" cm="1">
        <f t="array" ref="L102">INDEX($E$75:$O$91,MATCH(1,($D$75:$D$91=$D102)*($C$75:$C$91=$C102),0),MATCH(L$52,$E$52:$O$52,0))</f>
        <v>-</v>
      </c>
      <c r="M102" s="92" t="str" cm="1">
        <f t="array" ref="M102">INDEX($E$75:$O$91,MATCH(1,($D$75:$D$91=$D102)*($C$75:$C$91=$C102),0),MATCH(M$52,$E$52:$O$52,0))</f>
        <v>-</v>
      </c>
      <c r="N102" s="92" t="str" cm="1">
        <f t="array" ref="N102">INDEX($E$75:$O$91,MATCH(1,($D$75:$D$91=$D102)*($C$75:$C$91=$C102),0),MATCH(N$52,$E$52:$O$52,0))</f>
        <v>-</v>
      </c>
      <c r="O102" s="92" t="str" cm="1">
        <f t="array" ref="O102">INDEX($E$75:$O$91,MATCH(1,($D$75:$D$91=$D102)*($C$75:$C$91=$C102),0),MATCH(O$52,$E$52:$O$52,0))</f>
        <v>-</v>
      </c>
      <c r="Q102" s="109"/>
    </row>
    <row r="103" spans="3:19">
      <c r="E103" s="162"/>
      <c r="K103" s="108"/>
      <c r="Q103" s="109"/>
    </row>
    <row r="104" spans="3:19">
      <c r="E104" s="162"/>
      <c r="K104" s="108"/>
      <c r="Q104" s="109"/>
    </row>
    <row r="105" spans="3:19">
      <c r="C105" t="s">
        <v>58</v>
      </c>
      <c r="D105" s="75" t="str">
        <f>Calc_Rates!$D$266</f>
        <v>VDO 2022-23 - Final</v>
      </c>
      <c r="E105" s="163" t="e">
        <f>IF($D$50="Residential",
INDEX(#REF!,MATCH(CH_CostElements_Anytime!E$52,#REF!,0),MATCH(CH_CostElements_Anytime!$C105,#REF!,0)),
IF($D$50="Small business",
INDEX(#REF!,MATCH(CH_CostElements_Anytime!E$52,#REF!,0),MATCH(CH_CostElements_Anytime!$C105,#REF!,0)),
IF($D$50="All","-")))</f>
        <v>#REF!</v>
      </c>
      <c r="F105" s="113" t="e">
        <f>IF($D$50="Residential",
INDEX(#REF!,MATCH(CH_CostElements_Anytime!F$52,#REF!,0),MATCH(CH_CostElements_Anytime!$C105,#REF!,0)),
IF($D$50="Small business",
INDEX(#REF!,MATCH(CH_CostElements_Anytime!F$52,#REF!,0),MATCH(CH_CostElements_Anytime!$C105,#REF!,0)),
IF($D$50="All","-")))</f>
        <v>#REF!</v>
      </c>
      <c r="G105" s="113" t="e">
        <f>IF($D$50="Residential",
INDEX(#REF!,MATCH(CH_CostElements_Anytime!G$52,#REF!,0),MATCH(CH_CostElements_Anytime!$C105,#REF!,0)),
IF($D$50="Small business",
INDEX(#REF!,MATCH(CH_CostElements_Anytime!G$52,#REF!,0),MATCH(CH_CostElements_Anytime!$C105,#REF!,0)),
IF($D$50="All","-")))</f>
        <v>#REF!</v>
      </c>
      <c r="H105" s="113" t="e">
        <f>IF($D$50="Residential",
INDEX(#REF!,MATCH(CH_CostElements_Anytime!H$52,#REF!,0),MATCH(CH_CostElements_Anytime!$C105,#REF!,0)),
IF($D$50="Small business",
INDEX(#REF!,MATCH(CH_CostElements_Anytime!H$52,#REF!,0),MATCH(CH_CostElements_Anytime!$C105,#REF!,0)),
IF($D$50="All","-")))</f>
        <v>#REF!</v>
      </c>
      <c r="I105" s="113" t="e">
        <f>IF($D$50="Residential",
INDEX(#REF!,MATCH(CH_CostElements_Anytime!I$52,#REF!,0),MATCH(CH_CostElements_Anytime!$C105,#REF!,0)),
IF($D$50="Small business",
INDEX(#REF!,MATCH(CH_CostElements_Anytime!I$52,#REF!,0),MATCH(CH_CostElements_Anytime!$C105,#REF!,0)),
IF($D$50="All","-")))</f>
        <v>#REF!</v>
      </c>
      <c r="J105" s="113" t="e">
        <f>IF($D$50="Residential",
INDEX(#REF!,MATCH(CH_CostElements_Anytime!J$52,#REF!,0),MATCH(CH_CostElements_Anytime!$C105,#REF!,0)),
IF($D$50="Small business",
INDEX(#REF!,MATCH(CH_CostElements_Anytime!J$52,#REF!,0),MATCH(CH_CostElements_Anytime!$C105,#REF!,0)),
IF($D$50="All","-")))</f>
        <v>#REF!</v>
      </c>
      <c r="K105" s="114" t="e">
        <f>IF($D$50="Residential",
INDEX(#REF!,MATCH(CH_CostElements_Anytime!K$52,#REF!,0),MATCH(CH_CostElements_Anytime!$C105,#REF!,0)),
IF($D$50="Small business",
INDEX(#REF!,MATCH(CH_CostElements_Anytime!K$52,#REF!,0),MATCH(CH_CostElements_Anytime!$C105,#REF!,0)),
IF($D$50="All","-")))</f>
        <v>#REF!</v>
      </c>
      <c r="L105" s="113" t="e">
        <f>IF($D$50="Residential",
INDEX(#REF!,MATCH(CH_CostElements_Anytime!L$52,#REF!,0),MATCH(CH_CostElements_Anytime!$C105,#REF!,0)),
IF($D$50="Small business",
INDEX(#REF!,MATCH(CH_CostElements_Anytime!L$52,#REF!,0),MATCH(CH_CostElements_Anytime!$C105,#REF!,0)),
IF($D$50="All","-")))</f>
        <v>#REF!</v>
      </c>
      <c r="M105" s="113" t="e">
        <f>IF($D$50="Residential",
INDEX(#REF!,MATCH(CH_CostElements_Anytime!M$52,#REF!,0),MATCH(CH_CostElements_Anytime!$C105,#REF!,0)),
IF($D$50="Small business",
INDEX(#REF!,MATCH(CH_CostElements_Anytime!M$52,#REF!,0),MATCH(CH_CostElements_Anytime!$C105,#REF!,0)),
IF($D$50="All","-")))</f>
        <v>#REF!</v>
      </c>
      <c r="N105" s="113" t="e">
        <f>IF($D$50="Residential",
INDEX(#REF!,MATCH(CH_CostElements_Anytime!N$52,#REF!,0),MATCH(CH_CostElements_Anytime!$C105,#REF!,0)),
IF($D$50="Small business",
INDEX(#REF!,MATCH(CH_CostElements_Anytime!N$52,#REF!,0),MATCH(CH_CostElements_Anytime!$C105,#REF!,0)),
IF($D$50="All","-")))</f>
        <v>#REF!</v>
      </c>
      <c r="O105" s="113" t="e">
        <f>IF($D$50="Residential",
INDEX(#REF!,MATCH(CH_CostElements_Anytime!O$52,#REF!,0),MATCH(CH_CostElements_Anytime!$C105,#REF!,0)),
IF($D$50="Small business",
INDEX(#REF!,MATCH(CH_CostElements_Anytime!O$52,#REF!,0),MATCH(CH_CostElements_Anytime!$C105,#REF!,0)),
IF($D$50="All","-")))</f>
        <v>#REF!</v>
      </c>
      <c r="Q105" s="166" t="e">
        <f>IF(ROUND(E105,8)=ROUND(SUM(F105:O105),8),0,1)</f>
        <v>#REF!</v>
      </c>
    </row>
    <row r="106" spans="3:19">
      <c r="C106" t="s">
        <v>59</v>
      </c>
      <c r="D106" s="75" t="str">
        <f>Calc_Rates!$D$266</f>
        <v>VDO 2022-23 - Final</v>
      </c>
      <c r="E106" s="163" t="e">
        <f>IF($D$50="Residential",
INDEX(#REF!,MATCH(CH_CostElements_Anytime!E$52,#REF!,0),MATCH(CH_CostElements_Anytime!$C106,#REF!,0)),
IF($D$50="Small business",
INDEX(#REF!,MATCH(CH_CostElements_Anytime!E$52,#REF!,0),MATCH(CH_CostElements_Anytime!$C106,#REF!,0)),
IF($D$50="All","-")))</f>
        <v>#REF!</v>
      </c>
      <c r="F106" s="113" t="e">
        <f>IF($D$50="Residential",
INDEX(#REF!,MATCH(CH_CostElements_Anytime!F$52,#REF!,0),MATCH(CH_CostElements_Anytime!$C106,#REF!,0)),
IF($D$50="Small business",
INDEX(#REF!,MATCH(CH_CostElements_Anytime!F$52,#REF!,0),MATCH(CH_CostElements_Anytime!$C106,#REF!,0)),
IF($D$50="All","-")))</f>
        <v>#REF!</v>
      </c>
      <c r="G106" s="113" t="e">
        <f>IF($D$50="Residential",
INDEX(#REF!,MATCH(CH_CostElements_Anytime!G$52,#REF!,0),MATCH(CH_CostElements_Anytime!$C106,#REF!,0)),
IF($D$50="Small business",
INDEX(#REF!,MATCH(CH_CostElements_Anytime!G$52,#REF!,0),MATCH(CH_CostElements_Anytime!$C106,#REF!,0)),
IF($D$50="All","-")))</f>
        <v>#REF!</v>
      </c>
      <c r="H106" s="113" t="e">
        <f>IF($D$50="Residential",
INDEX(#REF!,MATCH(CH_CostElements_Anytime!H$52,#REF!,0),MATCH(CH_CostElements_Anytime!$C106,#REF!,0)),
IF($D$50="Small business",
INDEX(#REF!,MATCH(CH_CostElements_Anytime!H$52,#REF!,0),MATCH(CH_CostElements_Anytime!$C106,#REF!,0)),
IF($D$50="All","-")))</f>
        <v>#REF!</v>
      </c>
      <c r="I106" s="113" t="e">
        <f>IF($D$50="Residential",
INDEX(#REF!,MATCH(CH_CostElements_Anytime!I$52,#REF!,0),MATCH(CH_CostElements_Anytime!$C106,#REF!,0)),
IF($D$50="Small business",
INDEX(#REF!,MATCH(CH_CostElements_Anytime!I$52,#REF!,0),MATCH(CH_CostElements_Anytime!$C106,#REF!,0)),
IF($D$50="All","-")))</f>
        <v>#REF!</v>
      </c>
      <c r="J106" s="113" t="e">
        <f>IF($D$50="Residential",
INDEX(#REF!,MATCH(CH_CostElements_Anytime!J$52,#REF!,0),MATCH(CH_CostElements_Anytime!$C106,#REF!,0)),
IF($D$50="Small business",
INDEX(#REF!,MATCH(CH_CostElements_Anytime!J$52,#REF!,0),MATCH(CH_CostElements_Anytime!$C106,#REF!,0)),
IF($D$50="All","-")))</f>
        <v>#REF!</v>
      </c>
      <c r="K106" s="114" t="e">
        <f>IF($D$50="Residential",
INDEX(#REF!,MATCH(CH_CostElements_Anytime!K$52,#REF!,0),MATCH(CH_CostElements_Anytime!$C106,#REF!,0)),
IF($D$50="Small business",
INDEX(#REF!,MATCH(CH_CostElements_Anytime!K$52,#REF!,0),MATCH(CH_CostElements_Anytime!$C106,#REF!,0)),
IF($D$50="All","-")))</f>
        <v>#REF!</v>
      </c>
      <c r="L106" s="113" t="e">
        <f>IF($D$50="Residential",
INDEX(#REF!,MATCH(CH_CostElements_Anytime!L$52,#REF!,0),MATCH(CH_CostElements_Anytime!$C106,#REF!,0)),
IF($D$50="Small business",
INDEX(#REF!,MATCH(CH_CostElements_Anytime!L$52,#REF!,0),MATCH(CH_CostElements_Anytime!$C106,#REF!,0)),
IF($D$50="All","-")))</f>
        <v>#REF!</v>
      </c>
      <c r="M106" s="113" t="e">
        <f>IF($D$50="Residential",
INDEX(#REF!,MATCH(CH_CostElements_Anytime!M$52,#REF!,0),MATCH(CH_CostElements_Anytime!$C106,#REF!,0)),
IF($D$50="Small business",
INDEX(#REF!,MATCH(CH_CostElements_Anytime!M$52,#REF!,0),MATCH(CH_CostElements_Anytime!$C106,#REF!,0)),
IF($D$50="All","-")))</f>
        <v>#REF!</v>
      </c>
      <c r="N106" s="113" t="e">
        <f>IF($D$50="Residential",
INDEX(#REF!,MATCH(CH_CostElements_Anytime!N$52,#REF!,0),MATCH(CH_CostElements_Anytime!$C106,#REF!,0)),
IF($D$50="Small business",
INDEX(#REF!,MATCH(CH_CostElements_Anytime!N$52,#REF!,0),MATCH(CH_CostElements_Anytime!$C106,#REF!,0)),
IF($D$50="All","-")))</f>
        <v>#REF!</v>
      </c>
      <c r="O106" s="113" t="e">
        <f>IF($D$50="Residential",
INDEX(#REF!,MATCH(CH_CostElements_Anytime!O$52,#REF!,0),MATCH(CH_CostElements_Anytime!$C106,#REF!,0)),
IF($D$50="Small business",
INDEX(#REF!,MATCH(CH_CostElements_Anytime!O$52,#REF!,0),MATCH(CH_CostElements_Anytime!$C106,#REF!,0)),
IF($D$50="All","-")))</f>
        <v>#REF!</v>
      </c>
      <c r="Q106" s="166" t="e">
        <f t="shared" ref="Q106:Q110" si="12">IF(ROUND(E106,8)=ROUND(SUM(F106:O106),8),0,1)</f>
        <v>#REF!</v>
      </c>
    </row>
    <row r="107" spans="3:19">
      <c r="C107" t="s">
        <v>60</v>
      </c>
      <c r="D107" s="75" t="str">
        <f>Calc_Rates!$D$266</f>
        <v>VDO 2022-23 - Final</v>
      </c>
      <c r="E107" s="163" t="e">
        <f>IF($D$50="Residential",
INDEX(#REF!,MATCH(CH_CostElements_Anytime!E$52,#REF!,0),MATCH(CH_CostElements_Anytime!$C107,#REF!,0)),
IF($D$50="Small business",
INDEX(#REF!,MATCH(CH_CostElements_Anytime!E$52,#REF!,0),MATCH(CH_CostElements_Anytime!$C107,#REF!,0)),
IF($D$50="All","-")))</f>
        <v>#REF!</v>
      </c>
      <c r="F107" s="113" t="e">
        <f>IF($D$50="Residential",
INDEX(#REF!,MATCH(CH_CostElements_Anytime!F$52,#REF!,0),MATCH(CH_CostElements_Anytime!$C107,#REF!,0)),
IF($D$50="Small business",
INDEX(#REF!,MATCH(CH_CostElements_Anytime!F$52,#REF!,0),MATCH(CH_CostElements_Anytime!$C107,#REF!,0)),
IF($D$50="All","-")))</f>
        <v>#REF!</v>
      </c>
      <c r="G107" s="113" t="e">
        <f>IF($D$50="Residential",
INDEX(#REF!,MATCH(CH_CostElements_Anytime!G$52,#REF!,0),MATCH(CH_CostElements_Anytime!$C107,#REF!,0)),
IF($D$50="Small business",
INDEX(#REF!,MATCH(CH_CostElements_Anytime!G$52,#REF!,0),MATCH(CH_CostElements_Anytime!$C107,#REF!,0)),
IF($D$50="All","-")))</f>
        <v>#REF!</v>
      </c>
      <c r="H107" s="113" t="e">
        <f>IF($D$50="Residential",
INDEX(#REF!,MATCH(CH_CostElements_Anytime!H$52,#REF!,0),MATCH(CH_CostElements_Anytime!$C107,#REF!,0)),
IF($D$50="Small business",
INDEX(#REF!,MATCH(CH_CostElements_Anytime!H$52,#REF!,0),MATCH(CH_CostElements_Anytime!$C107,#REF!,0)),
IF($D$50="All","-")))</f>
        <v>#REF!</v>
      </c>
      <c r="I107" s="113" t="e">
        <f>IF($D$50="Residential",
INDEX(#REF!,MATCH(CH_CostElements_Anytime!I$52,#REF!,0),MATCH(CH_CostElements_Anytime!$C107,#REF!,0)),
IF($D$50="Small business",
INDEX(#REF!,MATCH(CH_CostElements_Anytime!I$52,#REF!,0),MATCH(CH_CostElements_Anytime!$C107,#REF!,0)),
IF($D$50="All","-")))</f>
        <v>#REF!</v>
      </c>
      <c r="J107" s="113" t="e">
        <f>IF($D$50="Residential",
INDEX(#REF!,MATCH(CH_CostElements_Anytime!J$52,#REF!,0),MATCH(CH_CostElements_Anytime!$C107,#REF!,0)),
IF($D$50="Small business",
INDEX(#REF!,MATCH(CH_CostElements_Anytime!J$52,#REF!,0),MATCH(CH_CostElements_Anytime!$C107,#REF!,0)),
IF($D$50="All","-")))</f>
        <v>#REF!</v>
      </c>
      <c r="K107" s="114" t="e">
        <f>IF($D$50="Residential",
INDEX(#REF!,MATCH(CH_CostElements_Anytime!K$52,#REF!,0),MATCH(CH_CostElements_Anytime!$C107,#REF!,0)),
IF($D$50="Small business",
INDEX(#REF!,MATCH(CH_CostElements_Anytime!K$52,#REF!,0),MATCH(CH_CostElements_Anytime!$C107,#REF!,0)),
IF($D$50="All","-")))</f>
        <v>#REF!</v>
      </c>
      <c r="L107" s="113" t="e">
        <f>IF($D$50="Residential",
INDEX(#REF!,MATCH(CH_CostElements_Anytime!L$52,#REF!,0),MATCH(CH_CostElements_Anytime!$C107,#REF!,0)),
IF($D$50="Small business",
INDEX(#REF!,MATCH(CH_CostElements_Anytime!L$52,#REF!,0),MATCH(CH_CostElements_Anytime!$C107,#REF!,0)),
IF($D$50="All","-")))</f>
        <v>#REF!</v>
      </c>
      <c r="M107" s="113" t="e">
        <f>IF($D$50="Residential",
INDEX(#REF!,MATCH(CH_CostElements_Anytime!M$52,#REF!,0),MATCH(CH_CostElements_Anytime!$C107,#REF!,0)),
IF($D$50="Small business",
INDEX(#REF!,MATCH(CH_CostElements_Anytime!M$52,#REF!,0),MATCH(CH_CostElements_Anytime!$C107,#REF!,0)),
IF($D$50="All","-")))</f>
        <v>#REF!</v>
      </c>
      <c r="N107" s="113" t="e">
        <f>IF($D$50="Residential",
INDEX(#REF!,MATCH(CH_CostElements_Anytime!N$52,#REF!,0),MATCH(CH_CostElements_Anytime!$C107,#REF!,0)),
IF($D$50="Small business",
INDEX(#REF!,MATCH(CH_CostElements_Anytime!N$52,#REF!,0),MATCH(CH_CostElements_Anytime!$C107,#REF!,0)),
IF($D$50="All","-")))</f>
        <v>#REF!</v>
      </c>
      <c r="O107" s="113" t="e">
        <f>IF($D$50="Residential",
INDEX(#REF!,MATCH(CH_CostElements_Anytime!O$52,#REF!,0),MATCH(CH_CostElements_Anytime!$C107,#REF!,0)),
IF($D$50="Small business",
INDEX(#REF!,MATCH(CH_CostElements_Anytime!O$52,#REF!,0),MATCH(CH_CostElements_Anytime!$C107,#REF!,0)),
IF($D$50="All","-")))</f>
        <v>#REF!</v>
      </c>
      <c r="Q107" s="166" t="e">
        <f t="shared" si="12"/>
        <v>#REF!</v>
      </c>
    </row>
    <row r="108" spans="3:19">
      <c r="C108" t="s">
        <v>61</v>
      </c>
      <c r="D108" s="75" t="str">
        <f>Calc_Rates!$D$266</f>
        <v>VDO 2022-23 - Final</v>
      </c>
      <c r="E108" s="163" t="e">
        <f>IF($D$50="Residential",
INDEX(#REF!,MATCH(CH_CostElements_Anytime!E$52,#REF!,0),MATCH(CH_CostElements_Anytime!$C108,#REF!,0)),
IF($D$50="Small business",
INDEX(#REF!,MATCH(CH_CostElements_Anytime!E$52,#REF!,0),MATCH(CH_CostElements_Anytime!$C108,#REF!,0)),
IF($D$50="All","-")))</f>
        <v>#REF!</v>
      </c>
      <c r="F108" s="113" t="e">
        <f>IF($D$50="Residential",
INDEX(#REF!,MATCH(CH_CostElements_Anytime!F$52,#REF!,0),MATCH(CH_CostElements_Anytime!$C108,#REF!,0)),
IF($D$50="Small business",
INDEX(#REF!,MATCH(CH_CostElements_Anytime!F$52,#REF!,0),MATCH(CH_CostElements_Anytime!$C108,#REF!,0)),
IF($D$50="All","-")))</f>
        <v>#REF!</v>
      </c>
      <c r="G108" s="113" t="e">
        <f>IF($D$50="Residential",
INDEX(#REF!,MATCH(CH_CostElements_Anytime!G$52,#REF!,0),MATCH(CH_CostElements_Anytime!$C108,#REF!,0)),
IF($D$50="Small business",
INDEX(#REF!,MATCH(CH_CostElements_Anytime!G$52,#REF!,0),MATCH(CH_CostElements_Anytime!$C108,#REF!,0)),
IF($D$50="All","-")))</f>
        <v>#REF!</v>
      </c>
      <c r="H108" s="113" t="e">
        <f>IF($D$50="Residential",
INDEX(#REF!,MATCH(CH_CostElements_Anytime!H$52,#REF!,0),MATCH(CH_CostElements_Anytime!$C108,#REF!,0)),
IF($D$50="Small business",
INDEX(#REF!,MATCH(CH_CostElements_Anytime!H$52,#REF!,0),MATCH(CH_CostElements_Anytime!$C108,#REF!,0)),
IF($D$50="All","-")))</f>
        <v>#REF!</v>
      </c>
      <c r="I108" s="113" t="e">
        <f>IF($D$50="Residential",
INDEX(#REF!,MATCH(CH_CostElements_Anytime!I$52,#REF!,0),MATCH(CH_CostElements_Anytime!$C108,#REF!,0)),
IF($D$50="Small business",
INDEX(#REF!,MATCH(CH_CostElements_Anytime!I$52,#REF!,0),MATCH(CH_CostElements_Anytime!$C108,#REF!,0)),
IF($D$50="All","-")))</f>
        <v>#REF!</v>
      </c>
      <c r="J108" s="113" t="e">
        <f>IF($D$50="Residential",
INDEX(#REF!,MATCH(CH_CostElements_Anytime!J$52,#REF!,0),MATCH(CH_CostElements_Anytime!$C108,#REF!,0)),
IF($D$50="Small business",
INDEX(#REF!,MATCH(CH_CostElements_Anytime!J$52,#REF!,0),MATCH(CH_CostElements_Anytime!$C108,#REF!,0)),
IF($D$50="All","-")))</f>
        <v>#REF!</v>
      </c>
      <c r="K108" s="114" t="e">
        <f>IF($D$50="Residential",
INDEX(#REF!,MATCH(CH_CostElements_Anytime!K$52,#REF!,0),MATCH(CH_CostElements_Anytime!$C108,#REF!,0)),
IF($D$50="Small business",
INDEX(#REF!,MATCH(CH_CostElements_Anytime!K$52,#REF!,0),MATCH(CH_CostElements_Anytime!$C108,#REF!,0)),
IF($D$50="All","-")))</f>
        <v>#REF!</v>
      </c>
      <c r="L108" s="113" t="e">
        <f>IF($D$50="Residential",
INDEX(#REF!,MATCH(CH_CostElements_Anytime!L$52,#REF!,0),MATCH(CH_CostElements_Anytime!$C108,#REF!,0)),
IF($D$50="Small business",
INDEX(#REF!,MATCH(CH_CostElements_Anytime!L$52,#REF!,0),MATCH(CH_CostElements_Anytime!$C108,#REF!,0)),
IF($D$50="All","-")))</f>
        <v>#REF!</v>
      </c>
      <c r="M108" s="113" t="e">
        <f>IF($D$50="Residential",
INDEX(#REF!,MATCH(CH_CostElements_Anytime!M$52,#REF!,0),MATCH(CH_CostElements_Anytime!$C108,#REF!,0)),
IF($D$50="Small business",
INDEX(#REF!,MATCH(CH_CostElements_Anytime!M$52,#REF!,0),MATCH(CH_CostElements_Anytime!$C108,#REF!,0)),
IF($D$50="All","-")))</f>
        <v>#REF!</v>
      </c>
      <c r="N108" s="113" t="e">
        <f>IF($D$50="Residential",
INDEX(#REF!,MATCH(CH_CostElements_Anytime!N$52,#REF!,0),MATCH(CH_CostElements_Anytime!$C108,#REF!,0)),
IF($D$50="Small business",
INDEX(#REF!,MATCH(CH_CostElements_Anytime!N$52,#REF!,0),MATCH(CH_CostElements_Anytime!$C108,#REF!,0)),
IF($D$50="All","-")))</f>
        <v>#REF!</v>
      </c>
      <c r="O108" s="113" t="e">
        <f>IF($D$50="Residential",
INDEX(#REF!,MATCH(CH_CostElements_Anytime!O$52,#REF!,0),MATCH(CH_CostElements_Anytime!$C108,#REF!,0)),
IF($D$50="Small business",
INDEX(#REF!,MATCH(CH_CostElements_Anytime!O$52,#REF!,0),MATCH(CH_CostElements_Anytime!$C108,#REF!,0)),
IF($D$50="All","-")))</f>
        <v>#REF!</v>
      </c>
      <c r="Q108" s="166" t="e">
        <f t="shared" si="12"/>
        <v>#REF!</v>
      </c>
    </row>
    <row r="109" spans="3:19">
      <c r="C109" t="s">
        <v>62</v>
      </c>
      <c r="D109" s="75" t="str">
        <f>Calc_Rates!$D$266</f>
        <v>VDO 2022-23 - Final</v>
      </c>
      <c r="E109" s="163" t="e">
        <f>IF($D$50="Residential",
INDEX(#REF!,MATCH(CH_CostElements_Anytime!E$52,#REF!,0),MATCH(CH_CostElements_Anytime!$C109,#REF!,0)),
IF($D$50="Small business",
INDEX(#REF!,MATCH(CH_CostElements_Anytime!E$52,#REF!,0),MATCH(CH_CostElements_Anytime!$C109,#REF!,0)),
IF($D$50="All","-")))</f>
        <v>#REF!</v>
      </c>
      <c r="F109" s="113" t="e">
        <f>IF($D$50="Residential",
INDEX(#REF!,MATCH(CH_CostElements_Anytime!F$52,#REF!,0),MATCH(CH_CostElements_Anytime!$C109,#REF!,0)),
IF($D$50="Small business",
INDEX(#REF!,MATCH(CH_CostElements_Anytime!F$52,#REF!,0),MATCH(CH_CostElements_Anytime!$C109,#REF!,0)),
IF($D$50="All","-")))</f>
        <v>#REF!</v>
      </c>
      <c r="G109" s="113" t="e">
        <f>IF($D$50="Residential",
INDEX(#REF!,MATCH(CH_CostElements_Anytime!G$52,#REF!,0),MATCH(CH_CostElements_Anytime!$C109,#REF!,0)),
IF($D$50="Small business",
INDEX(#REF!,MATCH(CH_CostElements_Anytime!G$52,#REF!,0),MATCH(CH_CostElements_Anytime!$C109,#REF!,0)),
IF($D$50="All","-")))</f>
        <v>#REF!</v>
      </c>
      <c r="H109" s="113" t="e">
        <f>IF($D$50="Residential",
INDEX(#REF!,MATCH(CH_CostElements_Anytime!H$52,#REF!,0),MATCH(CH_CostElements_Anytime!$C109,#REF!,0)),
IF($D$50="Small business",
INDEX(#REF!,MATCH(CH_CostElements_Anytime!H$52,#REF!,0),MATCH(CH_CostElements_Anytime!$C109,#REF!,0)),
IF($D$50="All","-")))</f>
        <v>#REF!</v>
      </c>
      <c r="I109" s="113" t="e">
        <f>IF($D$50="Residential",
INDEX(#REF!,MATCH(CH_CostElements_Anytime!I$52,#REF!,0),MATCH(CH_CostElements_Anytime!$C109,#REF!,0)),
IF($D$50="Small business",
INDEX(#REF!,MATCH(CH_CostElements_Anytime!I$52,#REF!,0),MATCH(CH_CostElements_Anytime!$C109,#REF!,0)),
IF($D$50="All","-")))</f>
        <v>#REF!</v>
      </c>
      <c r="J109" s="113" t="e">
        <f>IF($D$50="Residential",
INDEX(#REF!,MATCH(CH_CostElements_Anytime!J$52,#REF!,0),MATCH(CH_CostElements_Anytime!$C109,#REF!,0)),
IF($D$50="Small business",
INDEX(#REF!,MATCH(CH_CostElements_Anytime!J$52,#REF!,0),MATCH(CH_CostElements_Anytime!$C109,#REF!,0)),
IF($D$50="All","-")))</f>
        <v>#REF!</v>
      </c>
      <c r="K109" s="114" t="e">
        <f>IF($D$50="Residential",
INDEX(#REF!,MATCH(CH_CostElements_Anytime!K$52,#REF!,0),MATCH(CH_CostElements_Anytime!$C109,#REF!,0)),
IF($D$50="Small business",
INDEX(#REF!,MATCH(CH_CostElements_Anytime!K$52,#REF!,0),MATCH(CH_CostElements_Anytime!$C109,#REF!,0)),
IF($D$50="All","-")))</f>
        <v>#REF!</v>
      </c>
      <c r="L109" s="113" t="e">
        <f>IF($D$50="Residential",
INDEX(#REF!,MATCH(CH_CostElements_Anytime!L$52,#REF!,0),MATCH(CH_CostElements_Anytime!$C109,#REF!,0)),
IF($D$50="Small business",
INDEX(#REF!,MATCH(CH_CostElements_Anytime!L$52,#REF!,0),MATCH(CH_CostElements_Anytime!$C109,#REF!,0)),
IF($D$50="All","-")))</f>
        <v>#REF!</v>
      </c>
      <c r="M109" s="113" t="e">
        <f>IF($D$50="Residential",
INDEX(#REF!,MATCH(CH_CostElements_Anytime!M$52,#REF!,0),MATCH(CH_CostElements_Anytime!$C109,#REF!,0)),
IF($D$50="Small business",
INDEX(#REF!,MATCH(CH_CostElements_Anytime!M$52,#REF!,0),MATCH(CH_CostElements_Anytime!$C109,#REF!,0)),
IF($D$50="All","-")))</f>
        <v>#REF!</v>
      </c>
      <c r="N109" s="113" t="e">
        <f>IF($D$50="Residential",
INDEX(#REF!,MATCH(CH_CostElements_Anytime!N$52,#REF!,0),MATCH(CH_CostElements_Anytime!$C109,#REF!,0)),
IF($D$50="Small business",
INDEX(#REF!,MATCH(CH_CostElements_Anytime!N$52,#REF!,0),MATCH(CH_CostElements_Anytime!$C109,#REF!,0)),
IF($D$50="All","-")))</f>
        <v>#REF!</v>
      </c>
      <c r="O109" s="113" t="e">
        <f>IF($D$50="Residential",
INDEX(#REF!,MATCH(CH_CostElements_Anytime!O$52,#REF!,0),MATCH(CH_CostElements_Anytime!$C109,#REF!,0)),
IF($D$50="Small business",
INDEX(#REF!,MATCH(CH_CostElements_Anytime!O$52,#REF!,0),MATCH(CH_CostElements_Anytime!$C109,#REF!,0)),
IF($D$50="All","-")))</f>
        <v>#REF!</v>
      </c>
      <c r="Q109" s="166" t="e">
        <f t="shared" si="12"/>
        <v>#REF!</v>
      </c>
      <c r="R109" s="100"/>
      <c r="S109" s="100"/>
    </row>
    <row r="110" spans="3:19">
      <c r="C110" t="s">
        <v>465</v>
      </c>
      <c r="D110" s="75" t="str">
        <f>Calc_Rates!$D$266</f>
        <v>VDO 2022-23 - Final</v>
      </c>
      <c r="E110" s="163" t="e">
        <f>IF($D$50="Residential",
INDEX(#REF!,MATCH(CH_CostElements_Anytime!E$52,#REF!,0),MATCH(CH_CostElements_Anytime!$C110,#REF!,0)),
IF($D$50="Small business",
INDEX(#REF!,MATCH(CH_CostElements_Anytime!E$52,#REF!,0),MATCH(CH_CostElements_Anytime!$C110,#REF!,0)),
IF($D$50="All","-")))</f>
        <v>#REF!</v>
      </c>
      <c r="F110" s="113" t="e">
        <f>IF($D$50="Residential",
INDEX(#REF!,MATCH(CH_CostElements_Anytime!F$52,#REF!,0),MATCH(CH_CostElements_Anytime!$C110,#REF!,0)),
IF($D$50="Small business",
INDEX(#REF!,MATCH(CH_CostElements_Anytime!F$52,#REF!,0),MATCH(CH_CostElements_Anytime!$C110,#REF!,0)),
IF($D$50="All","-")))</f>
        <v>#REF!</v>
      </c>
      <c r="G110" s="113" t="e">
        <f>IF($D$50="Residential",
INDEX(#REF!,MATCH(CH_CostElements_Anytime!G$52,#REF!,0),MATCH(CH_CostElements_Anytime!$C110,#REF!,0)),
IF($D$50="Small business",
INDEX(#REF!,MATCH(CH_CostElements_Anytime!G$52,#REF!,0),MATCH(CH_CostElements_Anytime!$C110,#REF!,0)),
IF($D$50="All","-")))</f>
        <v>#REF!</v>
      </c>
      <c r="H110" s="113" t="e">
        <f>IF($D$50="Residential",
INDEX(#REF!,MATCH(CH_CostElements_Anytime!H$52,#REF!,0),MATCH(CH_CostElements_Anytime!$C110,#REF!,0)),
IF($D$50="Small business",
INDEX(#REF!,MATCH(CH_CostElements_Anytime!H$52,#REF!,0),MATCH(CH_CostElements_Anytime!$C110,#REF!,0)),
IF($D$50="All","-")))</f>
        <v>#REF!</v>
      </c>
      <c r="I110" s="113" t="e">
        <f>IF($D$50="Residential",
INDEX(#REF!,MATCH(CH_CostElements_Anytime!I$52,#REF!,0),MATCH(CH_CostElements_Anytime!$C110,#REF!,0)),
IF($D$50="Small business",
INDEX(#REF!,MATCH(CH_CostElements_Anytime!I$52,#REF!,0),MATCH(CH_CostElements_Anytime!$C110,#REF!,0)),
IF($D$50="All","-")))</f>
        <v>#REF!</v>
      </c>
      <c r="J110" s="113" t="e">
        <f>IF($D$50="Residential",
INDEX(#REF!,MATCH(CH_CostElements_Anytime!J$52,#REF!,0),MATCH(CH_CostElements_Anytime!$C110,#REF!,0)),
IF($D$50="Small business",
INDEX(#REF!,MATCH(CH_CostElements_Anytime!J$52,#REF!,0),MATCH(CH_CostElements_Anytime!$C110,#REF!,0)),
IF($D$50="All","-")))</f>
        <v>#REF!</v>
      </c>
      <c r="K110" s="114" t="e">
        <f>IF($D$50="Residential",
INDEX(#REF!,MATCH(CH_CostElements_Anytime!K$52,#REF!,0),MATCH(CH_CostElements_Anytime!$C110,#REF!,0)),
IF($D$50="Small business",
INDEX(#REF!,MATCH(CH_CostElements_Anytime!K$52,#REF!,0),MATCH(CH_CostElements_Anytime!$C110,#REF!,0)),
IF($D$50="All","-")))</f>
        <v>#REF!</v>
      </c>
      <c r="L110" s="113" t="e">
        <f>IF($D$50="Residential",
INDEX(#REF!,MATCH(CH_CostElements_Anytime!L$52,#REF!,0),MATCH(CH_CostElements_Anytime!$C110,#REF!,0)),
IF($D$50="Small business",
INDEX(#REF!,MATCH(CH_CostElements_Anytime!L$52,#REF!,0),MATCH(CH_CostElements_Anytime!$C110,#REF!,0)),
IF($D$50="All","-")))</f>
        <v>#REF!</v>
      </c>
      <c r="M110" s="113" t="e">
        <f>IF($D$50="Residential",
INDEX(#REF!,MATCH(CH_CostElements_Anytime!M$52,#REF!,0),MATCH(CH_CostElements_Anytime!$C110,#REF!,0)),
IF($D$50="Small business",
INDEX(#REF!,MATCH(CH_CostElements_Anytime!M$52,#REF!,0),MATCH(CH_CostElements_Anytime!$C110,#REF!,0)),
IF($D$50="All","-")))</f>
        <v>#REF!</v>
      </c>
      <c r="N110" s="113" t="e">
        <f>IF($D$50="Residential",
INDEX(#REF!,MATCH(CH_CostElements_Anytime!N$52,#REF!,0),MATCH(CH_CostElements_Anytime!$C110,#REF!,0)),
IF($D$50="Small business",
INDEX(#REF!,MATCH(CH_CostElements_Anytime!N$52,#REF!,0),MATCH(CH_CostElements_Anytime!$C110,#REF!,0)),
IF($D$50="All","-")))</f>
        <v>#REF!</v>
      </c>
      <c r="O110" s="113" t="e">
        <f>IF($D$50="Residential",
INDEX(#REF!,MATCH(CH_CostElements_Anytime!O$52,#REF!,0),MATCH(CH_CostElements_Anytime!$C110,#REF!,0)),
IF($D$50="Small business",
INDEX(#REF!,MATCH(CH_CostElements_Anytime!O$52,#REF!,0),MATCH(CH_CostElements_Anytime!$C110,#REF!,0)),
IF($D$50="All","-")))</f>
        <v>#REF!</v>
      </c>
      <c r="Q110" s="166" t="e">
        <f t="shared" si="12"/>
        <v>#REF!</v>
      </c>
    </row>
    <row r="111" spans="3:19">
      <c r="E111" s="162"/>
      <c r="Q111" s="109"/>
    </row>
    <row r="112" spans="3:19">
      <c r="E112" s="162"/>
      <c r="Q112" s="109"/>
    </row>
    <row r="113" spans="3:19">
      <c r="C113" t="s">
        <v>58</v>
      </c>
      <c r="D113" t="s">
        <v>483</v>
      </c>
      <c r="E113" s="164" t="str">
        <f>IFERROR(
(E105-E97)/E97,"-")</f>
        <v>-</v>
      </c>
      <c r="F113" s="165" t="str">
        <f>IFERROR(
(F105-F97)/$E97,"-")</f>
        <v>-</v>
      </c>
      <c r="G113" s="165" t="str">
        <f t="shared" ref="G113:O113" si="13">IFERROR(
(G105-G97)/$E97,"-")</f>
        <v>-</v>
      </c>
      <c r="H113" s="165" t="str">
        <f t="shared" si="13"/>
        <v>-</v>
      </c>
      <c r="I113" s="165" t="str">
        <f t="shared" si="13"/>
        <v>-</v>
      </c>
      <c r="J113" s="165" t="str">
        <f t="shared" si="13"/>
        <v>-</v>
      </c>
      <c r="K113" s="165" t="str">
        <f t="shared" si="13"/>
        <v>-</v>
      </c>
      <c r="L113" s="165" t="str">
        <f t="shared" si="13"/>
        <v>-</v>
      </c>
      <c r="M113" s="165" t="str">
        <f t="shared" si="13"/>
        <v>-</v>
      </c>
      <c r="N113" s="165" t="str">
        <f t="shared" si="13"/>
        <v>-</v>
      </c>
      <c r="O113" s="165" t="str">
        <f t="shared" si="13"/>
        <v>-</v>
      </c>
      <c r="Q113" s="166" t="e">
        <f t="shared" ref="Q113:Q118" si="14">IF(ROUND(E113,8)=ROUND(SUM(F113:O113),8),0,1)</f>
        <v>#VALUE!</v>
      </c>
      <c r="S113" s="97"/>
    </row>
    <row r="114" spans="3:19">
      <c r="C114" t="s">
        <v>59</v>
      </c>
      <c r="D114" t="s">
        <v>483</v>
      </c>
      <c r="E114" s="164" t="str">
        <f t="shared" ref="E114:E118" si="15">IFERROR(
(E106-E98)/E98,"-")</f>
        <v>-</v>
      </c>
      <c r="F114" s="165" t="str">
        <f t="shared" ref="F114:O118" si="16">IFERROR(
(F106-F98)/$E98,"-")</f>
        <v>-</v>
      </c>
      <c r="G114" s="165" t="str">
        <f t="shared" si="16"/>
        <v>-</v>
      </c>
      <c r="H114" s="165" t="str">
        <f t="shared" si="16"/>
        <v>-</v>
      </c>
      <c r="I114" s="165" t="str">
        <f t="shared" si="16"/>
        <v>-</v>
      </c>
      <c r="J114" s="165" t="str">
        <f t="shared" si="16"/>
        <v>-</v>
      </c>
      <c r="K114" s="165" t="str">
        <f t="shared" si="16"/>
        <v>-</v>
      </c>
      <c r="L114" s="165" t="str">
        <f t="shared" si="16"/>
        <v>-</v>
      </c>
      <c r="M114" s="165" t="str">
        <f t="shared" si="16"/>
        <v>-</v>
      </c>
      <c r="N114" s="165" t="str">
        <f t="shared" si="16"/>
        <v>-</v>
      </c>
      <c r="O114" s="165" t="str">
        <f t="shared" si="16"/>
        <v>-</v>
      </c>
      <c r="Q114" s="166" t="e">
        <f t="shared" si="14"/>
        <v>#VALUE!</v>
      </c>
    </row>
    <row r="115" spans="3:19">
      <c r="C115" t="s">
        <v>60</v>
      </c>
      <c r="D115" t="s">
        <v>483</v>
      </c>
      <c r="E115" s="164" t="str">
        <f t="shared" si="15"/>
        <v>-</v>
      </c>
      <c r="F115" s="165" t="str">
        <f t="shared" si="16"/>
        <v>-</v>
      </c>
      <c r="G115" s="165" t="str">
        <f t="shared" si="16"/>
        <v>-</v>
      </c>
      <c r="H115" s="165" t="str">
        <f t="shared" si="16"/>
        <v>-</v>
      </c>
      <c r="I115" s="165" t="str">
        <f t="shared" si="16"/>
        <v>-</v>
      </c>
      <c r="J115" s="165" t="str">
        <f t="shared" si="16"/>
        <v>-</v>
      </c>
      <c r="K115" s="165" t="str">
        <f t="shared" si="16"/>
        <v>-</v>
      </c>
      <c r="L115" s="165" t="str">
        <f t="shared" si="16"/>
        <v>-</v>
      </c>
      <c r="M115" s="165" t="str">
        <f t="shared" si="16"/>
        <v>-</v>
      </c>
      <c r="N115" s="165" t="str">
        <f t="shared" si="16"/>
        <v>-</v>
      </c>
      <c r="O115" s="165" t="str">
        <f t="shared" si="16"/>
        <v>-</v>
      </c>
      <c r="Q115" s="166" t="e">
        <f t="shared" si="14"/>
        <v>#VALUE!</v>
      </c>
    </row>
    <row r="116" spans="3:19">
      <c r="C116" t="s">
        <v>61</v>
      </c>
      <c r="D116" t="s">
        <v>483</v>
      </c>
      <c r="E116" s="164" t="str">
        <f t="shared" si="15"/>
        <v>-</v>
      </c>
      <c r="F116" s="165" t="str">
        <f>IFERROR(
(F108-F100)/$E100,"-")</f>
        <v>-</v>
      </c>
      <c r="G116" s="165" t="str">
        <f t="shared" si="16"/>
        <v>-</v>
      </c>
      <c r="H116" s="165" t="str">
        <f t="shared" si="16"/>
        <v>-</v>
      </c>
      <c r="I116" s="165" t="str">
        <f t="shared" si="16"/>
        <v>-</v>
      </c>
      <c r="J116" s="165" t="str">
        <f t="shared" si="16"/>
        <v>-</v>
      </c>
      <c r="K116" s="165" t="str">
        <f t="shared" si="16"/>
        <v>-</v>
      </c>
      <c r="L116" s="165" t="str">
        <f t="shared" si="16"/>
        <v>-</v>
      </c>
      <c r="M116" s="165" t="str">
        <f t="shared" si="16"/>
        <v>-</v>
      </c>
      <c r="N116" s="165" t="str">
        <f t="shared" si="16"/>
        <v>-</v>
      </c>
      <c r="O116" s="165" t="str">
        <f t="shared" si="16"/>
        <v>-</v>
      </c>
      <c r="Q116" s="166" t="e">
        <f t="shared" si="14"/>
        <v>#VALUE!</v>
      </c>
    </row>
    <row r="117" spans="3:19">
      <c r="C117" t="s">
        <v>62</v>
      </c>
      <c r="D117" t="s">
        <v>483</v>
      </c>
      <c r="E117" s="164" t="str">
        <f t="shared" si="15"/>
        <v>-</v>
      </c>
      <c r="F117" s="165" t="str">
        <f t="shared" si="16"/>
        <v>-</v>
      </c>
      <c r="G117" s="165" t="str">
        <f t="shared" si="16"/>
        <v>-</v>
      </c>
      <c r="H117" s="165" t="str">
        <f t="shared" si="16"/>
        <v>-</v>
      </c>
      <c r="I117" s="165" t="str">
        <f t="shared" si="16"/>
        <v>-</v>
      </c>
      <c r="J117" s="165" t="str">
        <f t="shared" si="16"/>
        <v>-</v>
      </c>
      <c r="K117" s="165" t="str">
        <f t="shared" si="16"/>
        <v>-</v>
      </c>
      <c r="L117" s="165" t="str">
        <f t="shared" si="16"/>
        <v>-</v>
      </c>
      <c r="M117" s="165" t="str">
        <f t="shared" si="16"/>
        <v>-</v>
      </c>
      <c r="N117" s="165" t="str">
        <f t="shared" si="16"/>
        <v>-</v>
      </c>
      <c r="O117" s="165" t="str">
        <f t="shared" si="16"/>
        <v>-</v>
      </c>
      <c r="Q117" s="166" t="e">
        <f t="shared" si="14"/>
        <v>#VALUE!</v>
      </c>
    </row>
    <row r="118" spans="3:19">
      <c r="C118" t="s">
        <v>465</v>
      </c>
      <c r="D118" t="s">
        <v>483</v>
      </c>
      <c r="E118" s="164" t="str">
        <f t="shared" si="15"/>
        <v>-</v>
      </c>
      <c r="F118" s="165" t="str">
        <f t="shared" si="16"/>
        <v>-</v>
      </c>
      <c r="G118" s="165" t="str">
        <f t="shared" si="16"/>
        <v>-</v>
      </c>
      <c r="H118" s="165" t="str">
        <f t="shared" si="16"/>
        <v>-</v>
      </c>
      <c r="I118" s="165" t="str">
        <f t="shared" si="16"/>
        <v>-</v>
      </c>
      <c r="J118" s="165" t="str">
        <f t="shared" si="16"/>
        <v>-</v>
      </c>
      <c r="K118" s="165" t="str">
        <f t="shared" si="16"/>
        <v>-</v>
      </c>
      <c r="L118" s="165" t="str">
        <f t="shared" si="16"/>
        <v>-</v>
      </c>
      <c r="M118" s="165" t="str">
        <f t="shared" si="16"/>
        <v>-</v>
      </c>
      <c r="N118" s="165" t="str">
        <f t="shared" si="16"/>
        <v>-</v>
      </c>
      <c r="O118" s="165" t="str">
        <f t="shared" si="16"/>
        <v>-</v>
      </c>
      <c r="Q118" s="166" t="e">
        <f t="shared" si="14"/>
        <v>#VALUE!</v>
      </c>
    </row>
    <row r="119" spans="3:19">
      <c r="Q119" s="109"/>
    </row>
    <row r="120" spans="3:19">
      <c r="C120" t="s">
        <v>58</v>
      </c>
      <c r="D120" t="s">
        <v>468</v>
      </c>
      <c r="E120" s="169" t="str">
        <f>IFERROR((E105-E97)/E97,"-")</f>
        <v>-</v>
      </c>
      <c r="F120" s="165" t="str">
        <f t="shared" ref="F120:O120" si="17">IFERROR((F105-F97)/F97,"-")</f>
        <v>-</v>
      </c>
      <c r="G120" s="165" t="str">
        <f t="shared" si="17"/>
        <v>-</v>
      </c>
      <c r="H120" s="170" t="str">
        <f t="shared" si="17"/>
        <v>-</v>
      </c>
      <c r="I120" s="165" t="str">
        <f t="shared" si="17"/>
        <v>-</v>
      </c>
      <c r="J120" s="165" t="str">
        <f t="shared" si="17"/>
        <v>-</v>
      </c>
      <c r="K120" s="170" t="str">
        <f t="shared" si="17"/>
        <v>-</v>
      </c>
      <c r="L120" s="165" t="str">
        <f t="shared" si="17"/>
        <v>-</v>
      </c>
      <c r="M120" s="165" t="str">
        <f t="shared" si="17"/>
        <v>-</v>
      </c>
      <c r="N120" s="165" t="str">
        <f t="shared" si="17"/>
        <v>-</v>
      </c>
      <c r="O120" s="165" t="str">
        <f t="shared" si="17"/>
        <v>-</v>
      </c>
    </row>
    <row r="121" spans="3:19">
      <c r="C121" t="s">
        <v>59</v>
      </c>
      <c r="D121" t="s">
        <v>468</v>
      </c>
      <c r="E121" s="169" t="str">
        <f t="shared" ref="E121:O121" si="18">IFERROR((E106-E98)/E98,"-")</f>
        <v>-</v>
      </c>
      <c r="F121" s="165" t="str">
        <f t="shared" si="18"/>
        <v>-</v>
      </c>
      <c r="G121" s="165" t="str">
        <f t="shared" si="18"/>
        <v>-</v>
      </c>
      <c r="H121" s="170" t="str">
        <f t="shared" si="18"/>
        <v>-</v>
      </c>
      <c r="I121" s="165" t="str">
        <f t="shared" si="18"/>
        <v>-</v>
      </c>
      <c r="J121" s="165" t="str">
        <f t="shared" si="18"/>
        <v>-</v>
      </c>
      <c r="K121" s="170" t="str">
        <f t="shared" si="18"/>
        <v>-</v>
      </c>
      <c r="L121" s="165" t="str">
        <f t="shared" si="18"/>
        <v>-</v>
      </c>
      <c r="M121" s="165" t="str">
        <f t="shared" si="18"/>
        <v>-</v>
      </c>
      <c r="N121" s="165" t="str">
        <f t="shared" si="18"/>
        <v>-</v>
      </c>
      <c r="O121" s="165" t="str">
        <f t="shared" si="18"/>
        <v>-</v>
      </c>
    </row>
    <row r="122" spans="3:19">
      <c r="C122" t="s">
        <v>60</v>
      </c>
      <c r="D122" t="s">
        <v>468</v>
      </c>
      <c r="E122" s="169" t="str">
        <f t="shared" ref="E122:O122" si="19">IFERROR((E107-E99)/E99,"-")</f>
        <v>-</v>
      </c>
      <c r="F122" s="165" t="str">
        <f t="shared" si="19"/>
        <v>-</v>
      </c>
      <c r="G122" s="165" t="str">
        <f t="shared" si="19"/>
        <v>-</v>
      </c>
      <c r="H122" s="170" t="str">
        <f t="shared" si="19"/>
        <v>-</v>
      </c>
      <c r="I122" s="165" t="str">
        <f t="shared" si="19"/>
        <v>-</v>
      </c>
      <c r="J122" s="165" t="str">
        <f t="shared" si="19"/>
        <v>-</v>
      </c>
      <c r="K122" s="170" t="str">
        <f t="shared" si="19"/>
        <v>-</v>
      </c>
      <c r="L122" s="165" t="str">
        <f t="shared" si="19"/>
        <v>-</v>
      </c>
      <c r="M122" s="165" t="str">
        <f t="shared" si="19"/>
        <v>-</v>
      </c>
      <c r="N122" s="165" t="str">
        <f t="shared" si="19"/>
        <v>-</v>
      </c>
      <c r="O122" s="165" t="str">
        <f t="shared" si="19"/>
        <v>-</v>
      </c>
    </row>
    <row r="123" spans="3:19">
      <c r="C123" t="s">
        <v>61</v>
      </c>
      <c r="D123" t="s">
        <v>468</v>
      </c>
      <c r="E123" s="169" t="str">
        <f t="shared" ref="E123:O123" si="20">IFERROR((E108-E100)/E100,"-")</f>
        <v>-</v>
      </c>
      <c r="F123" s="165" t="str">
        <f t="shared" si="20"/>
        <v>-</v>
      </c>
      <c r="G123" s="165" t="str">
        <f t="shared" si="20"/>
        <v>-</v>
      </c>
      <c r="H123" s="170" t="str">
        <f t="shared" si="20"/>
        <v>-</v>
      </c>
      <c r="I123" s="165" t="str">
        <f t="shared" si="20"/>
        <v>-</v>
      </c>
      <c r="J123" s="165" t="str">
        <f t="shared" si="20"/>
        <v>-</v>
      </c>
      <c r="K123" s="170" t="str">
        <f t="shared" si="20"/>
        <v>-</v>
      </c>
      <c r="L123" s="165" t="str">
        <f t="shared" si="20"/>
        <v>-</v>
      </c>
      <c r="M123" s="165" t="str">
        <f t="shared" si="20"/>
        <v>-</v>
      </c>
      <c r="N123" s="165" t="str">
        <f t="shared" si="20"/>
        <v>-</v>
      </c>
      <c r="O123" s="165" t="str">
        <f t="shared" si="20"/>
        <v>-</v>
      </c>
    </row>
    <row r="124" spans="3:19">
      <c r="C124" t="s">
        <v>62</v>
      </c>
      <c r="D124" t="s">
        <v>468</v>
      </c>
      <c r="E124" s="169" t="str">
        <f t="shared" ref="E124:O124" si="21">IFERROR((E109-E101)/E101,"-")</f>
        <v>-</v>
      </c>
      <c r="F124" s="165" t="str">
        <f t="shared" si="21"/>
        <v>-</v>
      </c>
      <c r="G124" s="165" t="str">
        <f t="shared" si="21"/>
        <v>-</v>
      </c>
      <c r="H124" s="170" t="str">
        <f t="shared" si="21"/>
        <v>-</v>
      </c>
      <c r="I124" s="165" t="str">
        <f t="shared" si="21"/>
        <v>-</v>
      </c>
      <c r="J124" s="165" t="str">
        <f t="shared" si="21"/>
        <v>-</v>
      </c>
      <c r="K124" s="170" t="str">
        <f t="shared" si="21"/>
        <v>-</v>
      </c>
      <c r="L124" s="165" t="str">
        <f t="shared" si="21"/>
        <v>-</v>
      </c>
      <c r="M124" s="165" t="str">
        <f t="shared" si="21"/>
        <v>-</v>
      </c>
      <c r="N124" s="165" t="str">
        <f t="shared" si="21"/>
        <v>-</v>
      </c>
      <c r="O124" s="165" t="str">
        <f t="shared" si="21"/>
        <v>-</v>
      </c>
    </row>
    <row r="125" spans="3:19">
      <c r="C125" t="s">
        <v>465</v>
      </c>
      <c r="D125" t="s">
        <v>468</v>
      </c>
      <c r="E125" s="169" t="str">
        <f t="shared" ref="E125:O125" si="22">IFERROR((E110-E102)/E102,"-")</f>
        <v>-</v>
      </c>
      <c r="F125" s="165" t="str">
        <f t="shared" si="22"/>
        <v>-</v>
      </c>
      <c r="G125" s="165" t="str">
        <f t="shared" si="22"/>
        <v>-</v>
      </c>
      <c r="H125" s="170" t="str">
        <f t="shared" si="22"/>
        <v>-</v>
      </c>
      <c r="I125" s="165" t="str">
        <f t="shared" si="22"/>
        <v>-</v>
      </c>
      <c r="J125" s="165" t="str">
        <f t="shared" si="22"/>
        <v>-</v>
      </c>
      <c r="K125" s="170" t="str">
        <f t="shared" si="22"/>
        <v>-</v>
      </c>
      <c r="L125" s="165" t="str">
        <f t="shared" si="22"/>
        <v>-</v>
      </c>
      <c r="M125" s="165" t="str">
        <f t="shared" si="22"/>
        <v>-</v>
      </c>
      <c r="N125" s="165" t="str">
        <f t="shared" si="22"/>
        <v>-</v>
      </c>
      <c r="O125" s="165" t="str">
        <f t="shared" si="22"/>
        <v>-</v>
      </c>
    </row>
  </sheetData>
  <mergeCells count="1">
    <mergeCell ref="A2:A3"/>
  </mergeCells>
  <pageMargins left="0.7" right="0.7" top="0.75" bottom="0.75" header="0.3" footer="0.3"/>
  <pageSetup paperSize="9" orientation="portrait" r:id="rId1"/>
  <headerFooter>
    <oddHeader>&amp;C&amp;B&amp;"Arial"&amp;12&amp;Kff0000​‌OFFICIAL‌​</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823BA2-70E1-432A-82C2-59009DA36C2D}">
          <x14:formula1>
            <xm:f>'Lookup refs'!$G$8:$G$10</xm:f>
          </x14:formula1>
          <xm:sqref>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5D2C-A306-465D-A833-FBD18170EFA8}">
  <sheetPr>
    <tabColor rgb="FFFFB13F"/>
  </sheetPr>
  <dimension ref="A1:Z33"/>
  <sheetViews>
    <sheetView showGridLines="0" topLeftCell="B1" zoomScale="70" zoomScaleNormal="70" workbookViewId="0">
      <pane ySplit="3" topLeftCell="A4" activePane="bottomLeft" state="frozen"/>
      <selection pane="bottomLeft" activeCell="D10" sqref="D10"/>
    </sheetView>
  </sheetViews>
  <sheetFormatPr defaultColWidth="9.1796875" defaultRowHeight="14.5" outlineLevelCol="1"/>
  <cols>
    <col min="1" max="1" width="100.54296875" hidden="1" customWidth="1" outlineLevel="1"/>
    <col min="2" max="2" width="10.54296875" style="6" customWidth="1" collapsed="1"/>
    <col min="3" max="3" width="50.54296875" customWidth="1"/>
    <col min="4" max="4" width="30.54296875" customWidth="1"/>
    <col min="5" max="12" width="15.54296875" customWidth="1"/>
    <col min="13" max="14" width="20.54296875" customWidth="1"/>
    <col min="15" max="16" width="15.54296875" customWidth="1"/>
    <col min="17" max="17" width="5.54296875" style="109" hidden="1" customWidth="1"/>
    <col min="18" max="18" width="25.54296875" hidden="1" customWidth="1"/>
    <col min="19" max="21" width="15.54296875" hidden="1" customWidth="1"/>
    <col min="22" max="22" width="5.54296875" customWidth="1"/>
    <col min="23" max="23" width="25.54296875" customWidth="1"/>
    <col min="24" max="26" width="15.54296875" customWidth="1"/>
  </cols>
  <sheetData>
    <row r="1" spans="1:26" ht="15" customHeight="1">
      <c r="A1" s="1" t="s">
        <v>15</v>
      </c>
      <c r="B1" s="18"/>
      <c r="C1" s="19"/>
      <c r="D1" s="19"/>
      <c r="E1" s="19"/>
      <c r="F1" s="19"/>
      <c r="G1" s="19"/>
      <c r="H1" s="19"/>
      <c r="I1" s="19"/>
      <c r="J1" s="19"/>
      <c r="K1" s="19"/>
      <c r="L1" s="19"/>
      <c r="M1" s="19"/>
      <c r="N1" s="19"/>
      <c r="O1" s="19"/>
      <c r="P1" s="19"/>
      <c r="Q1" s="180"/>
      <c r="R1" s="19"/>
      <c r="S1" s="19"/>
      <c r="T1" s="19"/>
      <c r="U1" s="19"/>
      <c r="V1" s="19"/>
      <c r="W1" s="19"/>
      <c r="X1" s="19"/>
      <c r="Y1" s="19"/>
      <c r="Z1" s="19"/>
    </row>
    <row r="2" spans="1:26" s="4" customFormat="1" ht="50.15" customHeight="1">
      <c r="A2" s="236" t="s">
        <v>16</v>
      </c>
      <c r="B2" s="22"/>
      <c r="C2" s="22" t="str">
        <f>Disclaimer!$B$1</f>
        <v>VDO calculation model</v>
      </c>
      <c r="D2" s="22"/>
      <c r="E2" s="22"/>
      <c r="F2" s="22"/>
      <c r="G2" s="22"/>
      <c r="H2" s="22"/>
      <c r="I2" s="22"/>
      <c r="J2" s="22"/>
      <c r="K2" s="22"/>
      <c r="L2" s="22"/>
      <c r="M2" s="22"/>
      <c r="N2" s="22"/>
      <c r="O2" s="22"/>
      <c r="P2" s="22"/>
      <c r="Q2" s="27"/>
      <c r="R2" s="22"/>
      <c r="S2" s="22"/>
      <c r="T2" s="22"/>
      <c r="U2" s="22"/>
      <c r="V2" s="22"/>
      <c r="W2" s="22"/>
      <c r="X2" s="22"/>
      <c r="Y2" s="22"/>
      <c r="Z2" s="22"/>
    </row>
    <row r="3" spans="1:26" s="4" customFormat="1" ht="30" customHeight="1">
      <c r="A3" s="237"/>
      <c r="B3" s="24">
        <f ca="1">_xlfn.SHEET()</f>
        <v>17</v>
      </c>
      <c r="C3" s="23" t="s">
        <v>504</v>
      </c>
      <c r="D3" s="23"/>
      <c r="E3" s="23"/>
      <c r="F3" s="23"/>
      <c r="G3" s="23"/>
      <c r="H3" s="23"/>
      <c r="I3" s="23"/>
      <c r="J3" s="23"/>
      <c r="K3" s="23"/>
      <c r="L3" s="23"/>
      <c r="M3" s="23"/>
      <c r="N3" s="23"/>
      <c r="O3" s="23"/>
      <c r="P3" s="23"/>
      <c r="Q3" s="24"/>
      <c r="R3" s="23"/>
      <c r="S3" s="23"/>
      <c r="T3" s="23"/>
      <c r="U3" s="23"/>
      <c r="V3" s="23"/>
      <c r="W3" s="23"/>
      <c r="X3" s="23"/>
      <c r="Y3" s="23"/>
      <c r="Z3" s="23"/>
    </row>
    <row r="4" spans="1:26">
      <c r="B4"/>
    </row>
    <row r="5" spans="1:26">
      <c r="B5"/>
    </row>
    <row r="6" spans="1:26" ht="16" thickBot="1">
      <c r="A6" s="1" t="s">
        <v>18</v>
      </c>
      <c r="B6" s="7">
        <f ca="1">MAX(B$3:B5)+0.1</f>
        <v>17.100000000000001</v>
      </c>
      <c r="C6" s="25"/>
      <c r="D6" s="25"/>
      <c r="E6" s="25"/>
      <c r="F6" s="25"/>
      <c r="G6" s="25"/>
      <c r="H6" s="25"/>
      <c r="I6" s="25"/>
      <c r="J6" s="25"/>
      <c r="K6" s="25"/>
      <c r="L6" s="25"/>
      <c r="M6" s="25"/>
      <c r="N6" s="25"/>
      <c r="O6" s="25"/>
      <c r="P6" s="25"/>
      <c r="Q6" s="181"/>
      <c r="R6" s="25"/>
      <c r="S6" s="25"/>
      <c r="T6" s="25"/>
      <c r="U6" s="25"/>
      <c r="V6" s="25"/>
      <c r="W6" s="25"/>
      <c r="X6" s="25"/>
      <c r="Y6" s="25"/>
      <c r="Z6" s="25"/>
    </row>
    <row r="8" spans="1:26" ht="15.5">
      <c r="C8" s="38" t="s">
        <v>466</v>
      </c>
      <c r="D8" s="38" t="s">
        <v>140</v>
      </c>
      <c r="E8" s="38" t="s">
        <v>80</v>
      </c>
      <c r="F8" s="38" t="s">
        <v>89</v>
      </c>
      <c r="G8" s="38" t="s">
        <v>82</v>
      </c>
      <c r="H8" s="38" t="s">
        <v>92</v>
      </c>
      <c r="I8" s="38" t="s">
        <v>383</v>
      </c>
      <c r="J8" s="38" t="s">
        <v>98</v>
      </c>
      <c r="K8" s="38" t="s">
        <v>502</v>
      </c>
      <c r="L8" s="38" t="s">
        <v>467</v>
      </c>
    </row>
    <row r="9" spans="1:26">
      <c r="C9" s="75" t="s">
        <v>503</v>
      </c>
      <c r="D9" s="92"/>
      <c r="E9" s="92"/>
      <c r="F9" s="92"/>
      <c r="G9" s="92"/>
      <c r="H9" s="92"/>
      <c r="I9" s="92"/>
      <c r="J9" s="92"/>
      <c r="K9" s="92">
        <v>1844.905</v>
      </c>
      <c r="L9" s="92">
        <f>SUM(D9:K9)</f>
        <v>1844.905</v>
      </c>
    </row>
    <row r="10" spans="1:26">
      <c r="C10" s="75" t="s">
        <v>163</v>
      </c>
      <c r="D10" s="92" t="e">
        <f>#REF!</f>
        <v>#REF!</v>
      </c>
      <c r="E10" s="92" t="e">
        <f>#REF!</f>
        <v>#REF!</v>
      </c>
      <c r="F10" s="92" t="e">
        <f>#REF!</f>
        <v>#REF!</v>
      </c>
      <c r="G10" s="92" t="e">
        <f>#REF!</f>
        <v>#REF!</v>
      </c>
      <c r="H10" s="92" t="e">
        <f>#REF!</f>
        <v>#REF!</v>
      </c>
      <c r="I10" s="92" t="e">
        <f>#REF!</f>
        <v>#REF!</v>
      </c>
      <c r="J10" s="92" t="e">
        <f>#REF!</f>
        <v>#REF!</v>
      </c>
      <c r="K10" s="92"/>
      <c r="L10" s="92" t="e">
        <f>SUM(D10:K10)</f>
        <v>#REF!</v>
      </c>
    </row>
    <row r="11" spans="1:26">
      <c r="C11" s="75" t="s">
        <v>85</v>
      </c>
      <c r="D11" s="92" t="e">
        <f>#REF!</f>
        <v>#REF!</v>
      </c>
      <c r="E11" s="92" t="e">
        <f>#REF!</f>
        <v>#REF!</v>
      </c>
      <c r="F11" s="92" t="e">
        <f>#REF!</f>
        <v>#REF!</v>
      </c>
      <c r="G11" s="92" t="e">
        <f>#REF!</f>
        <v>#REF!</v>
      </c>
      <c r="H11" s="92" t="e">
        <f>#REF!</f>
        <v>#REF!</v>
      </c>
      <c r="I11" s="92" t="e">
        <f>#REF!</f>
        <v>#REF!</v>
      </c>
      <c r="J11" s="92" t="e">
        <f>#REF!</f>
        <v>#REF!</v>
      </c>
      <c r="K11" s="92"/>
      <c r="L11" s="92" t="e">
        <f>SUM(D11:K11)</f>
        <v>#REF!</v>
      </c>
    </row>
    <row r="32" spans="4:6" ht="15.5">
      <c r="D32" s="21" t="e">
        <f>IF(OR(ROUNDUP(SUM(#REF!),0)-B32&lt;1,ROUNDUP(SUM(#REF!),0)-B32&gt;-1),0,1)</f>
        <v>#REF!</v>
      </c>
      <c r="F32" s="179"/>
    </row>
    <row r="33" spans="4:6" ht="15.5">
      <c r="D33" s="21" t="e">
        <f>IF(OR(ROUNDUP(SUM(#REF!),0)-B33&lt;1,ROUNDUP(SUM(#REF!),0)-B33&gt;-1),0,1)</f>
        <v>#REF!</v>
      </c>
      <c r="F33" s="179"/>
    </row>
  </sheetData>
  <mergeCells count="1">
    <mergeCell ref="A2:A3"/>
  </mergeCells>
  <pageMargins left="0.7" right="0.7" top="0.75" bottom="0.75" header="0.3" footer="0.3"/>
  <pageSetup paperSize="9" orientation="portrait" r:id="rId1"/>
  <headerFooter>
    <oddHeader>&amp;C&amp;B&amp;"Arial"&amp;12&amp;Kff0000​‌OFFICIAL‌​</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BBD6-614A-4402-8D00-2C688497EA94}">
  <sheetPr>
    <tabColor rgb="FFFFB13F"/>
  </sheetPr>
  <dimension ref="A1:Z33"/>
  <sheetViews>
    <sheetView showGridLines="0" topLeftCell="B1" zoomScale="70" zoomScaleNormal="70" workbookViewId="0">
      <pane ySplit="3" topLeftCell="A4" activePane="bottomLeft" state="frozen"/>
      <selection pane="bottomLeft" activeCell="G20" sqref="G20"/>
    </sheetView>
  </sheetViews>
  <sheetFormatPr defaultColWidth="9.1796875" defaultRowHeight="14.5" outlineLevelCol="1"/>
  <cols>
    <col min="1" max="1" width="100.54296875" hidden="1" customWidth="1" outlineLevel="1"/>
    <col min="2" max="2" width="10.54296875" style="6" customWidth="1" collapsed="1"/>
    <col min="3" max="3" width="50.54296875" customWidth="1"/>
    <col min="4" max="4" width="30.54296875" customWidth="1"/>
    <col min="5" max="12" width="15.54296875" customWidth="1"/>
    <col min="13" max="14" width="20.54296875" customWidth="1"/>
    <col min="15" max="16" width="15.54296875" customWidth="1"/>
    <col min="17" max="17" width="5.54296875" style="109" hidden="1" customWidth="1"/>
    <col min="18" max="18" width="25.54296875" hidden="1" customWidth="1"/>
    <col min="19" max="21" width="15.54296875" hidden="1" customWidth="1"/>
    <col min="22" max="22" width="5.54296875" customWidth="1"/>
    <col min="23" max="23" width="25.54296875" customWidth="1"/>
    <col min="24" max="26" width="15.54296875" customWidth="1"/>
  </cols>
  <sheetData>
    <row r="1" spans="1:26" ht="15" customHeight="1">
      <c r="A1" s="1" t="s">
        <v>15</v>
      </c>
      <c r="B1" s="18"/>
      <c r="C1" s="19"/>
      <c r="D1" s="19"/>
      <c r="E1" s="19"/>
      <c r="F1" s="19"/>
      <c r="G1" s="19"/>
      <c r="H1" s="19"/>
      <c r="I1" s="19"/>
      <c r="J1" s="19"/>
      <c r="K1" s="19"/>
      <c r="L1" s="19"/>
      <c r="M1" s="19"/>
      <c r="N1" s="19"/>
      <c r="O1" s="19"/>
      <c r="P1" s="19"/>
      <c r="Q1" s="180"/>
      <c r="R1" s="19"/>
      <c r="S1" s="19"/>
      <c r="T1" s="19"/>
      <c r="U1" s="19"/>
      <c r="V1" s="19"/>
      <c r="W1" s="19"/>
      <c r="X1" s="19"/>
      <c r="Y1" s="19"/>
      <c r="Z1" s="19"/>
    </row>
    <row r="2" spans="1:26" s="4" customFormat="1" ht="50.15" customHeight="1">
      <c r="A2" s="236" t="s">
        <v>16</v>
      </c>
      <c r="B2" s="22"/>
      <c r="C2" s="22" t="str">
        <f>Disclaimer!$B$1</f>
        <v>VDO calculation model</v>
      </c>
      <c r="D2" s="22"/>
      <c r="E2" s="22"/>
      <c r="F2" s="22"/>
      <c r="G2" s="22"/>
      <c r="H2" s="22"/>
      <c r="I2" s="22"/>
      <c r="J2" s="22"/>
      <c r="K2" s="22"/>
      <c r="L2" s="22"/>
      <c r="M2" s="22"/>
      <c r="N2" s="22"/>
      <c r="O2" s="22"/>
      <c r="P2" s="22"/>
      <c r="Q2" s="27"/>
      <c r="R2" s="22"/>
      <c r="S2" s="22"/>
      <c r="T2" s="22"/>
      <c r="U2" s="22"/>
      <c r="V2" s="22"/>
      <c r="W2" s="22"/>
      <c r="X2" s="22"/>
      <c r="Y2" s="22"/>
      <c r="Z2" s="22"/>
    </row>
    <row r="3" spans="1:26" s="4" customFormat="1" ht="30" customHeight="1">
      <c r="A3" s="237"/>
      <c r="B3" s="24">
        <f ca="1">_xlfn.SHEET()</f>
        <v>18</v>
      </c>
      <c r="C3" s="23" t="s">
        <v>505</v>
      </c>
      <c r="D3" s="23"/>
      <c r="E3" s="23"/>
      <c r="F3" s="23"/>
      <c r="G3" s="23"/>
      <c r="H3" s="23"/>
      <c r="I3" s="23"/>
      <c r="J3" s="23"/>
      <c r="K3" s="23"/>
      <c r="L3" s="23"/>
      <c r="M3" s="23"/>
      <c r="N3" s="23"/>
      <c r="O3" s="23"/>
      <c r="P3" s="23"/>
      <c r="Q3" s="24"/>
      <c r="R3" s="23"/>
      <c r="S3" s="23"/>
      <c r="T3" s="23"/>
      <c r="U3" s="23"/>
      <c r="V3" s="23"/>
      <c r="W3" s="23"/>
      <c r="X3" s="23"/>
      <c r="Y3" s="23"/>
      <c r="Z3" s="23"/>
    </row>
    <row r="4" spans="1:26">
      <c r="B4"/>
    </row>
    <row r="5" spans="1:26">
      <c r="B5"/>
    </row>
    <row r="6" spans="1:26" ht="16" thickBot="1">
      <c r="A6" s="1" t="s">
        <v>18</v>
      </c>
      <c r="B6" s="7">
        <f ca="1">MAX(B$3:B5)+0.1</f>
        <v>18.100000000000001</v>
      </c>
      <c r="C6" s="25"/>
      <c r="D6" s="25"/>
      <c r="E6" s="25"/>
      <c r="F6" s="25"/>
      <c r="G6" s="25"/>
      <c r="H6" s="25"/>
      <c r="I6" s="25"/>
      <c r="J6" s="25"/>
      <c r="K6" s="25"/>
      <c r="L6" s="25"/>
      <c r="M6" s="25"/>
      <c r="N6" s="25"/>
      <c r="O6" s="25"/>
      <c r="P6" s="25"/>
      <c r="Q6" s="181"/>
      <c r="R6" s="25"/>
      <c r="S6" s="25"/>
      <c r="T6" s="25"/>
      <c r="U6" s="25"/>
      <c r="V6" s="25"/>
      <c r="W6" s="25"/>
      <c r="X6" s="25"/>
      <c r="Y6" s="25"/>
      <c r="Z6" s="25"/>
    </row>
    <row r="8" spans="1:26" ht="15.5">
      <c r="C8" s="38" t="s">
        <v>466</v>
      </c>
      <c r="D8" s="38" t="s">
        <v>140</v>
      </c>
      <c r="E8" s="38" t="s">
        <v>80</v>
      </c>
      <c r="F8" s="38" t="s">
        <v>89</v>
      </c>
      <c r="G8" s="38" t="s">
        <v>82</v>
      </c>
      <c r="H8" s="38" t="s">
        <v>92</v>
      </c>
      <c r="I8" s="38" t="s">
        <v>383</v>
      </c>
      <c r="J8" s="38" t="s">
        <v>98</v>
      </c>
      <c r="K8" s="38" t="s">
        <v>502</v>
      </c>
      <c r="L8" s="38" t="s">
        <v>467</v>
      </c>
    </row>
    <row r="9" spans="1:26">
      <c r="C9" s="75" t="s">
        <v>503</v>
      </c>
      <c r="D9" s="92"/>
      <c r="E9" s="92"/>
      <c r="F9" s="92"/>
      <c r="G9" s="92"/>
      <c r="H9" s="92"/>
      <c r="I9" s="92"/>
      <c r="J9" s="92"/>
      <c r="K9" s="92">
        <v>7988.2</v>
      </c>
      <c r="L9" s="92">
        <f>SUM(D9:K9)</f>
        <v>7988.2</v>
      </c>
    </row>
    <row r="10" spans="1:26">
      <c r="C10" s="75" t="s">
        <v>163</v>
      </c>
      <c r="D10" s="92" t="e">
        <f>#REF!</f>
        <v>#REF!</v>
      </c>
      <c r="E10" s="92" t="e">
        <f>#REF!</f>
        <v>#REF!</v>
      </c>
      <c r="F10" s="92" t="e">
        <f>#REF!</f>
        <v>#REF!</v>
      </c>
      <c r="G10" s="92" t="e">
        <f>#REF!</f>
        <v>#REF!</v>
      </c>
      <c r="H10" s="92" t="e">
        <f>#REF!</f>
        <v>#REF!</v>
      </c>
      <c r="I10" s="92" t="e">
        <f>#REF!</f>
        <v>#REF!</v>
      </c>
      <c r="J10" s="92" t="e">
        <f>#REF!</f>
        <v>#REF!</v>
      </c>
      <c r="K10" s="92"/>
      <c r="L10" s="92" t="e">
        <f>SUM(D10:K10)</f>
        <v>#REF!</v>
      </c>
    </row>
    <row r="11" spans="1:26">
      <c r="C11" s="75" t="s">
        <v>85</v>
      </c>
      <c r="D11" s="92" t="e">
        <f>#REF!</f>
        <v>#REF!</v>
      </c>
      <c r="E11" s="92" t="e">
        <f>#REF!</f>
        <v>#REF!</v>
      </c>
      <c r="F11" s="92" t="e">
        <f>#REF!</f>
        <v>#REF!</v>
      </c>
      <c r="G11" s="92" t="e">
        <f>#REF!</f>
        <v>#REF!</v>
      </c>
      <c r="H11" s="92" t="e">
        <f>#REF!</f>
        <v>#REF!</v>
      </c>
      <c r="I11" s="92" t="e">
        <f>#REF!</f>
        <v>#REF!</v>
      </c>
      <c r="J11" s="92" t="e">
        <f>#REF!</f>
        <v>#REF!</v>
      </c>
      <c r="K11" s="92"/>
      <c r="L11" s="92" t="e">
        <f>SUM(D11:K11)</f>
        <v>#REF!</v>
      </c>
    </row>
    <row r="32" spans="4:6" ht="15.5">
      <c r="D32" s="21" t="e">
        <f>IF(OR(ROUNDUP(SUM(#REF!),0)-B32&lt;1,ROUNDUP(SUM(#REF!),0)-B32&gt;-1),0,1)</f>
        <v>#REF!</v>
      </c>
      <c r="F32" s="179"/>
    </row>
    <row r="33" spans="4:6" ht="15.5">
      <c r="D33" s="21" t="e">
        <f>IF(OR(ROUNDUP(SUM(#REF!),0)-B33&lt;1,ROUNDUP(SUM(#REF!),0)-B33&gt;-1),0,1)</f>
        <v>#REF!</v>
      </c>
      <c r="F33" s="179"/>
    </row>
  </sheetData>
  <mergeCells count="1">
    <mergeCell ref="A2:A3"/>
  </mergeCells>
  <pageMargins left="0.7" right="0.7" top="0.75" bottom="0.75" header="0.3" footer="0.3"/>
  <pageSetup paperSize="9" orientation="portrait" r:id="rId1"/>
  <headerFooter>
    <oddHeader>&amp;C&amp;B&amp;"Arial"&amp;12&amp;Kff0000​‌OFFICIAL‌​</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95C8-F6D1-4BF8-82EA-EAA3921BC0FE}">
  <sheetPr>
    <tabColor rgb="FF7F7F7F"/>
    <pageSetUpPr autoPageBreaks="0"/>
  </sheetPr>
  <dimension ref="A1:I134"/>
  <sheetViews>
    <sheetView showGridLines="0" zoomScale="90" zoomScaleNormal="90" workbookViewId="0">
      <pane xSplit="4" ySplit="10" topLeftCell="E11" activePane="bottomRight" state="frozen"/>
      <selection activeCell="B33" sqref="B33"/>
      <selection pane="topRight" activeCell="B33" sqref="B33"/>
      <selection pane="bottomLeft" activeCell="B33" sqref="B33"/>
      <selection pane="bottomRight" activeCell="E130" sqref="E130"/>
    </sheetView>
  </sheetViews>
  <sheetFormatPr defaultColWidth="9.453125" defaultRowHeight="14.5" outlineLevelCol="1"/>
  <cols>
    <col min="1" max="1" width="100.54296875" hidden="1" customWidth="1" outlineLevel="1"/>
    <col min="2" max="2" width="10.54296875" style="6" customWidth="1" collapsed="1"/>
    <col min="3" max="3" width="32.81640625" customWidth="1"/>
    <col min="4" max="4" width="63.453125" bestFit="1" customWidth="1"/>
    <col min="5" max="5" width="139.26953125" bestFit="1" customWidth="1"/>
    <col min="6" max="9" width="25.54296875" customWidth="1"/>
  </cols>
  <sheetData>
    <row r="1" spans="1:9" ht="15" customHeight="1">
      <c r="A1" s="1" t="s">
        <v>15</v>
      </c>
      <c r="B1" s="231" t="s">
        <v>569</v>
      </c>
      <c r="C1" s="19"/>
      <c r="D1" s="19"/>
      <c r="E1" s="19"/>
      <c r="F1" s="19"/>
      <c r="G1" s="19"/>
      <c r="H1" s="19"/>
      <c r="I1" s="19"/>
    </row>
    <row r="2" spans="1:9" s="4" customFormat="1" ht="50.15" customHeight="1">
      <c r="A2" s="236" t="s">
        <v>16</v>
      </c>
      <c r="B2" s="22"/>
      <c r="C2" s="22" t="str">
        <f>Disclaimer!$B$1</f>
        <v>VDO calculation model</v>
      </c>
      <c r="D2" s="22"/>
      <c r="E2" s="22"/>
      <c r="F2" s="22"/>
      <c r="G2" s="22"/>
      <c r="H2" s="22"/>
      <c r="I2" s="22"/>
    </row>
    <row r="3" spans="1:9" s="4" customFormat="1" ht="30" customHeight="1">
      <c r="A3" s="237"/>
      <c r="B3" s="24">
        <f ca="1">_xlfn.SHEET()</f>
        <v>19</v>
      </c>
      <c r="C3" s="23" t="s">
        <v>11</v>
      </c>
      <c r="D3" s="23"/>
      <c r="E3" s="23"/>
      <c r="F3" s="23"/>
      <c r="G3" s="23"/>
      <c r="H3" s="23"/>
      <c r="I3" s="23"/>
    </row>
    <row r="4" spans="1:9">
      <c r="B4"/>
    </row>
    <row r="5" spans="1:9" ht="16" thickBot="1">
      <c r="A5" s="1" t="s">
        <v>18</v>
      </c>
      <c r="B5" s="216">
        <f ca="1">MAX(B$3:B4)+0.01</f>
        <v>19.010000000000002</v>
      </c>
      <c r="C5" s="25" t="s">
        <v>29</v>
      </c>
      <c r="D5" s="25"/>
      <c r="E5" s="25"/>
      <c r="F5" s="25"/>
      <c r="G5" s="25"/>
      <c r="H5" s="25"/>
      <c r="I5" s="25"/>
    </row>
    <row r="7" spans="1:9" ht="15.5">
      <c r="D7" s="36" t="s">
        <v>30</v>
      </c>
      <c r="E7" s="37" t="str">
        <f>Inputs!Y7</f>
        <v>2023-24</v>
      </c>
    </row>
    <row r="8" spans="1:9" ht="15.5">
      <c r="D8" s="36" t="s">
        <v>31</v>
      </c>
      <c r="E8" s="37" t="str">
        <f t="shared" ref="E8" si="0">"VDO "&amp;E7&amp;" - "&amp;IF(LEFT(E10,1)="F","Final",IF(LEFT(E10,1)="D","Draft",IF(LEFT(E10,2)="VD","Variation draft",IF(LEFT(E10,2)="VF","Variation final"))))</f>
        <v>VDO 2023-24 - Final</v>
      </c>
    </row>
    <row r="10" spans="1:9" ht="15.5">
      <c r="C10" s="38" t="s">
        <v>32</v>
      </c>
      <c r="D10" s="38" t="s">
        <v>33</v>
      </c>
      <c r="E10" s="38" t="s">
        <v>38</v>
      </c>
    </row>
    <row r="11" spans="1:9">
      <c r="C11" s="75" t="str" cm="1">
        <f t="array" ref="C11:C134">INDEX(Input_ForRateCalc[[Cost element]:[Customer type]],0,MATCH(C$10,Input_ForRateCalc[[#Headers],[Cost element]:[Customer type]],0))</f>
        <v>Retail</v>
      </c>
      <c r="D11" s="75" t="str" cm="1">
        <f t="array" ref="D11:D134">INDEX(Input_ForRateCalc[[Cost element]:[Customer type]],0,MATCH(D$10,Input_ForRateCalc[[#Headers],[Cost element]:[Customer type]],0))</f>
        <v>Retail operating cost - base</v>
      </c>
      <c r="E11" s="53" t="s">
        <v>528</v>
      </c>
    </row>
    <row r="12" spans="1:9">
      <c r="C12" s="75" t="str">
        <v>Retail</v>
      </c>
      <c r="D12" s="75" t="str">
        <v>Retail operating cost - regulatory cost allowance</v>
      </c>
      <c r="E12" s="32" t="s">
        <v>39</v>
      </c>
    </row>
    <row r="13" spans="1:9">
      <c r="C13" s="75" t="str">
        <v>Retail</v>
      </c>
      <c r="D13" s="75" t="str">
        <v>Retail operating cost - 5 min settlement allowance</v>
      </c>
      <c r="E13" s="32" t="s">
        <v>39</v>
      </c>
    </row>
    <row r="14" spans="1:9">
      <c r="C14" s="75" t="str">
        <v>Retail</v>
      </c>
      <c r="D14" s="75" t="str">
        <v>Retail operating cost - bad debt allowance</v>
      </c>
      <c r="E14" s="32" t="s">
        <v>39</v>
      </c>
    </row>
    <row r="15" spans="1:9">
      <c r="C15" s="75" t="str">
        <v>Retail</v>
      </c>
      <c r="D15" s="75" t="str">
        <v>Retail operating cost - consumer data right allowance</v>
      </c>
      <c r="E15" s="32" t="s">
        <v>39</v>
      </c>
    </row>
    <row r="16" spans="1:9">
      <c r="C16" s="75" t="str">
        <v>Retail</v>
      </c>
      <c r="D16" s="75" t="str">
        <v>Customer acquisition and retention cost</v>
      </c>
      <c r="E16" s="32" t="s">
        <v>39</v>
      </c>
    </row>
    <row r="17" spans="3:5" ht="43.5">
      <c r="C17" s="75" t="str">
        <v>Solar</v>
      </c>
      <c r="D17" s="75" t="str">
        <v>Feed-in tariff (FiT)</v>
      </c>
      <c r="E17" s="32" t="s">
        <v>563</v>
      </c>
    </row>
    <row r="18" spans="3:5">
      <c r="C18" s="75" t="str">
        <v>Other</v>
      </c>
      <c r="D18" s="75" t="str">
        <v>ESC licence fees</v>
      </c>
      <c r="E18" s="20" t="s">
        <v>529</v>
      </c>
    </row>
    <row r="19" spans="3:5">
      <c r="C19" s="75" t="str">
        <v>Other</v>
      </c>
      <c r="D19" s="75" t="str">
        <v>Reliability and emergency reserve trader (RERT)</v>
      </c>
      <c r="E19" s="20" t="s">
        <v>530</v>
      </c>
    </row>
    <row r="20" spans="3:5">
      <c r="C20" s="75" t="str">
        <v>Other</v>
      </c>
      <c r="D20" s="75" t="str">
        <v>Energy Consumers Australia</v>
      </c>
      <c r="E20" s="20" t="s">
        <v>531</v>
      </c>
    </row>
    <row r="21" spans="3:5">
      <c r="C21" s="75" t="str">
        <v>Other</v>
      </c>
      <c r="D21" s="75" t="str">
        <v>Full retail competition (FRC) operations</v>
      </c>
      <c r="E21" s="20" t="s">
        <v>531</v>
      </c>
    </row>
    <row r="22" spans="3:5">
      <c r="C22" s="75" t="str">
        <v>Other</v>
      </c>
      <c r="D22" s="75" t="str">
        <v>General NEM fees - fixed</v>
      </c>
      <c r="E22" s="20" t="s">
        <v>531</v>
      </c>
    </row>
    <row r="23" spans="3:5">
      <c r="C23" s="75" t="str">
        <v>Other</v>
      </c>
      <c r="D23" s="75" t="str">
        <v>Distributed Energy Resources Integration Program (DER) - fixed</v>
      </c>
      <c r="E23" s="20" t="s">
        <v>531</v>
      </c>
    </row>
    <row r="24" spans="3:5">
      <c r="C24" s="75" t="str">
        <v>Other</v>
      </c>
      <c r="D24" s="75" t="str">
        <v>IT upgrade and 5MS/GS compliance - fixed</v>
      </c>
      <c r="E24" s="20" t="s">
        <v>531</v>
      </c>
    </row>
    <row r="25" spans="3:5">
      <c r="C25" s="75" t="str">
        <v>Network</v>
      </c>
      <c r="D25" s="75" t="str">
        <v>Metering - Ausnet</v>
      </c>
      <c r="E25" s="20" t="s">
        <v>532</v>
      </c>
    </row>
    <row r="26" spans="3:5">
      <c r="C26" s="75" t="str">
        <v>Network</v>
      </c>
      <c r="D26" s="75" t="str">
        <v>Metering - Citipower</v>
      </c>
      <c r="E26" s="20" t="s">
        <v>570</v>
      </c>
    </row>
    <row r="27" spans="3:5">
      <c r="C27" s="75" t="str">
        <v>Network</v>
      </c>
      <c r="D27" s="75" t="str">
        <v>Metering - Jemena</v>
      </c>
      <c r="E27" s="20" t="s">
        <v>533</v>
      </c>
    </row>
    <row r="28" spans="3:5">
      <c r="C28" s="75" t="str">
        <v>Network</v>
      </c>
      <c r="D28" s="75" t="str">
        <v>Metering - Powercor</v>
      </c>
      <c r="E28" s="20" t="s">
        <v>534</v>
      </c>
    </row>
    <row r="29" spans="3:5">
      <c r="C29" s="75" t="str">
        <v>Network</v>
      </c>
      <c r="D29" s="75" t="str">
        <v>Metering - United Energy</v>
      </c>
      <c r="E29" s="20" t="s">
        <v>535</v>
      </c>
    </row>
    <row r="30" spans="3:5">
      <c r="C30" s="75" t="str">
        <v>Network</v>
      </c>
      <c r="D30" s="75" t="str">
        <v>Anytime - supply charge - RES - Ausnet</v>
      </c>
      <c r="E30" s="20" t="s">
        <v>532</v>
      </c>
    </row>
    <row r="31" spans="3:5">
      <c r="C31" s="75" t="str">
        <v>Network</v>
      </c>
      <c r="D31" s="75" t="str">
        <v>Anytime - supply charge - RES - Citipower</v>
      </c>
      <c r="E31" s="20" t="s">
        <v>570</v>
      </c>
    </row>
    <row r="32" spans="3:5">
      <c r="C32" s="75" t="str">
        <v>Network</v>
      </c>
      <c r="D32" s="75" t="str">
        <v>Anytime - supply charge - RES - Jemena</v>
      </c>
      <c r="E32" s="20" t="s">
        <v>533</v>
      </c>
    </row>
    <row r="33" spans="3:5">
      <c r="C33" s="75" t="str">
        <v>Network</v>
      </c>
      <c r="D33" s="75" t="str">
        <v>Anytime - supply charge - RES - Powercor</v>
      </c>
      <c r="E33" s="20" t="s">
        <v>534</v>
      </c>
    </row>
    <row r="34" spans="3:5">
      <c r="C34" s="75" t="str">
        <v>Network</v>
      </c>
      <c r="D34" s="75" t="str">
        <v>Anytime - supply charge - RES - United Energy</v>
      </c>
      <c r="E34" s="20" t="s">
        <v>535</v>
      </c>
    </row>
    <row r="35" spans="3:5">
      <c r="C35" s="75" t="str">
        <v>Network</v>
      </c>
      <c r="D35" s="75" t="str">
        <v>Anytime - supply charge - SME - Ausnet</v>
      </c>
      <c r="E35" s="20" t="s">
        <v>532</v>
      </c>
    </row>
    <row r="36" spans="3:5">
      <c r="C36" s="75" t="str">
        <v>Network</v>
      </c>
      <c r="D36" s="75" t="str">
        <v>Anytime - supply charge - SME - Citipower</v>
      </c>
      <c r="E36" s="20" t="s">
        <v>570</v>
      </c>
    </row>
    <row r="37" spans="3:5">
      <c r="C37" s="75" t="str">
        <v>Network</v>
      </c>
      <c r="D37" s="75" t="str">
        <v>Anytime - supply charge - SME - Jemena</v>
      </c>
      <c r="E37" s="20" t="s">
        <v>533</v>
      </c>
    </row>
    <row r="38" spans="3:5">
      <c r="C38" s="75" t="str">
        <v>Network</v>
      </c>
      <c r="D38" s="75" t="str">
        <v>Anytime - supply charge - SME - Powercor</v>
      </c>
      <c r="E38" s="20" t="s">
        <v>534</v>
      </c>
    </row>
    <row r="39" spans="3:5">
      <c r="C39" s="75" t="str">
        <v>Network</v>
      </c>
      <c r="D39" s="75" t="str">
        <v>Anytime - supply charge - SME - United Energy</v>
      </c>
      <c r="E39" s="20" t="s">
        <v>535</v>
      </c>
    </row>
    <row r="40" spans="3:5">
      <c r="C40" s="75" t="str">
        <v>Network</v>
      </c>
      <c r="D40" s="75" t="str">
        <v>TOU - supply charge - RES - Ausnet</v>
      </c>
      <c r="E40" s="20" t="s">
        <v>532</v>
      </c>
    </row>
    <row r="41" spans="3:5">
      <c r="C41" s="75" t="str">
        <v>Network</v>
      </c>
      <c r="D41" s="75" t="str">
        <v>TOU - supply charge - RES - Citipower</v>
      </c>
      <c r="E41" s="20" t="s">
        <v>570</v>
      </c>
    </row>
    <row r="42" spans="3:5">
      <c r="C42" s="75" t="str">
        <v>Network</v>
      </c>
      <c r="D42" s="75" t="str">
        <v>TOU - supply charge - RES - Jemena</v>
      </c>
      <c r="E42" s="20" t="s">
        <v>533</v>
      </c>
    </row>
    <row r="43" spans="3:5">
      <c r="C43" s="75" t="str">
        <v>Network</v>
      </c>
      <c r="D43" s="75" t="str">
        <v>TOU - supply charge - RES - Powercor</v>
      </c>
      <c r="E43" s="20" t="s">
        <v>534</v>
      </c>
    </row>
    <row r="44" spans="3:5">
      <c r="C44" s="75" t="str">
        <v>Network</v>
      </c>
      <c r="D44" s="75" t="str">
        <v>TOU - supply charge - RES - United Energy</v>
      </c>
      <c r="E44" s="20" t="s">
        <v>535</v>
      </c>
    </row>
    <row r="45" spans="3:5">
      <c r="C45" s="75" t="str">
        <v>Network</v>
      </c>
      <c r="D45" s="75" t="str">
        <v>TOU - supply charge - SME - Ausnet</v>
      </c>
      <c r="E45" s="20" t="s">
        <v>532</v>
      </c>
    </row>
    <row r="46" spans="3:5">
      <c r="C46" s="75" t="str">
        <v>Network</v>
      </c>
      <c r="D46" s="75" t="str">
        <v>TOU - supply charge - SME - Citipower</v>
      </c>
      <c r="E46" s="20" t="s">
        <v>570</v>
      </c>
    </row>
    <row r="47" spans="3:5">
      <c r="C47" s="75" t="str">
        <v>Network</v>
      </c>
      <c r="D47" s="75" t="str">
        <v>TOU - supply charge - SME - Jemena</v>
      </c>
      <c r="E47" s="20" t="s">
        <v>533</v>
      </c>
    </row>
    <row r="48" spans="3:5">
      <c r="C48" s="75" t="str">
        <v>Network</v>
      </c>
      <c r="D48" s="75" t="str">
        <v>TOU - supply charge - SME - Powercor</v>
      </c>
      <c r="E48" s="20" t="s">
        <v>534</v>
      </c>
    </row>
    <row r="49" spans="3:5">
      <c r="C49" s="75" t="str">
        <v>Network</v>
      </c>
      <c r="D49" s="75" t="str">
        <v>TOU - supply charge - SME - United Energy</v>
      </c>
      <c r="E49" s="20" t="s">
        <v>535</v>
      </c>
    </row>
    <row r="50" spans="3:5">
      <c r="C50" s="75" t="str">
        <v>Wholesale</v>
      </c>
      <c r="D50" s="75" t="str">
        <v>Price - RES - Ausnet</v>
      </c>
      <c r="E50" s="20" t="s">
        <v>536</v>
      </c>
    </row>
    <row r="51" spans="3:5">
      <c r="C51" s="75" t="str">
        <v>Wholesale</v>
      </c>
      <c r="D51" s="75" t="str">
        <v>Price - RES - Citipower</v>
      </c>
      <c r="E51" s="20" t="s">
        <v>536</v>
      </c>
    </row>
    <row r="52" spans="3:5">
      <c r="C52" s="75" t="str">
        <v>Wholesale</v>
      </c>
      <c r="D52" s="75" t="str">
        <v>Price - RES - Jemena</v>
      </c>
      <c r="E52" s="20" t="s">
        <v>536</v>
      </c>
    </row>
    <row r="53" spans="3:5">
      <c r="C53" s="75" t="str">
        <v>Wholesale</v>
      </c>
      <c r="D53" s="75" t="str">
        <v>Price - RES - Powercor</v>
      </c>
      <c r="E53" s="20" t="s">
        <v>536</v>
      </c>
    </row>
    <row r="54" spans="3:5">
      <c r="C54" s="75" t="str">
        <v>Wholesale</v>
      </c>
      <c r="D54" s="75" t="str">
        <v>Price - RES - United Energy</v>
      </c>
      <c r="E54" s="20" t="s">
        <v>536</v>
      </c>
    </row>
    <row r="55" spans="3:5">
      <c r="C55" s="75" t="str">
        <v>Wholesale</v>
      </c>
      <c r="D55" s="75" t="str">
        <v>Volatility - RES - Ausnet</v>
      </c>
      <c r="E55" s="20" t="s">
        <v>536</v>
      </c>
    </row>
    <row r="56" spans="3:5">
      <c r="C56" s="75" t="str">
        <v>Wholesale</v>
      </c>
      <c r="D56" s="75" t="str">
        <v>Volatility - RES - Citipower</v>
      </c>
      <c r="E56" s="20" t="s">
        <v>536</v>
      </c>
    </row>
    <row r="57" spans="3:5">
      <c r="C57" s="75" t="str">
        <v>Wholesale</v>
      </c>
      <c r="D57" s="75" t="str">
        <v>Volatility - RES - Jemena</v>
      </c>
      <c r="E57" s="20" t="s">
        <v>536</v>
      </c>
    </row>
    <row r="58" spans="3:5">
      <c r="C58" s="75" t="str">
        <v>Wholesale</v>
      </c>
      <c r="D58" s="75" t="str">
        <v>Volatility - RES - Powercor</v>
      </c>
      <c r="E58" s="20" t="s">
        <v>536</v>
      </c>
    </row>
    <row r="59" spans="3:5">
      <c r="C59" s="75" t="str">
        <v>Wholesale</v>
      </c>
      <c r="D59" s="75" t="str">
        <v>Volatility - RES - United Energy</v>
      </c>
      <c r="E59" s="20" t="s">
        <v>536</v>
      </c>
    </row>
    <row r="60" spans="3:5">
      <c r="C60" s="75" t="str">
        <v>Wholesale</v>
      </c>
      <c r="D60" s="75" t="str">
        <v>Price - SME - Ausnet</v>
      </c>
      <c r="E60" s="20" t="s">
        <v>536</v>
      </c>
    </row>
    <row r="61" spans="3:5">
      <c r="C61" s="75" t="str">
        <v>Wholesale</v>
      </c>
      <c r="D61" s="75" t="str">
        <v>Price - SME - Citipower</v>
      </c>
      <c r="E61" s="20" t="s">
        <v>536</v>
      </c>
    </row>
    <row r="62" spans="3:5">
      <c r="C62" s="75" t="str">
        <v>Wholesale</v>
      </c>
      <c r="D62" s="75" t="str">
        <v>Price - SME - Jemena</v>
      </c>
      <c r="E62" s="20" t="s">
        <v>536</v>
      </c>
    </row>
    <row r="63" spans="3:5">
      <c r="C63" s="75" t="str">
        <v>Wholesale</v>
      </c>
      <c r="D63" s="75" t="str">
        <v>Price - SME - Powercor</v>
      </c>
      <c r="E63" s="20" t="s">
        <v>536</v>
      </c>
    </row>
    <row r="64" spans="3:5">
      <c r="C64" s="75" t="str">
        <v>Wholesale</v>
      </c>
      <c r="D64" s="75" t="str">
        <v>Price - SME - United Energy</v>
      </c>
      <c r="E64" s="20" t="s">
        <v>536</v>
      </c>
    </row>
    <row r="65" spans="1:5">
      <c r="C65" s="75" t="str">
        <v>Wholesale</v>
      </c>
      <c r="D65" s="75" t="str">
        <v>Volatility - SME - Ausnet</v>
      </c>
      <c r="E65" s="20" t="s">
        <v>536</v>
      </c>
    </row>
    <row r="66" spans="1:5">
      <c r="C66" s="75" t="str">
        <v>Wholesale</v>
      </c>
      <c r="D66" s="75" t="str">
        <v>Volatility - SME - Citipower</v>
      </c>
      <c r="E66" s="20" t="s">
        <v>536</v>
      </c>
    </row>
    <row r="67" spans="1:5">
      <c r="C67" s="75" t="str">
        <v>Wholesale</v>
      </c>
      <c r="D67" s="75" t="str">
        <v>Volatility - SME - Jemena</v>
      </c>
      <c r="E67" s="20" t="s">
        <v>536</v>
      </c>
    </row>
    <row r="68" spans="1:5">
      <c r="C68" s="75" t="str">
        <v>Wholesale</v>
      </c>
      <c r="D68" s="75" t="str">
        <v>Volatility - SME - Powercor</v>
      </c>
      <c r="E68" s="20" t="s">
        <v>536</v>
      </c>
    </row>
    <row r="69" spans="1:5">
      <c r="C69" s="75" t="str">
        <v>Wholesale</v>
      </c>
      <c r="D69" s="75" t="str">
        <v>Volatility - SME - United Energy</v>
      </c>
      <c r="E69" s="20" t="s">
        <v>536</v>
      </c>
    </row>
    <row r="70" spans="1:5">
      <c r="C70" s="75" t="str">
        <v>Environmental</v>
      </c>
      <c r="D70" s="75" t="str">
        <v>Victorian energy upgrades (VEU) - Price</v>
      </c>
      <c r="E70" s="20" t="s">
        <v>537</v>
      </c>
    </row>
    <row r="71" spans="1:5">
      <c r="A71" s="196"/>
      <c r="C71" s="75" t="str">
        <v>Environmental</v>
      </c>
      <c r="D71" s="75" t="str">
        <v>Large-scale renewable energy target (LRET) - Price</v>
      </c>
      <c r="E71" s="53" t="s">
        <v>536</v>
      </c>
    </row>
    <row r="72" spans="1:5">
      <c r="A72" s="196"/>
      <c r="C72" s="75" t="str">
        <v>Environmental</v>
      </c>
      <c r="D72" s="75" t="str">
        <v>Small-scale renewable energy scheme (SRES) - Price</v>
      </c>
      <c r="E72" s="53" t="s">
        <v>536</v>
      </c>
    </row>
    <row r="73" spans="1:5">
      <c r="A73" s="196"/>
      <c r="C73" s="75" t="str">
        <v>Environmental</v>
      </c>
      <c r="D73" s="75" t="str">
        <v>Victorian energy upgrades (VEU) - Liability</v>
      </c>
      <c r="E73" s="103" t="s">
        <v>538</v>
      </c>
    </row>
    <row r="74" spans="1:5">
      <c r="A74" s="196"/>
      <c r="C74" s="75" t="str">
        <v>Environmental</v>
      </c>
      <c r="D74" s="75" t="str">
        <v>Large-scale renewable energy target (LRET) - Liability</v>
      </c>
      <c r="E74" s="53" t="s">
        <v>539</v>
      </c>
    </row>
    <row r="75" spans="1:5">
      <c r="A75" s="196"/>
      <c r="C75" s="75" t="str">
        <v>Environmental</v>
      </c>
      <c r="D75" s="75" t="str">
        <v>Large-scale renewable energy target (LRET) - Liability true up (2021 only)</v>
      </c>
      <c r="E75" s="20" t="s">
        <v>39</v>
      </c>
    </row>
    <row r="76" spans="1:5">
      <c r="A76" s="196"/>
      <c r="C76" s="75" t="str">
        <v>Environmental</v>
      </c>
      <c r="D76" s="75" t="str">
        <v>Small-scale renewable energy scheme (SRES) - Liability</v>
      </c>
      <c r="E76" s="53" t="s">
        <v>540</v>
      </c>
    </row>
    <row r="77" spans="1:5">
      <c r="A77" s="196"/>
      <c r="C77" s="75" t="str">
        <v>Environmental</v>
      </c>
      <c r="D77" s="75" t="str">
        <v>Small-scale renewable energy scheme (SRES) - Liability true up (2021 only)</v>
      </c>
      <c r="E77" s="20" t="s">
        <v>39</v>
      </c>
    </row>
    <row r="78" spans="1:5">
      <c r="C78" s="75" t="str">
        <v>Other</v>
      </c>
      <c r="D78" s="75" t="str">
        <v>General NEM fees</v>
      </c>
      <c r="E78" s="20" t="s">
        <v>531</v>
      </c>
    </row>
    <row r="79" spans="1:5">
      <c r="C79" s="75" t="str">
        <v>Other</v>
      </c>
      <c r="D79" s="75" t="str">
        <v>Full retail competition (FRC) operations (OBSOLETE)</v>
      </c>
      <c r="E79" s="20" t="s">
        <v>531</v>
      </c>
    </row>
    <row r="80" spans="1:5">
      <c r="C80" s="75" t="str">
        <v>Other</v>
      </c>
      <c r="D80" s="75" t="str">
        <v>National transmission planner</v>
      </c>
      <c r="E80" s="20" t="s">
        <v>531</v>
      </c>
    </row>
    <row r="81" spans="3:5">
      <c r="C81" s="75" t="str">
        <v>Other</v>
      </c>
      <c r="D81" s="75" t="str">
        <v>Ancillary services</v>
      </c>
      <c r="E81" s="20" t="s">
        <v>567</v>
      </c>
    </row>
    <row r="82" spans="3:5">
      <c r="C82" s="75" t="str">
        <v>Other</v>
      </c>
      <c r="D82" s="75" t="str">
        <v>IT upgrade and 5MS/GS compliance</v>
      </c>
      <c r="E82" s="20" t="s">
        <v>531</v>
      </c>
    </row>
    <row r="83" spans="3:5">
      <c r="C83" s="75" t="str">
        <v>Other</v>
      </c>
      <c r="D83" s="75" t="str">
        <v>Distributed Energy Resources Integration Program (DER)</v>
      </c>
      <c r="E83" s="20" t="s">
        <v>531</v>
      </c>
    </row>
    <row r="84" spans="3:5" ht="29">
      <c r="C84" s="75" t="str">
        <v>Other</v>
      </c>
      <c r="D84" s="75" t="str">
        <v>Market suspension - usage</v>
      </c>
      <c r="E84" s="230" t="s">
        <v>568</v>
      </c>
    </row>
    <row r="85" spans="3:5" ht="29">
      <c r="C85" s="75" t="str">
        <v>Other</v>
      </c>
      <c r="D85" s="75" t="str">
        <v>Directions - usage</v>
      </c>
      <c r="E85" s="32" t="s">
        <v>568</v>
      </c>
    </row>
    <row r="86" spans="3:5" ht="29">
      <c r="C86" s="75" t="str">
        <v>Other</v>
      </c>
      <c r="D86" s="75" t="str">
        <v>Administered price cap - usage</v>
      </c>
      <c r="E86" s="32" t="s">
        <v>568</v>
      </c>
    </row>
    <row r="87" spans="3:5">
      <c r="C87" s="75" t="str">
        <v>Network</v>
      </c>
      <c r="D87" s="75" t="str">
        <v>Anytime - Block 1 - RES - Ausnet</v>
      </c>
      <c r="E87" s="20" t="s">
        <v>532</v>
      </c>
    </row>
    <row r="88" spans="3:5">
      <c r="C88" s="75" t="str">
        <v>Network</v>
      </c>
      <c r="D88" s="75" t="str">
        <v>Anytime - Balance - RES - Ausnet</v>
      </c>
      <c r="E88" s="20" t="s">
        <v>532</v>
      </c>
    </row>
    <row r="89" spans="3:5">
      <c r="C89" s="75" t="str">
        <v>Network</v>
      </c>
      <c r="D89" s="75" t="str">
        <v>Anytime - Single rate - RES - Citipower</v>
      </c>
      <c r="E89" s="20" t="s">
        <v>570</v>
      </c>
    </row>
    <row r="90" spans="3:5">
      <c r="C90" s="75" t="str">
        <v>Network</v>
      </c>
      <c r="D90" s="75" t="str">
        <v>Anytime - Single rate - RES - Jemena</v>
      </c>
      <c r="E90" s="20" t="s">
        <v>533</v>
      </c>
    </row>
    <row r="91" spans="3:5">
      <c r="C91" s="75" t="str">
        <v>Network</v>
      </c>
      <c r="D91" s="75" t="str">
        <v>Anytime - Single rate - RES - Powercor</v>
      </c>
      <c r="E91" s="20" t="s">
        <v>534</v>
      </c>
    </row>
    <row r="92" spans="3:5">
      <c r="C92" s="75" t="str">
        <v>Network</v>
      </c>
      <c r="D92" s="75" t="str">
        <v>Anytime - Single rate - RES - United Energy</v>
      </c>
      <c r="E92" s="20" t="s">
        <v>535</v>
      </c>
    </row>
    <row r="93" spans="3:5">
      <c r="C93" s="75" t="str">
        <v>Network</v>
      </c>
      <c r="D93" s="75" t="str">
        <v>Anytime - Block 1 - SME - Ausnet</v>
      </c>
      <c r="E93" s="20" t="s">
        <v>532</v>
      </c>
    </row>
    <row r="94" spans="3:5">
      <c r="C94" s="75" t="str">
        <v>Network</v>
      </c>
      <c r="D94" s="75" t="str">
        <v>Anytime - Balance - SME - Ausnet</v>
      </c>
      <c r="E94" s="20" t="s">
        <v>532</v>
      </c>
    </row>
    <row r="95" spans="3:5">
      <c r="C95" s="75" t="str">
        <v>Network</v>
      </c>
      <c r="D95" s="75" t="str">
        <v>Anytime - Single rate - SME - Citipower</v>
      </c>
      <c r="E95" s="20" t="s">
        <v>570</v>
      </c>
    </row>
    <row r="96" spans="3:5">
      <c r="C96" s="75" t="str">
        <v>Network</v>
      </c>
      <c r="D96" s="75" t="str">
        <v>Anytime - Single rate - SME - Jemena</v>
      </c>
      <c r="E96" s="20" t="s">
        <v>533</v>
      </c>
    </row>
    <row r="97" spans="3:5">
      <c r="C97" s="75" t="str">
        <v>Network</v>
      </c>
      <c r="D97" s="75" t="str">
        <v>Anytime - Single rate - SME - Powercor</v>
      </c>
      <c r="E97" s="20" t="s">
        <v>534</v>
      </c>
    </row>
    <row r="98" spans="3:5">
      <c r="C98" s="75" t="str">
        <v>Network</v>
      </c>
      <c r="D98" s="75" t="str">
        <v>Anytime - Single rate - SME - United Energy</v>
      </c>
      <c r="E98" s="20" t="s">
        <v>535</v>
      </c>
    </row>
    <row r="99" spans="3:5">
      <c r="C99" s="75" t="str">
        <v>Network</v>
      </c>
      <c r="D99" s="75" t="str">
        <v>TOU - Peak - RES - Ausnet</v>
      </c>
      <c r="E99" s="53" t="s">
        <v>532</v>
      </c>
    </row>
    <row r="100" spans="3:5">
      <c r="C100" s="75" t="str">
        <v>Network</v>
      </c>
      <c r="D100" s="75" t="str">
        <v>TOU - Peak - RES - Citipower</v>
      </c>
      <c r="E100" s="20" t="s">
        <v>570</v>
      </c>
    </row>
    <row r="101" spans="3:5">
      <c r="C101" s="75" t="str">
        <v>Network</v>
      </c>
      <c r="D101" s="75" t="str">
        <v>TOU - Peak - RES - Jemena</v>
      </c>
      <c r="E101" s="20" t="s">
        <v>533</v>
      </c>
    </row>
    <row r="102" spans="3:5">
      <c r="C102" s="75" t="str">
        <v>Network</v>
      </c>
      <c r="D102" s="75" t="str">
        <v>TOU - Peak - RES - Powercor</v>
      </c>
      <c r="E102" s="20" t="s">
        <v>534</v>
      </c>
    </row>
    <row r="103" spans="3:5">
      <c r="C103" s="75" t="str">
        <v>Network</v>
      </c>
      <c r="D103" s="75" t="str">
        <v>TOU - Peak - RES - United Energy</v>
      </c>
      <c r="E103" s="20" t="s">
        <v>535</v>
      </c>
    </row>
    <row r="104" spans="3:5">
      <c r="C104" s="75" t="str">
        <v>Network</v>
      </c>
      <c r="D104" s="75" t="str">
        <v>TOU - Off peak - RES - Ausnet</v>
      </c>
      <c r="E104" s="53" t="s">
        <v>532</v>
      </c>
    </row>
    <row r="105" spans="3:5">
      <c r="C105" s="75" t="str">
        <v>Network</v>
      </c>
      <c r="D105" s="75" t="str">
        <v>TOU - Off peak - RES - Citipower</v>
      </c>
      <c r="E105" s="20" t="s">
        <v>570</v>
      </c>
    </row>
    <row r="106" spans="3:5">
      <c r="C106" s="75" t="str">
        <v>Network</v>
      </c>
      <c r="D106" s="75" t="str">
        <v>TOU - Off peak - RES - Jemena</v>
      </c>
      <c r="E106" s="20" t="s">
        <v>533</v>
      </c>
    </row>
    <row r="107" spans="3:5">
      <c r="C107" s="75" t="str">
        <v>Network</v>
      </c>
      <c r="D107" s="75" t="str">
        <v>TOU - Off peak - RES - Powercor</v>
      </c>
      <c r="E107" s="20" t="s">
        <v>534</v>
      </c>
    </row>
    <row r="108" spans="3:5">
      <c r="C108" s="75" t="str">
        <v>Network</v>
      </c>
      <c r="D108" s="75" t="str">
        <v>TOU - Off peak - RES - United Energy</v>
      </c>
      <c r="E108" s="20" t="s">
        <v>535</v>
      </c>
    </row>
    <row r="109" spans="3:5">
      <c r="C109" s="75" t="str">
        <v>Network</v>
      </c>
      <c r="D109" s="75" t="str">
        <v>TOU - Peak - SME - Ausnet</v>
      </c>
      <c r="E109" s="53" t="s">
        <v>532</v>
      </c>
    </row>
    <row r="110" spans="3:5">
      <c r="C110" s="75" t="str">
        <v>Network</v>
      </c>
      <c r="D110" s="75" t="str">
        <v>TOU - Peak - SME - Citipower</v>
      </c>
      <c r="E110" s="20" t="s">
        <v>570</v>
      </c>
    </row>
    <row r="111" spans="3:5">
      <c r="C111" s="75" t="str">
        <v>Network</v>
      </c>
      <c r="D111" s="75" t="str">
        <v>TOU - Peak - SME - Jemena</v>
      </c>
      <c r="E111" s="20" t="s">
        <v>533</v>
      </c>
    </row>
    <row r="112" spans="3:5">
      <c r="C112" s="75" t="str">
        <v>Network</v>
      </c>
      <c r="D112" s="75" t="str">
        <v>TOU - Peak - SME - Powercor</v>
      </c>
      <c r="E112" s="20" t="s">
        <v>534</v>
      </c>
    </row>
    <row r="113" spans="3:5">
      <c r="C113" s="75" t="str">
        <v>Network</v>
      </c>
      <c r="D113" s="75" t="str">
        <v>TOU - Peak - SME - United Energy</v>
      </c>
      <c r="E113" s="20" t="s">
        <v>535</v>
      </c>
    </row>
    <row r="114" spans="3:5">
      <c r="C114" s="75" t="str">
        <v>Network</v>
      </c>
      <c r="D114" s="75" t="str">
        <v>TOU - Off peak - SME - Ausnet</v>
      </c>
      <c r="E114" s="53" t="s">
        <v>532</v>
      </c>
    </row>
    <row r="115" spans="3:5">
      <c r="C115" s="75" t="str">
        <v>Network</v>
      </c>
      <c r="D115" s="75" t="str">
        <v>TOU - Off peak - SME - Citipower</v>
      </c>
      <c r="E115" s="20" t="s">
        <v>570</v>
      </c>
    </row>
    <row r="116" spans="3:5">
      <c r="C116" s="75" t="str">
        <v>Network</v>
      </c>
      <c r="D116" s="75" t="str">
        <v>TOU - Off peak - SME - Jemena</v>
      </c>
      <c r="E116" s="20" t="s">
        <v>533</v>
      </c>
    </row>
    <row r="117" spans="3:5">
      <c r="C117" s="75" t="str">
        <v>Network</v>
      </c>
      <c r="D117" s="75" t="str">
        <v>TOU - Off peak - SME - Powercor</v>
      </c>
      <c r="E117" s="20" t="s">
        <v>534</v>
      </c>
    </row>
    <row r="118" spans="3:5">
      <c r="C118" s="75" t="str">
        <v>Network</v>
      </c>
      <c r="D118" s="75" t="str">
        <v>TOU - Off peak - SME - United Energy</v>
      </c>
      <c r="E118" s="20" t="s">
        <v>535</v>
      </c>
    </row>
    <row r="119" spans="3:5">
      <c r="C119" s="75" t="str">
        <v>Network</v>
      </c>
      <c r="D119" s="75" t="str">
        <v>Controlled load - RES - Ausnet</v>
      </c>
      <c r="E119" s="53" t="s">
        <v>532</v>
      </c>
    </row>
    <row r="120" spans="3:5">
      <c r="C120" s="75" t="str">
        <v>Network</v>
      </c>
      <c r="D120" s="75" t="str">
        <v>Controlled load - RES - Citipower</v>
      </c>
      <c r="E120" s="20" t="s">
        <v>570</v>
      </c>
    </row>
    <row r="121" spans="3:5">
      <c r="C121" s="75" t="str">
        <v>Network</v>
      </c>
      <c r="D121" s="75" t="str">
        <v>Controlled load - RES - Jemena</v>
      </c>
      <c r="E121" s="20" t="s">
        <v>533</v>
      </c>
    </row>
    <row r="122" spans="3:5">
      <c r="C122" s="75" t="str">
        <v>Network</v>
      </c>
      <c r="D122" s="75" t="str">
        <v>Controlled load - RES - Powercor</v>
      </c>
      <c r="E122" s="20" t="s">
        <v>534</v>
      </c>
    </row>
    <row r="123" spans="3:5">
      <c r="C123" s="75" t="str">
        <v>Network</v>
      </c>
      <c r="D123" s="75" t="str">
        <v>Controlled load - RES - United Energy</v>
      </c>
      <c r="E123" s="20" t="s">
        <v>535</v>
      </c>
    </row>
    <row r="124" spans="3:5">
      <c r="C124" s="75" t="str">
        <v>Retail margin</v>
      </c>
      <c r="D124" s="75" t="str">
        <v>Retail operating margin</v>
      </c>
      <c r="E124" s="20" t="s">
        <v>528</v>
      </c>
    </row>
    <row r="125" spans="3:5">
      <c r="C125" s="75" t="str">
        <v>Marginal loss factors</v>
      </c>
      <c r="D125" s="75" t="str">
        <v>Marginal loss factor - Ausnet</v>
      </c>
      <c r="E125" s="20" t="s">
        <v>541</v>
      </c>
    </row>
    <row r="126" spans="3:5">
      <c r="C126" s="75" t="str">
        <v>Marginal loss factors</v>
      </c>
      <c r="D126" s="75" t="str">
        <v>Marginal loss factor - Citipower</v>
      </c>
      <c r="E126" s="20" t="s">
        <v>541</v>
      </c>
    </row>
    <row r="127" spans="3:5">
      <c r="C127" s="75" t="str">
        <v>Marginal loss factors</v>
      </c>
      <c r="D127" s="75" t="str">
        <v>Marginal loss factor - Jemena</v>
      </c>
      <c r="E127" s="20" t="s">
        <v>541</v>
      </c>
    </row>
    <row r="128" spans="3:5">
      <c r="C128" s="75" t="str">
        <v>Marginal loss factors</v>
      </c>
      <c r="D128" s="75" t="str">
        <v>Marginal loss factor - Powercor</v>
      </c>
      <c r="E128" s="20" t="s">
        <v>541</v>
      </c>
    </row>
    <row r="129" spans="3:5">
      <c r="C129" s="75" t="str">
        <v>Marginal loss factors</v>
      </c>
      <c r="D129" s="75" t="str">
        <v>Marginal loss factor - United Energy</v>
      </c>
      <c r="E129" s="20" t="s">
        <v>541</v>
      </c>
    </row>
    <row r="130" spans="3:5">
      <c r="C130" s="75" t="str">
        <v>Distribution loss factors</v>
      </c>
      <c r="D130" s="75" t="str">
        <v>Distribution loss factor - Ausnet</v>
      </c>
      <c r="E130" s="20" t="s">
        <v>542</v>
      </c>
    </row>
    <row r="131" spans="3:5">
      <c r="C131" s="75" t="str">
        <v>Distribution loss factors</v>
      </c>
      <c r="D131" s="75" t="str">
        <v>Distribution loss factor - Citipower</v>
      </c>
      <c r="E131" s="20" t="s">
        <v>542</v>
      </c>
    </row>
    <row r="132" spans="3:5">
      <c r="C132" s="75" t="str">
        <v>Distribution loss factors</v>
      </c>
      <c r="D132" s="75" t="str">
        <v>Distribution loss factor - Jemena</v>
      </c>
      <c r="E132" s="20" t="s">
        <v>542</v>
      </c>
    </row>
    <row r="133" spans="3:5">
      <c r="C133" s="75" t="str">
        <v>Distribution loss factors</v>
      </c>
      <c r="D133" s="75" t="str">
        <v>Distribution loss factor - Powercor</v>
      </c>
      <c r="E133" s="20" t="s">
        <v>542</v>
      </c>
    </row>
    <row r="134" spans="3:5">
      <c r="C134" s="75" t="str">
        <v>Distribution loss factors</v>
      </c>
      <c r="D134" s="75" t="str">
        <v>Distribution loss factor - United Energy</v>
      </c>
      <c r="E134" s="20" t="s">
        <v>542</v>
      </c>
    </row>
  </sheetData>
  <sheetProtection algorithmName="SHA-512" hashValue="eePeXJipbMymkDTtl9RcfnVQ5Dz5oo9sB2kxCGj7rYdX400iYlyIYh1iWqycOA2FdO8knM0+dpR+3q6iaXLVcw==" saltValue="MUG8FbPEaep2VjpH+GO4yQ==" spinCount="100000" sheet="1" objects="1" scenarios="1"/>
  <autoFilter ref="C10:E134" xr:uid="{1A4695C8-F6D1-4BF8-82EA-EAA3921BC0FE}"/>
  <mergeCells count="1">
    <mergeCell ref="A2:A3"/>
  </mergeCells>
  <hyperlinks>
    <hyperlink ref="E73" r:id="rId1" location="toc--determining-liability" display="Essential Services Commission website" xr:uid="{0CB63ECA-D634-4A63-85C2-B5738D1D55DE}"/>
    <hyperlink ref="B1" location="Contents!A1" display="&lt;&lt; Back to contents" xr:uid="{1032A4AD-142C-4BC0-8288-0E23BFA15EB7}"/>
  </hyperlinks>
  <pageMargins left="0.7" right="0.7" top="0.75" bottom="0.75" header="0.3" footer="0.3"/>
  <pageSetup paperSize="9" orientation="portrait" r:id="rId2"/>
  <headerFooter>
    <oddHeader>&amp;C&amp;B&amp;"Arial"&amp;12&amp;Kff0000​‌OFFICIAL‌​</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EF0-E3B4-430B-9D34-4B8EDDBD05A4}">
  <sheetPr>
    <tabColor rgb="FF4986A0"/>
    <pageSetUpPr autoPageBreaks="0"/>
  </sheetPr>
  <dimension ref="A1:Z20"/>
  <sheetViews>
    <sheetView showGridLines="0" topLeftCell="B1" zoomScale="90" zoomScaleNormal="90" workbookViewId="0">
      <pane ySplit="3" topLeftCell="A4" activePane="bottomLeft" state="frozen"/>
      <selection activeCell="D15" sqref="D15"/>
      <selection pane="bottomLeft" activeCell="B3" sqref="B3"/>
    </sheetView>
  </sheetViews>
  <sheetFormatPr defaultColWidth="9.453125" defaultRowHeight="14.5" outlineLevelCol="1"/>
  <cols>
    <col min="1" max="1" width="100.54296875" hidden="1" customWidth="1" outlineLevel="1"/>
    <col min="2" max="2" width="10.54296875" style="6" customWidth="1" collapsed="1"/>
    <col min="3" max="3" width="41.453125" bestFit="1" customWidth="1"/>
    <col min="4" max="26" width="25.54296875" customWidth="1"/>
  </cols>
  <sheetData>
    <row r="1" spans="1:26" ht="15" customHeight="1">
      <c r="A1" s="1" t="s">
        <v>15</v>
      </c>
      <c r="B1" s="18"/>
      <c r="C1" s="19"/>
      <c r="D1" s="19"/>
      <c r="E1" s="19"/>
      <c r="F1" s="19"/>
      <c r="G1" s="19"/>
      <c r="H1" s="19"/>
      <c r="I1" s="19"/>
      <c r="J1" s="19"/>
      <c r="K1" s="19"/>
      <c r="L1" s="19"/>
      <c r="M1" s="19"/>
      <c r="N1" s="19"/>
      <c r="O1" s="19"/>
      <c r="P1" s="19"/>
      <c r="Q1" s="19"/>
      <c r="R1" s="19"/>
      <c r="S1" s="19"/>
      <c r="T1" s="19"/>
      <c r="U1" s="19"/>
      <c r="V1" s="19"/>
      <c r="W1" s="19"/>
      <c r="X1" s="19"/>
      <c r="Y1" s="19"/>
      <c r="Z1" s="19"/>
    </row>
    <row r="2" spans="1:26" s="4" customFormat="1" ht="50.15" customHeight="1">
      <c r="A2" s="236" t="s">
        <v>16</v>
      </c>
      <c r="B2" s="22"/>
      <c r="C2" s="22" t="str">
        <f>Disclaimer!$B$1</f>
        <v>VDO calculation model</v>
      </c>
      <c r="D2" s="22"/>
      <c r="E2" s="22"/>
      <c r="F2" s="22"/>
      <c r="G2" s="22"/>
      <c r="H2" s="22"/>
      <c r="I2" s="22"/>
      <c r="J2" s="22"/>
      <c r="K2" s="22"/>
      <c r="L2" s="22"/>
      <c r="M2" s="22"/>
      <c r="N2" s="22"/>
      <c r="O2" s="22"/>
      <c r="P2" s="22"/>
      <c r="Q2" s="22"/>
      <c r="R2" s="22"/>
      <c r="S2" s="22"/>
      <c r="T2" s="22"/>
      <c r="U2" s="22"/>
      <c r="V2" s="22"/>
      <c r="W2" s="22"/>
      <c r="X2" s="22"/>
      <c r="Y2" s="22"/>
      <c r="Z2" s="22"/>
    </row>
    <row r="3" spans="1:26" s="4" customFormat="1" ht="30" customHeight="1">
      <c r="A3" s="237"/>
      <c r="B3" s="24">
        <f ca="1">_xlfn.SHEET()</f>
        <v>20</v>
      </c>
      <c r="C3" s="23" t="s">
        <v>484</v>
      </c>
      <c r="D3" s="23"/>
      <c r="E3" s="23"/>
      <c r="F3" s="23"/>
      <c r="G3" s="23"/>
      <c r="H3" s="23"/>
      <c r="I3" s="23"/>
      <c r="J3" s="23"/>
      <c r="K3" s="23"/>
      <c r="L3" s="23"/>
      <c r="M3" s="23"/>
      <c r="N3" s="23"/>
      <c r="O3" s="23"/>
      <c r="P3" s="23"/>
      <c r="Q3" s="23"/>
      <c r="R3" s="23"/>
      <c r="S3" s="23"/>
      <c r="T3" s="23"/>
      <c r="U3" s="23"/>
      <c r="V3" s="23"/>
      <c r="W3" s="23"/>
      <c r="X3" s="23"/>
      <c r="Y3" s="23"/>
      <c r="Z3" s="23"/>
    </row>
    <row r="4" spans="1:26">
      <c r="B4"/>
    </row>
    <row r="5" spans="1:26" ht="16" thickBot="1">
      <c r="A5" s="1" t="s">
        <v>18</v>
      </c>
      <c r="B5" s="216">
        <f ca="1">MAX(B$3:B4)+0.01</f>
        <v>20.010000000000002</v>
      </c>
      <c r="C5" s="25" t="s">
        <v>46</v>
      </c>
      <c r="D5" s="25"/>
      <c r="E5" s="25"/>
      <c r="F5" s="25"/>
      <c r="G5" s="25"/>
      <c r="H5" s="25"/>
      <c r="I5" s="25"/>
      <c r="J5" s="25"/>
      <c r="K5" s="25"/>
      <c r="L5" s="25"/>
      <c r="M5" s="25"/>
      <c r="N5" s="25"/>
      <c r="O5" s="25"/>
      <c r="P5" s="25"/>
      <c r="Q5" s="25"/>
      <c r="R5" s="25"/>
      <c r="S5" s="25"/>
      <c r="T5" s="25"/>
      <c r="U5" s="25"/>
      <c r="V5" s="25"/>
      <c r="W5" s="25"/>
      <c r="X5" s="25"/>
      <c r="Y5" s="25"/>
      <c r="Z5" s="25"/>
    </row>
    <row r="7" spans="1:26" ht="15.5">
      <c r="C7" s="47" t="s">
        <v>88</v>
      </c>
      <c r="E7" s="47" t="s">
        <v>485</v>
      </c>
      <c r="G7" s="47" t="s">
        <v>57</v>
      </c>
      <c r="I7" s="47" t="s">
        <v>486</v>
      </c>
      <c r="K7" s="38" t="s">
        <v>487</v>
      </c>
      <c r="M7" s="38" t="s">
        <v>488</v>
      </c>
    </row>
    <row r="8" spans="1:26">
      <c r="C8" s="46" t="s">
        <v>7</v>
      </c>
      <c r="E8" s="46" t="s">
        <v>68</v>
      </c>
      <c r="G8" s="46" t="s">
        <v>91</v>
      </c>
      <c r="I8" s="46" t="s">
        <v>166</v>
      </c>
      <c r="K8" s="15" t="s">
        <v>121</v>
      </c>
      <c r="M8" s="15" t="s">
        <v>121</v>
      </c>
    </row>
    <row r="9" spans="1:26">
      <c r="C9" s="48" t="s">
        <v>90</v>
      </c>
      <c r="E9" s="46" t="s">
        <v>179</v>
      </c>
      <c r="G9" s="46" t="s">
        <v>65</v>
      </c>
      <c r="I9" s="46" t="s">
        <v>168</v>
      </c>
      <c r="K9" s="15" t="s">
        <v>181</v>
      </c>
      <c r="M9" s="15" t="s">
        <v>181</v>
      </c>
    </row>
    <row r="10" spans="1:26">
      <c r="C10" s="48" t="s">
        <v>103</v>
      </c>
      <c r="E10" s="46" t="s">
        <v>64</v>
      </c>
      <c r="G10" s="48" t="s">
        <v>66</v>
      </c>
      <c r="I10" s="46" t="s">
        <v>170</v>
      </c>
      <c r="K10" s="15" t="s">
        <v>489</v>
      </c>
    </row>
    <row r="11" spans="1:26">
      <c r="E11" s="46" t="s">
        <v>134</v>
      </c>
      <c r="I11" s="46" t="s">
        <v>167</v>
      </c>
    </row>
    <row r="12" spans="1:26">
      <c r="E12" s="46" t="s">
        <v>150</v>
      </c>
      <c r="I12" s="46" t="s">
        <v>169</v>
      </c>
    </row>
    <row r="13" spans="1:26">
      <c r="E13" s="46" t="s">
        <v>400</v>
      </c>
      <c r="I13" s="48" t="s">
        <v>171</v>
      </c>
    </row>
    <row r="14" spans="1:26">
      <c r="E14" s="46" t="s">
        <v>226</v>
      </c>
    </row>
    <row r="15" spans="1:26">
      <c r="E15" s="46" t="s">
        <v>128</v>
      </c>
    </row>
    <row r="16" spans="1:26">
      <c r="E16" s="48" t="s">
        <v>409</v>
      </c>
    </row>
    <row r="17" spans="5:5">
      <c r="E17" s="48" t="s">
        <v>51</v>
      </c>
    </row>
    <row r="18" spans="5:5">
      <c r="E18" s="48" t="s">
        <v>490</v>
      </c>
    </row>
    <row r="19" spans="5:5">
      <c r="E19" s="48" t="s">
        <v>138</v>
      </c>
    </row>
    <row r="20" spans="5:5">
      <c r="E20" s="48" t="s">
        <v>152</v>
      </c>
    </row>
  </sheetData>
  <sheetProtection algorithmName="SHA-512" hashValue="txraLqb/wj7hBCbuGa0qFPBUcci5SEO7PEGUMWLyZZAr2OVCQ6lJ7TRK6nyVIDm55arFtraQe4e9a4J6tCSvpA==" saltValue="CmautYKFIyo42TmtFi+nnw==" spinCount="100000" sheet="1" objects="1" scenarios="1"/>
  <mergeCells count="1">
    <mergeCell ref="A2:A3"/>
  </mergeCells>
  <pageMargins left="0.7" right="0.7" top="0.75" bottom="0.75" header="0.3" footer="0.3"/>
  <pageSetup paperSize="9" orientation="portrait" r:id="rId1"/>
  <headerFooter>
    <oddHeader>&amp;C&amp;B&amp;"Arial"&amp;12&amp;Kff0000​‌OFFICIAL‌​</oddHeader>
  </headerFooter>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5" ma:contentTypeDescription="Create a new document." ma:contentTypeScope="" ma:versionID="7d95e092565c731f4ad071a2de3b31ba">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bbf50bbe4bdd64e324b0554ec052d2f7"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F5AD19-D35C-4D0A-B8E2-C3C781D0CC4A}">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8cbbe4c-1ec4-4b8c-a95b-d171fe90b0f4"/>
    <ds:schemaRef ds:uri="7e14ee29-ff38-48b8-9fe1-bb9ec2179f19"/>
  </ds:schemaRefs>
</ds:datastoreItem>
</file>

<file path=customXml/itemProps2.xml><?xml version="1.0" encoding="utf-8"?>
<ds:datastoreItem xmlns:ds="http://schemas.openxmlformats.org/officeDocument/2006/customXml" ds:itemID="{B139258F-1C21-4DD8-9213-AB97CD8302AB}">
  <ds:schemaRefs>
    <ds:schemaRef ds:uri="http://schemas.microsoft.com/DataMashup"/>
  </ds:schemaRefs>
</ds:datastoreItem>
</file>

<file path=customXml/itemProps3.xml><?xml version="1.0" encoding="utf-8"?>
<ds:datastoreItem xmlns:ds="http://schemas.openxmlformats.org/officeDocument/2006/customXml" ds:itemID="{EC50ABAC-58D2-4E79-80F1-117C47AA0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774C02-8D8E-4FC3-9D41-C33DCB6683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Cover</vt:lpstr>
      <vt:lpstr>Disclaimer</vt:lpstr>
      <vt:lpstr>Contents</vt:lpstr>
      <vt:lpstr>User Guide</vt:lpstr>
      <vt:lpstr>OP_Rates</vt:lpstr>
      <vt:lpstr>OP_CMAB</vt:lpstr>
      <vt:lpstr>CH_CostStack_RES</vt:lpstr>
      <vt:lpstr>CH_CostStack_SME</vt:lpstr>
      <vt:lpstr>CH_CostStack_SME 10k</vt:lpstr>
      <vt:lpstr>Inputs</vt:lpstr>
      <vt:lpstr>General Assumptions</vt:lpstr>
      <vt:lpstr>CPI</vt:lpstr>
      <vt:lpstr>Calc_Rates</vt:lpstr>
      <vt:lpstr>Calc_TU_values</vt:lpstr>
      <vt:lpstr>Calc_TU_rates</vt:lpstr>
      <vt:lpstr>CH_CostElements_Anytime</vt:lpstr>
      <vt:lpstr>Pre-VDO MSO vs cost stack_RES</vt:lpstr>
      <vt:lpstr>Pre-VDO MSO vs cost stack_SME</vt:lpstr>
      <vt:lpstr>Sources</vt:lpstr>
      <vt:lpstr>Lookup refs</vt:lpstr>
      <vt:lpstr>AUD</vt:lpstr>
      <vt:lpstr>Calc_TU_values</vt:lpstr>
      <vt:lpstr>CH_CostStack_RES!CostStackCalcs_remove2\</vt:lpstr>
      <vt:lpstr>DiLY</vt:lpstr>
      <vt:lpstr>DiY</vt:lpstr>
      <vt:lpstr>FY</vt:lpstr>
      <vt:lpstr>GST</vt:lpstr>
      <vt:lpstr>CH_CostStack_RES!hi</vt:lpstr>
      <vt:lpstr>Input_TUEnv_Actua</vt:lpstr>
      <vt:lpstr>MiQ</vt:lpstr>
      <vt:lpstr>MiY</vt:lpstr>
      <vt:lpstr>PY</vt:lpstr>
      <vt:lpstr>TUProp_CLLoad_1</vt:lpstr>
      <vt:lpstr>TUProp_CLLoad_2</vt:lpstr>
      <vt:lpstr>TUProp_Days_1</vt:lpstr>
      <vt:lpstr>TUProp_Days_2</vt:lpstr>
      <vt:lpstr>WACC</vt:lpstr>
      <vt:lpstr>WACC_adj_1</vt:lpstr>
      <vt:lpstr>WACC_adj_2</vt:lpstr>
      <vt:lpstr>WiLY</vt:lpstr>
      <vt:lpstr>WiY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[SEC=OFFICIAL]</cp:keywords>
  <dc:description/>
  <cp:lastModifiedBy>Nitul Deshpande (ESC)</cp:lastModifiedBy>
  <cp:revision/>
  <dcterms:created xsi:type="dcterms:W3CDTF">2020-01-15T04:05:27Z</dcterms:created>
  <dcterms:modified xsi:type="dcterms:W3CDTF">2023-05-25T03:38:03Z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59DC5C59153349D2BB9190ABAB61C175</vt:lpwstr>
  </property>
  <property fmtid="{D5CDD505-2E9C-101B-9397-08002B2CF9AE}" pid="10" name="PM_ProtectiveMarkingValue_Footer">
    <vt:lpwstr>OFFICIAL</vt:lpwstr>
  </property>
  <property fmtid="{D5CDD505-2E9C-101B-9397-08002B2CF9AE}" pid="11" name="PM_Originator_Hash_SHA1">
    <vt:lpwstr>7FA0E445E1BA37C23ECC082A1C28664A60DB33AD</vt:lpwstr>
  </property>
  <property fmtid="{D5CDD505-2E9C-101B-9397-08002B2CF9AE}" pid="12" name="PM_OriginationTimeStamp">
    <vt:lpwstr>2023-02-21T22:05:29Z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C9E138BB65578E931662D00F52944D3C</vt:lpwstr>
  </property>
  <property fmtid="{D5CDD505-2E9C-101B-9397-08002B2CF9AE}" pid="22" name="PM_Hash_Salt">
    <vt:lpwstr>B94D8F0FDF4EF9A7A311A159D9FD85AB</vt:lpwstr>
  </property>
  <property fmtid="{D5CDD505-2E9C-101B-9397-08002B2CF9AE}" pid="23" name="PM_Hash_SHA1">
    <vt:lpwstr>C4BEDB2EEE9D5E5CB814329641A3624E203CAE33</vt:lpwstr>
  </property>
  <property fmtid="{D5CDD505-2E9C-101B-9397-08002B2CF9AE}" pid="24" name="PM_OriginatorUserAccountName_SHA256">
    <vt:lpwstr>E51A4B40B1F3478FD5159D462CDA5ED2CA26CCC8934C32D3F846F6C168A712B6</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C9CD97EE-7A57-5433-8DC0-34EC18AC88E3</vt:lpwstr>
  </property>
  <property fmtid="{D5CDD505-2E9C-101B-9397-08002B2CF9AE}" pid="30" name="PMUuidVer">
    <vt:lpwstr>2022.1</vt:lpwstr>
  </property>
</Properties>
</file>