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queryTables/queryTable1.xml" ContentType="application/vnd.openxmlformats-officedocument.spreadsheetml.query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3.xml" ContentType="application/vnd.openxmlformats-officedocument.drawing+xml"/>
  <Override PartName="/xl/tables/table60.xml" ContentType="application/vnd.openxmlformats-officedocument.spreadsheetml.table+xml"/>
  <Override PartName="/xl/tables/table6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62.xml" ContentType="application/vnd.openxmlformats-officedocument.spreadsheetml.table+xml"/>
  <Override PartName="/xl/tables/table6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tables/table64.xml" ContentType="application/vnd.openxmlformats-officedocument.spreadsheetml.table+xml"/>
  <Override PartName="/xl/tables/table65.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defaultThemeVersion="166925"/>
  <mc:AlternateContent xmlns:mc="http://schemas.openxmlformats.org/markup-compatibility/2006">
    <mc:Choice Requires="x15">
      <x15ac:absPath xmlns:x15ac="http://schemas.microsoft.com/office/spreadsheetml/2010/11/ac" url="https://escvic.sharepoint.com/teams/VDO/Shared Documents/2024-25 VDO/Model - working documents/VDO Public Model/"/>
    </mc:Choice>
  </mc:AlternateContent>
  <xr:revisionPtr revIDLastSave="416" documentId="8_{DF3684BD-D441-46D4-9300-60AD998D356A}" xr6:coauthVersionLast="47" xr6:coauthVersionMax="47" xr10:uidLastSave="{5E9EB216-BA0C-4618-96D1-898FC97B842B}"/>
  <bookViews>
    <workbookView xWindow="-120" yWindow="-120" windowWidth="29040" windowHeight="15840" tabRatio="826" xr2:uid="{7D2DFC98-FAB5-43BC-B4E4-A25601635F0E}"/>
  </bookViews>
  <sheets>
    <sheet name="Cover" sheetId="81" r:id="rId1"/>
    <sheet name="Disclaimer" sheetId="46" r:id="rId2"/>
    <sheet name="Contents" sheetId="4" r:id="rId3"/>
    <sheet name="User Guide" sheetId="40" r:id="rId4"/>
    <sheet name="Calc_Rates" sheetId="44" r:id="rId5"/>
    <sheet name="Inputs" sheetId="42" r:id="rId6"/>
    <sheet name="General Assumptions" sheetId="39" r:id="rId7"/>
    <sheet name="CPI" sheetId="48" r:id="rId8"/>
    <sheet name="Calc_TU_values" sheetId="49" r:id="rId9"/>
    <sheet name="Calc_TU_rates" sheetId="63" r:id="rId10"/>
    <sheet name="CH_CostStack_RES" sheetId="52" r:id="rId11"/>
    <sheet name="CH_CostStack_SME 10k" sheetId="84" r:id="rId12"/>
    <sheet name="CH_CostStack_SME" sheetId="80" r:id="rId13"/>
    <sheet name="OP_Rates" sheetId="51" state="hidden" r:id="rId14"/>
    <sheet name="OP_CMAB" sheetId="50" state="hidden" r:id="rId15"/>
    <sheet name="Lookup refs" sheetId="47" state="hidden" r:id="rId16"/>
    <sheet name="Blank_WkSheet" sheetId="17" state="hidden" r:id="rId17"/>
  </sheets>
  <definedNames>
    <definedName name="_xlnm._FilterDatabase" localSheetId="9" hidden="1">Calc_TU_rates!$C$99:$L$132</definedName>
    <definedName name="_xlnm._FilterDatabase" localSheetId="5" hidden="1">Inputs!$A$17:$B$141</definedName>
    <definedName name="AUD">'General Assumptions'!$D$20</definedName>
    <definedName name="Calc_TU_values">Inputs!#REF!</definedName>
    <definedName name="CostStackCalcs_remove2\">CH_CostStack_RES!$N$67</definedName>
    <definedName name="DiPY">'General Assumptions'!$D$10</definedName>
    <definedName name="DiY">'General Assumptions'!$D$9</definedName>
    <definedName name="ExternalData_1" localSheetId="6" hidden="1">'General Assumptions'!$C$30:$D$35</definedName>
    <definedName name="FY">Calc_Rates!$D$5</definedName>
    <definedName name="GST">'General Assumptions'!$D$23</definedName>
    <definedName name="hi">CH_CostStack_RES!$N$67</definedName>
    <definedName name="Input_TUEnv_Actua">Calc_TU_values!$K$18</definedName>
    <definedName name="MiQ">'General Assumptions'!$D$14</definedName>
    <definedName name="MiY">'General Assumptions'!$D$13</definedName>
    <definedName name="PY">Calc_Rates!$D$266</definedName>
    <definedName name="TUProp_CLLoad_1">Calc_TU_values!$F$88</definedName>
    <definedName name="TUProp_CLLoad_2">Calc_TU_values!$F$308</definedName>
    <definedName name="TUProp_Days_1">Calc_TU_values!$D$76</definedName>
    <definedName name="TUProp_Days_2">Calc_TU_values!$D$296</definedName>
    <definedName name="UserGuide">'User Guide'!$C$3</definedName>
    <definedName name="WACC">Inputs!#REF!</definedName>
    <definedName name="WACC_adj_1">Calc_TU_values!$D$78</definedName>
    <definedName name="WACC_adj_2">Calc_TU_values!$D$298</definedName>
    <definedName name="WiPY">'General Assumptions'!$D$18</definedName>
    <definedName name="WiY">'General Assumptions'!$D$17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9" l="1"/>
  <c r="AA147" i="42"/>
  <c r="K147" i="42"/>
  <c r="M147" i="42"/>
  <c r="O147" i="42"/>
  <c r="Q147" i="42"/>
  <c r="S147" i="42"/>
  <c r="U147" i="42"/>
  <c r="Y147" i="42"/>
  <c r="W147" i="42"/>
  <c r="E151" i="42"/>
  <c r="E150" i="42"/>
  <c r="E152" i="42"/>
  <c r="E153" i="42"/>
  <c r="E154" i="42"/>
  <c r="E155" i="42"/>
  <c r="E156" i="42"/>
  <c r="E157" i="42"/>
  <c r="E158" i="42"/>
  <c r="E159" i="42"/>
  <c r="E160" i="42"/>
  <c r="E161" i="42"/>
  <c r="E162" i="42"/>
  <c r="E163" i="42"/>
  <c r="E164" i="42"/>
  <c r="E165" i="42"/>
  <c r="E166" i="42"/>
  <c r="E167" i="42"/>
  <c r="E168" i="42"/>
  <c r="E169" i="42"/>
  <c r="E170" i="42"/>
  <c r="E171" i="42"/>
  <c r="E172" i="42"/>
  <c r="E173" i="42"/>
  <c r="E174" i="42"/>
  <c r="E175" i="42"/>
  <c r="E176" i="42"/>
  <c r="E177" i="42"/>
  <c r="E178" i="42"/>
  <c r="E179" i="42"/>
  <c r="E180" i="42"/>
  <c r="E181" i="42"/>
  <c r="E182" i="42"/>
  <c r="E183" i="42"/>
  <c r="E184" i="42"/>
  <c r="E185" i="42"/>
  <c r="E186" i="42"/>
  <c r="H64" i="63" l="1" a="1"/>
  <c r="H64" i="63" s="1"/>
  <c r="H100" i="63" s="1"/>
  <c r="H70" i="63" a="1"/>
  <c r="H70" i="63" s="1"/>
  <c r="H106" i="63" s="1"/>
  <c r="H76" i="63" a="1"/>
  <c r="H76" i="63" s="1"/>
  <c r="H112" i="63" s="1"/>
  <c r="H82" i="63" a="1"/>
  <c r="H82" i="63" s="1"/>
  <c r="H118" i="63" s="1"/>
  <c r="H87" i="63" a="1"/>
  <c r="H87" i="63" s="1"/>
  <c r="H92" i="63" a="1"/>
  <c r="H92" i="63" s="1"/>
  <c r="H128" i="63" s="1"/>
  <c r="I65" i="63" a="1"/>
  <c r="I65" i="63" s="1"/>
  <c r="I101" i="63" s="1"/>
  <c r="I71" i="63" a="1"/>
  <c r="I71" i="63" s="1"/>
  <c r="I107" i="63" s="1"/>
  <c r="I66" i="63" a="1"/>
  <c r="I66" i="63" s="1"/>
  <c r="I102" i="63" s="1"/>
  <c r="I72" i="63" a="1"/>
  <c r="I72" i="63" s="1"/>
  <c r="I108" i="63" s="1"/>
  <c r="I77" i="63" a="1"/>
  <c r="I77" i="63" s="1"/>
  <c r="I113" i="63" s="1"/>
  <c r="I78" i="63" a="1"/>
  <c r="I78" i="63" s="1"/>
  <c r="I114" i="63" s="1"/>
  <c r="I83" i="63" a="1"/>
  <c r="I83" i="63" s="1"/>
  <c r="I119" i="63" s="1"/>
  <c r="I84" i="63" a="1"/>
  <c r="I84" i="63" s="1"/>
  <c r="I120" i="63" s="1"/>
  <c r="I88" i="63" a="1"/>
  <c r="I88" i="63" s="1"/>
  <c r="I124" i="63" s="1"/>
  <c r="I89" i="63" a="1"/>
  <c r="I89" i="63" s="1"/>
  <c r="I93" i="63" a="1"/>
  <c r="I93" i="63" s="1"/>
  <c r="I94" i="63" a="1"/>
  <c r="I94" i="63" s="1"/>
  <c r="I130" i="63" s="1"/>
  <c r="J65" i="63" a="1"/>
  <c r="J65" i="63" s="1"/>
  <c r="J71" i="63" a="1"/>
  <c r="J71" i="63" s="1"/>
  <c r="J107" i="63" s="1"/>
  <c r="J66" i="63" a="1"/>
  <c r="J66" i="63" s="1"/>
  <c r="J102" i="63" s="1"/>
  <c r="J72" i="63" a="1"/>
  <c r="J72" i="63" s="1"/>
  <c r="J108" i="63" s="1"/>
  <c r="J77" i="63" a="1"/>
  <c r="J77" i="63" s="1"/>
  <c r="J113" i="63" s="1"/>
  <c r="J78" i="63" a="1"/>
  <c r="J78" i="63" s="1"/>
  <c r="J114" i="63" s="1"/>
  <c r="J83" i="63" a="1"/>
  <c r="J83" i="63" s="1"/>
  <c r="J84" i="63" a="1"/>
  <c r="J84" i="63" s="1"/>
  <c r="J88" i="63" a="1"/>
  <c r="J88" i="63" s="1"/>
  <c r="J124" i="63" s="1"/>
  <c r="J89" i="63" a="1"/>
  <c r="J89" i="63" s="1"/>
  <c r="J125" i="63" s="1"/>
  <c r="J93" i="63" a="1"/>
  <c r="J93" i="63" s="1"/>
  <c r="J129" i="63" s="1"/>
  <c r="J94" i="63" a="1"/>
  <c r="J94" i="63" s="1"/>
  <c r="J130" i="63" s="1"/>
  <c r="K65" i="63" a="1"/>
  <c r="K65" i="63" s="1"/>
  <c r="K101" i="63" s="1"/>
  <c r="K71" i="63" a="1"/>
  <c r="K71" i="63" s="1"/>
  <c r="K107" i="63" s="1"/>
  <c r="K66" i="63" a="1"/>
  <c r="K66" i="63" s="1"/>
  <c r="K102" i="63" s="1"/>
  <c r="K72" i="63" a="1"/>
  <c r="K72" i="63" s="1"/>
  <c r="K108" i="63" s="1"/>
  <c r="K77" i="63" a="1"/>
  <c r="K77" i="63" s="1"/>
  <c r="K113" i="63" s="1"/>
  <c r="K78" i="63" a="1"/>
  <c r="K78" i="63" s="1"/>
  <c r="K114" i="63" s="1"/>
  <c r="K83" i="63" a="1"/>
  <c r="K83" i="63" s="1"/>
  <c r="K119" i="63" s="1"/>
  <c r="K84" i="63" a="1"/>
  <c r="K84" i="63" s="1"/>
  <c r="K120" i="63" s="1"/>
  <c r="K88" i="63" a="1"/>
  <c r="K88" i="63" s="1"/>
  <c r="K124" i="63" s="1"/>
  <c r="K89" i="63" a="1"/>
  <c r="K89" i="63" s="1"/>
  <c r="K93" i="63" a="1"/>
  <c r="K93" i="63" s="1"/>
  <c r="K129" i="63" s="1"/>
  <c r="K94" i="63" a="1"/>
  <c r="K94" i="63" s="1"/>
  <c r="K130" i="63" s="1"/>
  <c r="L65" i="63" a="1"/>
  <c r="L65" i="63" s="1"/>
  <c r="L101" i="63" s="1"/>
  <c r="L71" i="63" a="1"/>
  <c r="L71" i="63" s="1"/>
  <c r="L107" i="63" s="1"/>
  <c r="L66" i="63" a="1"/>
  <c r="L66" i="63" s="1"/>
  <c r="L72" i="63" a="1"/>
  <c r="L72" i="63" s="1"/>
  <c r="L108" i="63" s="1"/>
  <c r="L77" i="63" a="1"/>
  <c r="L77" i="63" s="1"/>
  <c r="L113" i="63" s="1"/>
  <c r="L78" i="63" a="1"/>
  <c r="L78" i="63" s="1"/>
  <c r="L114" i="63" s="1"/>
  <c r="L83" i="63" a="1"/>
  <c r="L83" i="63" s="1"/>
  <c r="L119" i="63" s="1"/>
  <c r="L84" i="63" a="1"/>
  <c r="L84" i="63" s="1"/>
  <c r="L88" i="63" a="1"/>
  <c r="L88" i="63" s="1"/>
  <c r="L124" i="63" s="1"/>
  <c r="L89" i="63" a="1"/>
  <c r="L89" i="63" s="1"/>
  <c r="L125" i="63" s="1"/>
  <c r="L93" i="63" a="1"/>
  <c r="L93" i="63" s="1"/>
  <c r="L94" i="63" a="1"/>
  <c r="L94" i="63" s="1"/>
  <c r="L130" i="63" s="1"/>
  <c r="H194" i="63" a="1"/>
  <c r="H194" i="63" s="1"/>
  <c r="H230" i="63" s="1"/>
  <c r="H195" i="63" a="1"/>
  <c r="H195" i="63" s="1"/>
  <c r="H231" i="63" s="1"/>
  <c r="H205" i="63" a="1"/>
  <c r="H205" i="63" s="1"/>
  <c r="H206" i="63" a="1"/>
  <c r="H206" i="63" s="1"/>
  <c r="H242" i="63" s="1"/>
  <c r="H216" i="63" a="1"/>
  <c r="H216" i="63" s="1"/>
  <c r="H252" i="63" s="1"/>
  <c r="H217" i="63" a="1"/>
  <c r="H217" i="63" s="1"/>
  <c r="H253" i="63" s="1"/>
  <c r="I196" i="63" a="1"/>
  <c r="I196" i="63" s="1"/>
  <c r="I232" i="63" s="1"/>
  <c r="I207" i="63" a="1"/>
  <c r="I207" i="63" s="1"/>
  <c r="I243" i="63" s="1"/>
  <c r="I197" i="63" a="1"/>
  <c r="I197" i="63" s="1"/>
  <c r="I233" i="63" s="1"/>
  <c r="I198" i="63" a="1"/>
  <c r="I198" i="63" s="1"/>
  <c r="I234" i="63" s="1"/>
  <c r="I199" i="63" a="1"/>
  <c r="I199" i="63" s="1"/>
  <c r="I235" i="63" s="1"/>
  <c r="I208" i="63" a="1"/>
  <c r="I208" i="63" s="1"/>
  <c r="I244" i="63" s="1"/>
  <c r="I209" i="63" a="1"/>
  <c r="I209" i="63" s="1"/>
  <c r="I245" i="63" s="1"/>
  <c r="I210" i="63" a="1"/>
  <c r="I210" i="63" s="1"/>
  <c r="I246" i="63" s="1"/>
  <c r="I218" i="63" a="1"/>
  <c r="I218" i="63" s="1"/>
  <c r="I254" i="63" s="1"/>
  <c r="I219" i="63" a="1"/>
  <c r="I219" i="63" s="1"/>
  <c r="I255" i="63" s="1"/>
  <c r="I221" i="63" a="1"/>
  <c r="I221" i="63" s="1"/>
  <c r="I257" i="63" s="1"/>
  <c r="I222" i="63" a="1"/>
  <c r="I222" i="63" s="1"/>
  <c r="I258" i="63" s="1"/>
  <c r="J196" i="63" a="1"/>
  <c r="J196" i="63" s="1"/>
  <c r="J232" i="63" s="1"/>
  <c r="J207" i="63" a="1"/>
  <c r="J207" i="63" s="1"/>
  <c r="J243" i="63" s="1"/>
  <c r="J197" i="63" a="1"/>
  <c r="J197" i="63" s="1"/>
  <c r="J233" i="63" s="1"/>
  <c r="J198" i="63" a="1"/>
  <c r="J198" i="63" s="1"/>
  <c r="J234" i="63" s="1"/>
  <c r="J199" i="63" a="1"/>
  <c r="J199" i="63" s="1"/>
  <c r="J208" i="63" a="1"/>
  <c r="J208" i="63" s="1"/>
  <c r="J244" i="63" s="1"/>
  <c r="J209" i="63" a="1"/>
  <c r="J209" i="63" s="1"/>
  <c r="J245" i="63" s="1"/>
  <c r="J210" i="63" a="1"/>
  <c r="J210" i="63" s="1"/>
  <c r="J246" i="63" s="1"/>
  <c r="J218" i="63" a="1"/>
  <c r="J218" i="63" s="1"/>
  <c r="J254" i="63" s="1"/>
  <c r="J219" i="63" a="1"/>
  <c r="J219" i="63" s="1"/>
  <c r="J255" i="63" s="1"/>
  <c r="J221" i="63" a="1"/>
  <c r="J221" i="63" s="1"/>
  <c r="J257" i="63" s="1"/>
  <c r="J222" i="63" a="1"/>
  <c r="J222" i="63" s="1"/>
  <c r="J258" i="63" s="1"/>
  <c r="K196" i="63" a="1"/>
  <c r="K196" i="63" s="1"/>
  <c r="K232" i="63" s="1"/>
  <c r="K207" i="63" a="1"/>
  <c r="K207" i="63" s="1"/>
  <c r="K243" i="63" s="1"/>
  <c r="K197" i="63" a="1"/>
  <c r="K197" i="63" s="1"/>
  <c r="K198" i="63" a="1"/>
  <c r="K198" i="63" s="1"/>
  <c r="K234" i="63" s="1"/>
  <c r="K199" i="63" a="1"/>
  <c r="K199" i="63" s="1"/>
  <c r="K235" i="63" s="1"/>
  <c r="K208" i="63" a="1"/>
  <c r="K208" i="63" s="1"/>
  <c r="K244" i="63" s="1"/>
  <c r="K209" i="63" a="1"/>
  <c r="K209" i="63" s="1"/>
  <c r="K210" i="63" a="1"/>
  <c r="K210" i="63" s="1"/>
  <c r="K246" i="63" s="1"/>
  <c r="K218" i="63" a="1"/>
  <c r="K218" i="63" s="1"/>
  <c r="K254" i="63" s="1"/>
  <c r="K219" i="63" a="1"/>
  <c r="K219" i="63" s="1"/>
  <c r="K255" i="63" s="1"/>
  <c r="K221" i="63" a="1"/>
  <c r="K221" i="63" s="1"/>
  <c r="K257" i="63" s="1"/>
  <c r="K222" i="63" a="1"/>
  <c r="K222" i="63" s="1"/>
  <c r="L196" i="63" a="1"/>
  <c r="L196" i="63" s="1"/>
  <c r="L232" i="63" s="1"/>
  <c r="L207" i="63" a="1"/>
  <c r="L207" i="63" s="1"/>
  <c r="L243" i="63" s="1"/>
  <c r="L197" i="63" a="1"/>
  <c r="L197" i="63" s="1"/>
  <c r="L233" i="63" s="1"/>
  <c r="L198" i="63" a="1"/>
  <c r="L198" i="63" s="1"/>
  <c r="L234" i="63" s="1"/>
  <c r="L199" i="63" a="1"/>
  <c r="L199" i="63" s="1"/>
  <c r="L235" i="63" s="1"/>
  <c r="L208" i="63" a="1"/>
  <c r="L208" i="63" s="1"/>
  <c r="L244" i="63" s="1"/>
  <c r="L209" i="63" a="1"/>
  <c r="L209" i="63" s="1"/>
  <c r="L245" i="63" s="1"/>
  <c r="L210" i="63" a="1"/>
  <c r="L210" i="63" s="1"/>
  <c r="L246" i="63" s="1"/>
  <c r="L218" i="63" a="1"/>
  <c r="L218" i="63" s="1"/>
  <c r="L254" i="63" s="1"/>
  <c r="L219" i="63" a="1"/>
  <c r="L219" i="63" s="1"/>
  <c r="L255" i="63" s="1"/>
  <c r="L221" i="63" a="1"/>
  <c r="L221" i="63" s="1"/>
  <c r="L257" i="63" s="1"/>
  <c r="L222" i="63" a="1"/>
  <c r="L222" i="63" s="1"/>
  <c r="L258" i="63" s="1"/>
  <c r="Q33" i="51" a="1"/>
  <c r="Q33" i="51" s="1"/>
  <c r="Q68" i="51" s="1" a="1"/>
  <c r="Q68" i="51" s="1"/>
  <c r="R33" i="51" a="1"/>
  <c r="R33" i="51" s="1"/>
  <c r="R68" i="51" s="1" a="1"/>
  <c r="R68" i="51" s="1"/>
  <c r="S33" i="51" a="1"/>
  <c r="S33" i="51" s="1"/>
  <c r="S68" i="51" s="1" a="1"/>
  <c r="S68" i="51" s="1"/>
  <c r="T33" i="51" a="1"/>
  <c r="T33" i="51" s="1"/>
  <c r="T68" i="51" s="1" a="1"/>
  <c r="T68" i="51" s="1"/>
  <c r="U33" i="51" a="1"/>
  <c r="U33" i="51" s="1"/>
  <c r="U68" i="51" s="1" a="1"/>
  <c r="U68" i="51" s="1"/>
  <c r="Q39" i="51" a="1"/>
  <c r="Q39" i="51" s="1"/>
  <c r="R39" i="51" a="1"/>
  <c r="R39" i="51" s="1"/>
  <c r="S39" i="51" a="1"/>
  <c r="S39" i="51" s="1"/>
  <c r="T39" i="51" a="1"/>
  <c r="T39" i="51" s="1"/>
  <c r="U39" i="51" a="1"/>
  <c r="U39" i="51" s="1"/>
  <c r="Q106" i="51" a="1"/>
  <c r="Q106" i="51" s="1"/>
  <c r="Q141" i="51" s="1" a="1"/>
  <c r="Q141" i="51" s="1"/>
  <c r="R106" i="51" a="1"/>
  <c r="R106" i="51" s="1"/>
  <c r="R141" i="51" s="1" a="1"/>
  <c r="R141" i="51" s="1"/>
  <c r="S106" i="51" a="1"/>
  <c r="S106" i="51" s="1"/>
  <c r="S141" i="51" s="1" a="1"/>
  <c r="S141" i="51" s="1"/>
  <c r="T106" i="51" a="1"/>
  <c r="T106" i="51" s="1"/>
  <c r="T141" i="51" s="1" a="1"/>
  <c r="T141" i="51" s="1"/>
  <c r="U106" i="51" a="1"/>
  <c r="U106" i="51" s="1"/>
  <c r="U141" i="51" s="1" a="1"/>
  <c r="U141" i="51" s="1"/>
  <c r="Q112" i="51" a="1"/>
  <c r="Q112" i="51" s="1"/>
  <c r="R112" i="51" a="1"/>
  <c r="R112" i="51" s="1"/>
  <c r="S112" i="51" a="1"/>
  <c r="S112" i="51" s="1"/>
  <c r="T112" i="51" a="1"/>
  <c r="T112" i="51" s="1"/>
  <c r="U112" i="51" a="1"/>
  <c r="U112" i="51" s="1"/>
  <c r="F153" i="44"/>
  <c r="F154" i="44"/>
  <c r="F155" i="44"/>
  <c r="F156" i="44"/>
  <c r="F157" i="44"/>
  <c r="F158" i="44"/>
  <c r="F159" i="44"/>
  <c r="F160" i="44"/>
  <c r="F161" i="44"/>
  <c r="F162" i="44"/>
  <c r="F163" i="44"/>
  <c r="F149" i="44"/>
  <c r="F150" i="44"/>
  <c r="H15" i="42"/>
  <c r="I15" i="42"/>
  <c r="J15" i="42"/>
  <c r="K15" i="42"/>
  <c r="L15" i="42"/>
  <c r="M15" i="42"/>
  <c r="N15" i="42"/>
  <c r="O15" i="42"/>
  <c r="P15" i="42"/>
  <c r="Q15" i="42"/>
  <c r="R15" i="42"/>
  <c r="S15" i="42"/>
  <c r="T15" i="42"/>
  <c r="U15" i="42"/>
  <c r="V15" i="42"/>
  <c r="W15" i="42"/>
  <c r="X15" i="42"/>
  <c r="Y15" i="42"/>
  <c r="Z15" i="42"/>
  <c r="AA15" i="42"/>
  <c r="AB15" i="42"/>
  <c r="AC15" i="42"/>
  <c r="E19" i="48"/>
  <c r="AC191" i="42"/>
  <c r="AC210" i="42"/>
  <c r="AA210" i="42"/>
  <c r="Y210" i="42"/>
  <c r="W210" i="42"/>
  <c r="U210" i="42"/>
  <c r="S210" i="42"/>
  <c r="Q210" i="42"/>
  <c r="O210" i="42"/>
  <c r="M210" i="42"/>
  <c r="K210" i="42"/>
  <c r="I210" i="42"/>
  <c r="D266" i="44"/>
  <c r="G411" i="44" s="1"/>
  <c r="D5" i="44"/>
  <c r="D145" i="44" s="1"/>
  <c r="D10" i="39"/>
  <c r="D18" i="39" s="1" a="1"/>
  <c r="D18" i="39" s="1"/>
  <c r="D9" i="39"/>
  <c r="D17" i="39" s="1"/>
  <c r="AC203" i="42"/>
  <c r="AA203" i="42"/>
  <c r="E21" i="48"/>
  <c r="B3" i="17"/>
  <c r="B5" i="17" s="1"/>
  <c r="C2" i="17"/>
  <c r="B3" i="47"/>
  <c r="B5" i="47" s="1"/>
  <c r="C2" i="47"/>
  <c r="K48" i="84"/>
  <c r="L45" i="84"/>
  <c r="C38" i="84" s="1"/>
  <c r="D45" i="84"/>
  <c r="C36" i="84" s="1"/>
  <c r="C43" i="84"/>
  <c r="C5" i="84"/>
  <c r="B3" i="84"/>
  <c r="B5" i="84" s="1"/>
  <c r="F2" i="84"/>
  <c r="C2" i="84"/>
  <c r="K48" i="80"/>
  <c r="D45" i="80"/>
  <c r="C36" i="80" s="1"/>
  <c r="C43" i="80"/>
  <c r="C5" i="80"/>
  <c r="B3" i="80"/>
  <c r="B5" i="80" s="1"/>
  <c r="B43" i="80" s="1"/>
  <c r="G2" i="80"/>
  <c r="F2" i="80"/>
  <c r="C2" i="80"/>
  <c r="K49" i="52"/>
  <c r="C44" i="52"/>
  <c r="C5" i="52"/>
  <c r="B3" i="52"/>
  <c r="B5" i="52" s="1"/>
  <c r="B44" i="52" s="1"/>
  <c r="F2" i="52"/>
  <c r="C2" i="52"/>
  <c r="E18" i="48"/>
  <c r="E17" i="48"/>
  <c r="E16" i="48"/>
  <c r="E15" i="48"/>
  <c r="E14" i="48"/>
  <c r="E13" i="48"/>
  <c r="E12" i="48"/>
  <c r="E11" i="48"/>
  <c r="E10" i="48"/>
  <c r="E9" i="48"/>
  <c r="E8" i="48"/>
  <c r="B3" i="48"/>
  <c r="B5" i="48" s="1"/>
  <c r="C2" i="48"/>
  <c r="B3" i="63"/>
  <c r="B7" i="63" s="1"/>
  <c r="C2" i="63"/>
  <c r="F315" i="49"/>
  <c r="G313" i="49"/>
  <c r="G315" i="49" s="1"/>
  <c r="G312" i="49"/>
  <c r="G314" i="49" s="1"/>
  <c r="D229" i="49"/>
  <c r="O135" i="49"/>
  <c r="N135" i="49"/>
  <c r="M135" i="49"/>
  <c r="L135" i="49"/>
  <c r="K135" i="49"/>
  <c r="G97" i="49"/>
  <c r="I97" i="49" s="1"/>
  <c r="G96" i="49"/>
  <c r="I96" i="49" s="1"/>
  <c r="G93" i="49"/>
  <c r="G92" i="49"/>
  <c r="G94" i="49" s="1"/>
  <c r="D10" i="49"/>
  <c r="B7" i="49"/>
  <c r="C2" i="49"/>
  <c r="E424" i="44"/>
  <c r="E423" i="44"/>
  <c r="E422" i="44"/>
  <c r="E421" i="44"/>
  <c r="E420" i="44"/>
  <c r="E419" i="44"/>
  <c r="E418" i="44"/>
  <c r="E417" i="44"/>
  <c r="F416" i="44"/>
  <c r="E416" i="44"/>
  <c r="F415" i="44"/>
  <c r="E415" i="44"/>
  <c r="F414" i="44"/>
  <c r="E414" i="44"/>
  <c r="F413" i="44"/>
  <c r="E413" i="44"/>
  <c r="F412" i="44"/>
  <c r="E412" i="44"/>
  <c r="F411" i="44"/>
  <c r="E411" i="44"/>
  <c r="F410" i="44"/>
  <c r="E410" i="44"/>
  <c r="F409" i="44"/>
  <c r="E409" i="44"/>
  <c r="C400" i="44"/>
  <c r="C393" i="44"/>
  <c r="C385" i="44"/>
  <c r="C378" i="44"/>
  <c r="C371" i="44"/>
  <c r="C362" i="44"/>
  <c r="C355" i="44"/>
  <c r="C348" i="44"/>
  <c r="C340" i="44"/>
  <c r="C333" i="44"/>
  <c r="C326" i="44"/>
  <c r="C308" i="44"/>
  <c r="C300" i="44"/>
  <c r="C291" i="44"/>
  <c r="C283" i="44"/>
  <c r="E163" i="44"/>
  <c r="E162" i="44"/>
  <c r="E161" i="44"/>
  <c r="E160" i="44"/>
  <c r="E159" i="44"/>
  <c r="E158" i="44"/>
  <c r="E157" i="44"/>
  <c r="E156" i="44"/>
  <c r="E155" i="44"/>
  <c r="E154" i="44"/>
  <c r="E153" i="44"/>
  <c r="F152" i="44"/>
  <c r="E152" i="44"/>
  <c r="F151" i="44"/>
  <c r="E151" i="44"/>
  <c r="E150" i="44"/>
  <c r="E149" i="44"/>
  <c r="F148" i="44"/>
  <c r="E148" i="44"/>
  <c r="C139" i="44"/>
  <c r="C132" i="44"/>
  <c r="C124" i="44"/>
  <c r="C117" i="44"/>
  <c r="C110" i="44"/>
  <c r="C101" i="44"/>
  <c r="C94" i="44"/>
  <c r="C87" i="44"/>
  <c r="C79" i="44"/>
  <c r="C72" i="44"/>
  <c r="C65" i="44"/>
  <c r="C47" i="44"/>
  <c r="C39" i="44"/>
  <c r="C30" i="44"/>
  <c r="C22" i="44"/>
  <c r="B7" i="44"/>
  <c r="B142" i="44" s="1"/>
  <c r="C2" i="44"/>
  <c r="B5" i="39"/>
  <c r="B27" i="39" s="1"/>
  <c r="C2" i="39"/>
  <c r="Y203" i="42"/>
  <c r="W203" i="42"/>
  <c r="U203" i="42"/>
  <c r="S203" i="42"/>
  <c r="Q203" i="42"/>
  <c r="O203" i="42"/>
  <c r="M203" i="42"/>
  <c r="K203" i="42"/>
  <c r="I203" i="42"/>
  <c r="S199" i="42"/>
  <c r="S198" i="42"/>
  <c r="S194" i="42"/>
  <c r="AA191" i="42"/>
  <c r="Y191" i="42"/>
  <c r="W191" i="42"/>
  <c r="U191" i="42"/>
  <c r="S191" i="42"/>
  <c r="Q191" i="42"/>
  <c r="O191" i="42"/>
  <c r="M191" i="42"/>
  <c r="K191" i="42"/>
  <c r="I191" i="42"/>
  <c r="AC147" i="42"/>
  <c r="I147" i="42"/>
  <c r="B12" i="42"/>
  <c r="C2" i="42"/>
  <c r="L36" i="50" a="1"/>
  <c r="L36" i="50" s="1"/>
  <c r="K36" i="50" a="1"/>
  <c r="K36" i="50"/>
  <c r="D36" i="50"/>
  <c r="D36" i="50" a="1"/>
  <c r="C36" i="50"/>
  <c r="C36" i="50" a="1"/>
  <c r="C5" i="50"/>
  <c r="B3" i="50"/>
  <c r="G2" i="50"/>
  <c r="C2" i="50"/>
  <c r="M137" i="51"/>
  <c r="C137" i="51"/>
  <c r="M126" i="51"/>
  <c r="C126" i="51"/>
  <c r="M115" i="51"/>
  <c r="C115" i="51"/>
  <c r="U89" i="51" a="1"/>
  <c r="U89" i="51" s="1"/>
  <c r="T89" i="51" a="1"/>
  <c r="T89" i="51" s="1"/>
  <c r="S89" i="51" a="1"/>
  <c r="S89" i="51" s="1"/>
  <c r="R89" i="51" a="1"/>
  <c r="R89" i="51" s="1"/>
  <c r="Q89" i="51" a="1"/>
  <c r="Q89" i="51" s="1"/>
  <c r="M64" i="51"/>
  <c r="C64" i="51"/>
  <c r="M53" i="51"/>
  <c r="C53" i="51"/>
  <c r="M42" i="51"/>
  <c r="C42" i="51"/>
  <c r="U16" i="51" a="1"/>
  <c r="U16" i="51" s="1"/>
  <c r="T16" i="51" a="1"/>
  <c r="T16" i="51" s="1"/>
  <c r="S16" i="51" a="1"/>
  <c r="S16" i="51" s="1"/>
  <c r="R16" i="51" a="1"/>
  <c r="R16" i="51" s="1"/>
  <c r="Q16" i="51" a="1"/>
  <c r="Q16" i="51" s="1"/>
  <c r="C5" i="51"/>
  <c r="C3" i="51"/>
  <c r="B3" i="51"/>
  <c r="F2" i="51"/>
  <c r="C2" i="51"/>
  <c r="B3" i="40"/>
  <c r="B5" i="40" s="1"/>
  <c r="C2" i="40"/>
  <c r="A2" i="4"/>
  <c r="B1" i="4"/>
  <c r="I313" i="49" l="1"/>
  <c r="I315" i="49" s="1"/>
  <c r="G2" i="52"/>
  <c r="I312" i="49"/>
  <c r="I314" i="49" s="1"/>
  <c r="C39" i="80"/>
  <c r="G162" i="44"/>
  <c r="H162" i="44" s="1" a="1"/>
  <c r="H162" i="44" s="1"/>
  <c r="I162" i="44" s="1" a="1"/>
  <c r="I162" i="44" s="1"/>
  <c r="J198" i="44" s="1" a="1"/>
  <c r="J198" i="44" s="1"/>
  <c r="G154" i="44"/>
  <c r="H154" i="44" s="1" a="1"/>
  <c r="H154" i="44" s="1"/>
  <c r="I154" i="44" s="1" a="1"/>
  <c r="I154" i="44" s="1"/>
  <c r="H50" i="84"/>
  <c r="I50" i="84" s="1"/>
  <c r="D2" i="44"/>
  <c r="P51" i="84"/>
  <c r="Q51" i="84" s="1"/>
  <c r="E2" i="44"/>
  <c r="G70" i="80"/>
  <c r="G155" i="44"/>
  <c r="H155" i="44" s="1" a="1"/>
  <c r="H155" i="44" s="1"/>
  <c r="C39" i="84"/>
  <c r="C35" i="84"/>
  <c r="D5" i="49"/>
  <c r="D19" i="49" s="1"/>
  <c r="F19" i="49" s="1"/>
  <c r="G36" i="51" a="1"/>
  <c r="G36" i="51" s="1"/>
  <c r="G71" i="51" s="1" a="1"/>
  <c r="G71" i="51" s="1"/>
  <c r="F70" i="80"/>
  <c r="N70" i="84"/>
  <c r="G421" i="44"/>
  <c r="H421" i="44" s="1" a="1"/>
  <c r="H421" i="44" s="1"/>
  <c r="H70" i="84"/>
  <c r="G70" i="84"/>
  <c r="H50" i="80"/>
  <c r="I50" i="80" s="1"/>
  <c r="H51" i="80"/>
  <c r="I51" i="80" s="1"/>
  <c r="G163" i="44"/>
  <c r="H163" i="44" s="1" a="1"/>
  <c r="H163" i="44" s="1"/>
  <c r="I163" i="44" s="1" a="1"/>
  <c r="I163" i="44" s="1"/>
  <c r="H199" i="44" s="1" a="1"/>
  <c r="H199" i="44" s="1"/>
  <c r="G414" i="44"/>
  <c r="H414" i="44" s="1" a="1"/>
  <c r="H414" i="44" s="1"/>
  <c r="I414" i="44" s="1" a="1"/>
  <c r="I414" i="44" s="1"/>
  <c r="G422" i="44"/>
  <c r="H422" i="44" s="1" a="1"/>
  <c r="H422" i="44" s="1"/>
  <c r="I422" i="44" s="1" a="1"/>
  <c r="I422" i="44" s="1"/>
  <c r="P52" i="52"/>
  <c r="Q52" i="52" s="1"/>
  <c r="D21" i="50"/>
  <c r="G415" i="44"/>
  <c r="H415" i="44" s="1" a="1"/>
  <c r="H415" i="44" s="1"/>
  <c r="I415" i="44" s="1" a="1"/>
  <c r="I415" i="44" s="1"/>
  <c r="G423" i="44"/>
  <c r="H423" i="44" s="1" a="1"/>
  <c r="H423" i="44" s="1"/>
  <c r="I423" i="44" s="1" a="1"/>
  <c r="I423" i="44" s="1"/>
  <c r="K459" i="44" s="1" a="1"/>
  <c r="K459" i="44" s="1"/>
  <c r="P50" i="84"/>
  <c r="Q50" i="84" s="1"/>
  <c r="L45" i="80"/>
  <c r="L51" i="80" s="1"/>
  <c r="C19" i="50"/>
  <c r="G2" i="51"/>
  <c r="H478" i="44" a="1"/>
  <c r="H478" i="44" s="1"/>
  <c r="H351" i="44" s="1"/>
  <c r="D135" i="63"/>
  <c r="D151" i="63" s="1"/>
  <c r="E151" i="63" s="1"/>
  <c r="G416" i="44"/>
  <c r="H416" i="44" s="1" a="1"/>
  <c r="H416" i="44" s="1"/>
  <c r="I416" i="44" s="1" a="1"/>
  <c r="I416" i="44" s="1"/>
  <c r="G424" i="44"/>
  <c r="H424" i="44" s="1" a="1"/>
  <c r="H424" i="44" s="1"/>
  <c r="I424" i="44" s="1" a="1"/>
  <c r="I424" i="44" s="1"/>
  <c r="K460" i="44" s="1" a="1"/>
  <c r="K460" i="44" s="1"/>
  <c r="P51" i="52"/>
  <c r="Q51" i="52" s="1"/>
  <c r="C78" i="51"/>
  <c r="D224" i="49"/>
  <c r="D294" i="49" s="1"/>
  <c r="E294" i="49" s="1"/>
  <c r="D406" i="44"/>
  <c r="G417" i="44"/>
  <c r="H417" i="44" s="1" a="1"/>
  <c r="H417" i="44" s="1"/>
  <c r="I417" i="44" s="1" a="1"/>
  <c r="I417" i="44" s="1"/>
  <c r="G412" i="44"/>
  <c r="H412" i="44" s="1" a="1"/>
  <c r="H412" i="44" s="1"/>
  <c r="I412" i="44" s="1" a="1"/>
  <c r="I412" i="44" s="1"/>
  <c r="P51" i="80"/>
  <c r="Q51" i="80" s="1"/>
  <c r="G409" i="44"/>
  <c r="G418" i="44"/>
  <c r="H418" i="44" s="1" a="1"/>
  <c r="H418" i="44" s="1"/>
  <c r="I418" i="44" s="1" a="1"/>
  <c r="I418" i="44" s="1"/>
  <c r="I453" i="44" s="1" a="1"/>
  <c r="I453" i="44" s="1"/>
  <c r="L46" i="52"/>
  <c r="L51" i="52" s="1"/>
  <c r="H2" i="50"/>
  <c r="G410" i="44"/>
  <c r="H410" i="44" s="1" a="1"/>
  <c r="H410" i="44" s="1"/>
  <c r="I410" i="44" s="1" a="1"/>
  <c r="I410" i="44" s="1"/>
  <c r="G419" i="44"/>
  <c r="H419" i="44" s="1" a="1"/>
  <c r="H419" i="44" s="1"/>
  <c r="I419" i="44" s="1" a="1"/>
  <c r="I419" i="44" s="1"/>
  <c r="K455" i="44" s="1" a="1"/>
  <c r="K455" i="44" s="1"/>
  <c r="P50" i="80"/>
  <c r="Q50" i="80" s="1"/>
  <c r="G2" i="84"/>
  <c r="G420" i="44"/>
  <c r="H420" i="44" s="1" a="1"/>
  <c r="H420" i="44" s="1"/>
  <c r="I420" i="44" s="1" a="1"/>
  <c r="I420" i="44" s="1"/>
  <c r="I456" i="44" s="1" a="1"/>
  <c r="I456" i="44" s="1"/>
  <c r="G413" i="44"/>
  <c r="D158" i="49"/>
  <c r="F158" i="49" s="1"/>
  <c r="D21" i="49"/>
  <c r="F21" i="49" s="1"/>
  <c r="D197" i="49"/>
  <c r="F197" i="49" s="1"/>
  <c r="D88" i="49"/>
  <c r="F88" i="49" s="1"/>
  <c r="D125" i="49"/>
  <c r="F125" i="49" s="1"/>
  <c r="D171" i="49"/>
  <c r="F171" i="49" s="1"/>
  <c r="D208" i="49"/>
  <c r="F208" i="49" s="1"/>
  <c r="D119" i="49"/>
  <c r="F119" i="49" s="1"/>
  <c r="D144" i="49"/>
  <c r="F144" i="49" s="1"/>
  <c r="G95" i="49"/>
  <c r="I93" i="49"/>
  <c r="I95" i="49" s="1"/>
  <c r="H123" i="63"/>
  <c r="Q36" i="51" a="1"/>
  <c r="Q36" i="51" s="1"/>
  <c r="D101" i="84" s="1" a="1"/>
  <c r="D101" i="84" s="1"/>
  <c r="H51" i="84"/>
  <c r="I51" i="84" s="1"/>
  <c r="G161" i="44"/>
  <c r="H161" i="44" s="1" a="1"/>
  <c r="H161" i="44" s="1"/>
  <c r="I161" i="44" s="1" a="1"/>
  <c r="I161" i="44" s="1"/>
  <c r="H197" i="44" s="1" a="1"/>
  <c r="H197" i="44" s="1"/>
  <c r="G153" i="44"/>
  <c r="H153" i="44" s="1" a="1"/>
  <c r="H153" i="44" s="1"/>
  <c r="I153" i="44" s="1" a="1"/>
  <c r="I153" i="44" s="1"/>
  <c r="D5" i="63"/>
  <c r="D35" i="63" s="1"/>
  <c r="E35" i="63" s="1" a="1"/>
  <c r="E35" i="63" s="1"/>
  <c r="D46" i="52"/>
  <c r="G160" i="44"/>
  <c r="H160" i="44" s="1" a="1"/>
  <c r="H160" i="44" s="1"/>
  <c r="I160" i="44" s="1" a="1"/>
  <c r="I160" i="44" s="1"/>
  <c r="G196" i="44" s="1" a="1"/>
  <c r="G196" i="44" s="1"/>
  <c r="G152" i="44"/>
  <c r="H52" i="52"/>
  <c r="I52" i="52" s="1"/>
  <c r="G159" i="44"/>
  <c r="H159" i="44" s="1" a="1"/>
  <c r="H159" i="44" s="1"/>
  <c r="I159" i="44" s="1" a="1"/>
  <c r="I159" i="44" s="1"/>
  <c r="G150" i="44"/>
  <c r="H150" i="44" s="1" a="1"/>
  <c r="H150" i="44" s="1"/>
  <c r="I150" i="44" s="1" a="1"/>
  <c r="I150" i="44" s="1"/>
  <c r="G158" i="44"/>
  <c r="H158" i="44" s="1" a="1"/>
  <c r="H158" i="44" s="1"/>
  <c r="I158" i="44" s="1" a="1"/>
  <c r="I158" i="44" s="1"/>
  <c r="G149" i="44"/>
  <c r="H149" i="44" s="1" a="1"/>
  <c r="H149" i="44" s="1"/>
  <c r="I149" i="44" s="1" a="1"/>
  <c r="I149" i="44" s="1"/>
  <c r="H51" i="52"/>
  <c r="I51" i="52" s="1"/>
  <c r="D7" i="50"/>
  <c r="G157" i="44"/>
  <c r="H157" i="44" s="1" a="1"/>
  <c r="H157" i="44" s="1"/>
  <c r="G148" i="44"/>
  <c r="H148" i="44" s="1" a="1"/>
  <c r="H148" i="44" s="1"/>
  <c r="I148" i="44" s="1" a="1"/>
  <c r="I148" i="44" s="1"/>
  <c r="G151" i="44"/>
  <c r="H151" i="44" s="1" a="1"/>
  <c r="H151" i="44" s="1"/>
  <c r="I151" i="44" s="1" a="1"/>
  <c r="I151" i="44" s="1"/>
  <c r="G156" i="44"/>
  <c r="H156" i="44" s="1" a="1"/>
  <c r="H156" i="44" s="1"/>
  <c r="I156" i="44" s="1" a="1"/>
  <c r="I156" i="44" s="1"/>
  <c r="K191" i="44" s="1" a="1"/>
  <c r="K191" i="44" s="1"/>
  <c r="S34" i="51" a="1"/>
  <c r="S34" i="51" s="1"/>
  <c r="F99" i="84" s="1" a="1"/>
  <c r="F99" i="84" s="1"/>
  <c r="D48" i="84"/>
  <c r="J119" i="63"/>
  <c r="J34" i="51" a="1"/>
  <c r="J34" i="51" s="1"/>
  <c r="G100" i="52" s="1" a="1"/>
  <c r="G100" i="52" s="1"/>
  <c r="U35" i="51" a="1"/>
  <c r="U35" i="51" s="1"/>
  <c r="H100" i="84" s="1" a="1"/>
  <c r="H100" i="84" s="1"/>
  <c r="D51" i="80"/>
  <c r="L51" i="84"/>
  <c r="L50" i="84"/>
  <c r="D49" i="52"/>
  <c r="D48" i="80"/>
  <c r="D50" i="84"/>
  <c r="D50" i="80"/>
  <c r="L48" i="84"/>
  <c r="I34" i="51" a="1"/>
  <c r="I34" i="51" s="1"/>
  <c r="F100" i="52" s="1" a="1"/>
  <c r="F100" i="52" s="1"/>
  <c r="J101" i="63"/>
  <c r="T107" i="51" a="1"/>
  <c r="T107" i="51" s="1"/>
  <c r="O99" i="84" s="1" a="1"/>
  <c r="O99" i="84" s="1"/>
  <c r="K233" i="63"/>
  <c r="U107" i="51" a="1"/>
  <c r="U107" i="51" s="1"/>
  <c r="P99" i="84" s="1" a="1"/>
  <c r="P99" i="84" s="1"/>
  <c r="G109" i="51" a="1"/>
  <c r="G109" i="51" s="1"/>
  <c r="G144" i="51" s="1" a="1"/>
  <c r="G144" i="51" s="1"/>
  <c r="T34" i="51" a="1"/>
  <c r="T34" i="51" s="1"/>
  <c r="T69" i="51" s="1" a="1"/>
  <c r="T69" i="51" s="1"/>
  <c r="L120" i="63"/>
  <c r="I35" i="51" a="1"/>
  <c r="I35" i="51" s="1"/>
  <c r="I70" i="51" s="1" a="1"/>
  <c r="I70" i="51" s="1"/>
  <c r="L102" i="63"/>
  <c r="K35" i="51" a="1"/>
  <c r="K35" i="51" s="1"/>
  <c r="J120" i="63"/>
  <c r="S35" i="51" a="1"/>
  <c r="S35" i="51" s="1"/>
  <c r="R108" i="51" a="1"/>
  <c r="R108" i="51" s="1"/>
  <c r="R34" i="51" a="1"/>
  <c r="R34" i="51" s="1"/>
  <c r="I129" i="63"/>
  <c r="S108" i="51" a="1"/>
  <c r="S108" i="51" s="1"/>
  <c r="J235" i="63"/>
  <c r="T35" i="51" a="1"/>
  <c r="T35" i="51" s="1"/>
  <c r="K125" i="63"/>
  <c r="T108" i="51" a="1"/>
  <c r="T108" i="51" s="1"/>
  <c r="K258" i="63"/>
  <c r="J108" i="51" a="1"/>
  <c r="J108" i="51" s="1"/>
  <c r="K245" i="63"/>
  <c r="U108" i="51" a="1"/>
  <c r="U108" i="51" s="1"/>
  <c r="I125" i="63"/>
  <c r="R35" i="51" a="1"/>
  <c r="R35" i="51" s="1"/>
  <c r="R107" i="51" a="1"/>
  <c r="R107" i="51" s="1"/>
  <c r="H107" i="51" a="1"/>
  <c r="H107" i="51" s="1"/>
  <c r="H241" i="63"/>
  <c r="U34" i="51" a="1"/>
  <c r="U34" i="51" s="1"/>
  <c r="J35" i="51" a="1"/>
  <c r="J35" i="51" s="1"/>
  <c r="H108" i="51" a="1"/>
  <c r="H108" i="51" s="1"/>
  <c r="H34" i="51" a="1"/>
  <c r="H34" i="51" s="1"/>
  <c r="J107" i="51" a="1"/>
  <c r="J107" i="51" s="1"/>
  <c r="L129" i="63"/>
  <c r="E70" i="80"/>
  <c r="I469" i="44" a="1"/>
  <c r="I469" i="44" s="1"/>
  <c r="I303" i="44" s="1"/>
  <c r="M70" i="84"/>
  <c r="F70" i="84"/>
  <c r="O70" i="84"/>
  <c r="I92" i="49"/>
  <c r="I94" i="49" s="1"/>
  <c r="D70" i="84"/>
  <c r="D70" i="80"/>
  <c r="P70" i="84"/>
  <c r="D94" i="49"/>
  <c r="H206" i="44" a="1"/>
  <c r="H206" i="44" s="1"/>
  <c r="G484" i="44" a="1"/>
  <c r="G484" i="44" s="1"/>
  <c r="G396" i="44" s="1"/>
  <c r="J218" i="44" a="1"/>
  <c r="J218" i="44" s="1"/>
  <c r="J97" i="44" s="1"/>
  <c r="K484" i="44" a="1"/>
  <c r="K484" i="44" s="1"/>
  <c r="K396" i="44" s="1"/>
  <c r="H217" i="44" a="1"/>
  <c r="H217" i="44" s="1"/>
  <c r="H90" i="44" s="1"/>
  <c r="J223" i="44" a="1"/>
  <c r="J223" i="44" s="1"/>
  <c r="J135" i="44" s="1"/>
  <c r="J207" i="44" a="1"/>
  <c r="J207" i="44" s="1"/>
  <c r="J25" i="44" s="1"/>
  <c r="H70" i="80"/>
  <c r="L70" i="84"/>
  <c r="D95" i="49"/>
  <c r="E70" i="84"/>
  <c r="J478" i="44" a="1"/>
  <c r="J478" i="44" s="1"/>
  <c r="J351" i="44" s="1"/>
  <c r="K483" i="44" a="1"/>
  <c r="K483" i="44" s="1"/>
  <c r="K389" i="44" s="1"/>
  <c r="J222" i="44" a="1"/>
  <c r="J222" i="44" s="1"/>
  <c r="J128" i="44" s="1"/>
  <c r="J477" i="44" a="1"/>
  <c r="J477" i="44" s="1"/>
  <c r="J344" i="44" s="1"/>
  <c r="I479" i="44" a="1"/>
  <c r="I479" i="44" s="1"/>
  <c r="I358" i="44" s="1"/>
  <c r="H223" i="44" a="1"/>
  <c r="H223" i="44" s="1"/>
  <c r="H135" i="44" s="1"/>
  <c r="G483" i="44" a="1"/>
  <c r="G483" i="44" s="1"/>
  <c r="G389" i="44" s="1"/>
  <c r="I218" i="44" a="1"/>
  <c r="I218" i="44" s="1"/>
  <c r="I97" i="44" s="1"/>
  <c r="G217" i="44" a="1"/>
  <c r="G217" i="44" s="1"/>
  <c r="G90" i="44" s="1"/>
  <c r="I207" i="44" a="1"/>
  <c r="I207" i="44" s="1"/>
  <c r="I25" i="44" s="1"/>
  <c r="K481" i="44" a="1"/>
  <c r="K481" i="44" s="1"/>
  <c r="I482" i="44" a="1"/>
  <c r="I482" i="44" s="1"/>
  <c r="N93" i="80" s="1"/>
  <c r="G480" i="44" a="1"/>
  <c r="G480" i="44" s="1"/>
  <c r="J219" i="44" a="1"/>
  <c r="J219" i="44" s="1"/>
  <c r="G91" i="84" s="1"/>
  <c r="G219" i="44" a="1"/>
  <c r="G219" i="44" s="1"/>
  <c r="G106" i="44" s="1"/>
  <c r="K469" i="44" a="1"/>
  <c r="K469" i="44" s="1"/>
  <c r="K303" i="44" s="1"/>
  <c r="J208" i="44" a="1"/>
  <c r="J208" i="44" s="1"/>
  <c r="J42" i="44" s="1"/>
  <c r="J468" i="44" a="1"/>
  <c r="J468" i="44" s="1"/>
  <c r="J286" i="44" s="1"/>
  <c r="H222" i="44" a="1"/>
  <c r="H222" i="44" s="1"/>
  <c r="H128" i="44" s="1"/>
  <c r="H477" i="44" a="1"/>
  <c r="H477" i="44" s="1"/>
  <c r="H344" i="44" s="1"/>
  <c r="G469" i="44" a="1"/>
  <c r="G469" i="44" s="1"/>
  <c r="G303" i="44" s="1"/>
  <c r="H218" i="44" a="1"/>
  <c r="H218" i="44" s="1"/>
  <c r="H97" i="44" s="1"/>
  <c r="K216" i="44" a="1"/>
  <c r="K216" i="44" s="1"/>
  <c r="K83" i="44" s="1"/>
  <c r="K467" i="44" a="1"/>
  <c r="K467" i="44" s="1"/>
  <c r="K295" i="44" s="1"/>
  <c r="I481" i="44" a="1"/>
  <c r="I481" i="44" s="1"/>
  <c r="N92" i="84" s="1"/>
  <c r="G467" i="44" a="1"/>
  <c r="G467" i="44" s="1"/>
  <c r="I236" i="44" a="1"/>
  <c r="I236" i="44" s="1"/>
  <c r="H221" i="44" a="1"/>
  <c r="H221" i="44" s="1"/>
  <c r="E93" i="84" s="1"/>
  <c r="J434" i="44" a="1"/>
  <c r="J434" i="44" s="1"/>
  <c r="K108" i="51" a="1"/>
  <c r="K108" i="51" s="1"/>
  <c r="D152" i="63"/>
  <c r="E152" i="63" s="1"/>
  <c r="K479" i="44" a="1"/>
  <c r="K479" i="44" s="1"/>
  <c r="K358" i="44" s="1"/>
  <c r="I223" i="44" a="1"/>
  <c r="I223" i="44" s="1"/>
  <c r="I135" i="44" s="1"/>
  <c r="H208" i="44" a="1"/>
  <c r="H208" i="44" s="1"/>
  <c r="H42" i="44" s="1"/>
  <c r="H468" i="44" a="1"/>
  <c r="H468" i="44" s="1"/>
  <c r="H286" i="44" s="1"/>
  <c r="G479" i="44" a="1"/>
  <c r="G479" i="44" s="1"/>
  <c r="G358" i="44" s="1"/>
  <c r="J216" i="44" a="1"/>
  <c r="J216" i="44" s="1"/>
  <c r="J83" i="44" s="1"/>
  <c r="G207" i="44" a="1"/>
  <c r="G207" i="44" s="1"/>
  <c r="G25" i="44" s="1"/>
  <c r="J497" i="44" a="1"/>
  <c r="J497" i="44" s="1"/>
  <c r="I480" i="44" a="1"/>
  <c r="I480" i="44" s="1"/>
  <c r="I367" i="44" s="1"/>
  <c r="K236" i="44" a="1"/>
  <c r="K236" i="44" s="1"/>
  <c r="I235" i="44" a="1"/>
  <c r="I235" i="44" s="1"/>
  <c r="K107" i="51" a="1"/>
  <c r="K107" i="51" s="1"/>
  <c r="G230" i="44" a="1"/>
  <c r="G230" i="44" s="1"/>
  <c r="G205" i="44" a="1"/>
  <c r="G205" i="44" s="1"/>
  <c r="G250" i="44" a="1"/>
  <c r="G250" i="44" s="1"/>
  <c r="G190" i="44" a="1"/>
  <c r="G190" i="44" s="1"/>
  <c r="H243" i="44" a="1"/>
  <c r="H243" i="44" s="1"/>
  <c r="H190" i="44" a="1"/>
  <c r="H190" i="44" s="1"/>
  <c r="I168" i="44" a="1"/>
  <c r="I168" i="44" s="1"/>
  <c r="I215" i="44" a="1"/>
  <c r="I215" i="44" s="1"/>
  <c r="I186" i="44" a="1"/>
  <c r="I186" i="44" s="1"/>
  <c r="J214" i="44" a="1"/>
  <c r="J214" i="44" s="1"/>
  <c r="J256" i="44" a="1"/>
  <c r="J256" i="44" s="1"/>
  <c r="K214" i="44" a="1"/>
  <c r="K214" i="44" s="1"/>
  <c r="H93" i="52" s="1"/>
  <c r="K186" i="44" a="1"/>
  <c r="K186" i="44" s="1"/>
  <c r="G490" i="44" a="1"/>
  <c r="G490" i="44" s="1"/>
  <c r="G470" i="44" a="1"/>
  <c r="G470" i="44" s="1"/>
  <c r="G505" i="44" a="1"/>
  <c r="G505" i="44" s="1"/>
  <c r="H490" i="44" a="1"/>
  <c r="H490" i="44" s="1"/>
  <c r="H470" i="44" a="1"/>
  <c r="H470" i="44" s="1"/>
  <c r="H505" i="44" a="1"/>
  <c r="H505" i="44" s="1"/>
  <c r="I505" i="44" a="1"/>
  <c r="I505" i="44" s="1"/>
  <c r="J505" i="44" a="1"/>
  <c r="J505" i="44" s="1"/>
  <c r="H173" i="44" a="1"/>
  <c r="H173" i="44" s="1"/>
  <c r="G434" i="44" a="1"/>
  <c r="G434" i="44" s="1"/>
  <c r="G167" i="44" a="1"/>
  <c r="G167" i="44" s="1"/>
  <c r="G213" i="44" a="1"/>
  <c r="G213" i="44" s="1"/>
  <c r="G61" i="44" s="1"/>
  <c r="G255" i="44" a="1"/>
  <c r="G255" i="44" s="1"/>
  <c r="H244" i="44" a="1"/>
  <c r="H244" i="44" s="1"/>
  <c r="H193" i="44" a="1"/>
  <c r="H193" i="44" s="1"/>
  <c r="I243" i="44" a="1"/>
  <c r="I243" i="44" s="1"/>
  <c r="I190" i="44" a="1"/>
  <c r="I190" i="44" s="1"/>
  <c r="J168" i="44" a="1"/>
  <c r="J168" i="44" s="1"/>
  <c r="J215" i="44" a="1"/>
  <c r="J215" i="44" s="1"/>
  <c r="G94" i="52" s="1"/>
  <c r="J186" i="44" a="1"/>
  <c r="J186" i="44" s="1"/>
  <c r="K168" i="44" a="1"/>
  <c r="K168" i="44" s="1"/>
  <c r="K215" i="44" a="1"/>
  <c r="K215" i="44" s="1"/>
  <c r="G491" i="44" a="1"/>
  <c r="G491" i="44" s="1"/>
  <c r="G466" i="44" a="1"/>
  <c r="G466" i="44" s="1"/>
  <c r="G510" i="44" a="1"/>
  <c r="G510" i="44" s="1"/>
  <c r="H491" i="44" a="1"/>
  <c r="H491" i="44" s="1"/>
  <c r="H466" i="44" a="1"/>
  <c r="H466" i="44" s="1"/>
  <c r="H510" i="44" a="1"/>
  <c r="H510" i="44" s="1"/>
  <c r="I490" i="44" a="1"/>
  <c r="I490" i="44" s="1"/>
  <c r="I470" i="44" a="1"/>
  <c r="I470" i="44" s="1"/>
  <c r="I510" i="44" a="1"/>
  <c r="I510" i="44" s="1"/>
  <c r="J490" i="44" a="1"/>
  <c r="J490" i="44" s="1"/>
  <c r="J470" i="44" a="1"/>
  <c r="J470" i="44" s="1"/>
  <c r="J510" i="44" a="1"/>
  <c r="J510" i="44" s="1"/>
  <c r="K490" i="44" a="1"/>
  <c r="K490" i="44" s="1"/>
  <c r="K470" i="44" a="1"/>
  <c r="K470" i="44" s="1"/>
  <c r="K274" i="44" s="1"/>
  <c r="K510" i="44" a="1"/>
  <c r="K510" i="44" s="1"/>
  <c r="J173" i="44" a="1"/>
  <c r="J173" i="44" s="1"/>
  <c r="G214" i="44" a="1"/>
  <c r="G214" i="44" s="1"/>
  <c r="D93" i="52" s="1"/>
  <c r="G256" i="44" a="1"/>
  <c r="G256" i="44" s="1"/>
  <c r="D71" i="52"/>
  <c r="H249" i="44" a="1"/>
  <c r="H249" i="44" s="1"/>
  <c r="I244" i="44" a="1"/>
  <c r="I244" i="44" s="1"/>
  <c r="J243" i="44" a="1"/>
  <c r="J243" i="44" s="1"/>
  <c r="J190" i="44" a="1"/>
  <c r="J190" i="44" s="1"/>
  <c r="K243" i="44" a="1"/>
  <c r="K243" i="44" s="1"/>
  <c r="K190" i="44" a="1"/>
  <c r="K190" i="44" s="1"/>
  <c r="G428" i="44" a="1"/>
  <c r="G428" i="44" s="1"/>
  <c r="G474" i="44" a="1"/>
  <c r="G474" i="44" s="1"/>
  <c r="L92" i="52" s="1"/>
  <c r="G511" i="44" a="1"/>
  <c r="G511" i="44" s="1"/>
  <c r="H428" i="44" a="1"/>
  <c r="H428" i="44" s="1"/>
  <c r="H474" i="44" a="1"/>
  <c r="H474" i="44" s="1"/>
  <c r="H511" i="44" a="1"/>
  <c r="H511" i="44" s="1"/>
  <c r="I491" i="44" a="1"/>
  <c r="I491" i="44" s="1"/>
  <c r="I466" i="44" a="1"/>
  <c r="I466" i="44" s="1"/>
  <c r="I278" i="44" s="1"/>
  <c r="I511" i="44" a="1"/>
  <c r="I511" i="44" s="1"/>
  <c r="J491" i="44" a="1"/>
  <c r="J491" i="44" s="1"/>
  <c r="J466" i="44" a="1"/>
  <c r="J466" i="44" s="1"/>
  <c r="J511" i="44" a="1"/>
  <c r="J511" i="44" s="1"/>
  <c r="K491" i="44" a="1"/>
  <c r="K491" i="44" s="1"/>
  <c r="K466" i="44" a="1"/>
  <c r="K466" i="44" s="1"/>
  <c r="K511" i="44" a="1"/>
  <c r="K511" i="44" s="1"/>
  <c r="G168" i="44" a="1"/>
  <c r="G168" i="44" s="1"/>
  <c r="G215" i="44" a="1"/>
  <c r="G215" i="44" s="1"/>
  <c r="D94" i="52" s="1"/>
  <c r="G193" i="44" a="1"/>
  <c r="G193" i="44" s="1"/>
  <c r="H229" i="44" a="1"/>
  <c r="H229" i="44" s="1"/>
  <c r="H209" i="44" a="1"/>
  <c r="H209" i="44" s="1"/>
  <c r="H250" i="44" a="1"/>
  <c r="H250" i="44" s="1"/>
  <c r="E71" i="52"/>
  <c r="I249" i="44" a="1"/>
  <c r="I249" i="44" s="1"/>
  <c r="I193" i="44" a="1"/>
  <c r="I193" i="44" s="1"/>
  <c r="J244" i="44" a="1"/>
  <c r="J244" i="44" s="1"/>
  <c r="J193" i="44" a="1"/>
  <c r="J193" i="44" s="1"/>
  <c r="K244" i="44" a="1"/>
  <c r="K244" i="44" s="1"/>
  <c r="G475" i="44" a="1"/>
  <c r="G475" i="44" s="1"/>
  <c r="G329" i="44" s="1"/>
  <c r="G516" i="44" a="1"/>
  <c r="G516" i="44" s="1"/>
  <c r="G451" i="44" a="1"/>
  <c r="G451" i="44" s="1"/>
  <c r="H516" i="44" a="1"/>
  <c r="H516" i="44" s="1"/>
  <c r="I428" i="44" a="1"/>
  <c r="I428" i="44" s="1"/>
  <c r="I474" i="44" a="1"/>
  <c r="I474" i="44" s="1"/>
  <c r="I516" i="44" a="1"/>
  <c r="I516" i="44" s="1"/>
  <c r="J428" i="44" a="1"/>
  <c r="J428" i="44" s="1"/>
  <c r="J474" i="44" a="1"/>
  <c r="J474" i="44" s="1"/>
  <c r="O92" i="52" s="1"/>
  <c r="J516" i="44" a="1"/>
  <c r="J516" i="44" s="1"/>
  <c r="K428" i="44" a="1"/>
  <c r="K428" i="44" s="1"/>
  <c r="K474" i="44" a="1"/>
  <c r="K474" i="44" s="1"/>
  <c r="P92" i="52" s="1"/>
  <c r="K516" i="44" a="1"/>
  <c r="K516" i="44" s="1"/>
  <c r="G173" i="44" a="1"/>
  <c r="G173" i="44" s="1"/>
  <c r="G186" i="44" a="1"/>
  <c r="G186" i="44" s="1"/>
  <c r="H230" i="44" a="1"/>
  <c r="H230" i="44" s="1"/>
  <c r="H231" i="44" s="1"/>
  <c r="H53" i="44" s="1"/>
  <c r="H205" i="44" a="1"/>
  <c r="H205" i="44" s="1"/>
  <c r="H17" i="44" s="1"/>
  <c r="H255" i="44" a="1"/>
  <c r="H255" i="44" s="1"/>
  <c r="I229" i="44" a="1"/>
  <c r="I229" i="44" s="1"/>
  <c r="I209" i="44" a="1"/>
  <c r="I209" i="44" s="1"/>
  <c r="I13" i="44" s="1"/>
  <c r="I250" i="44" a="1"/>
  <c r="I250" i="44" s="1"/>
  <c r="F71" i="52"/>
  <c r="J249" i="44" a="1"/>
  <c r="J249" i="44" s="1"/>
  <c r="G71" i="52"/>
  <c r="K249" i="44" a="1"/>
  <c r="K249" i="44" s="1"/>
  <c r="K193" i="44" a="1"/>
  <c r="K193" i="44" s="1"/>
  <c r="G429" i="44" a="1"/>
  <c r="G429" i="44" s="1"/>
  <c r="G517" i="44" a="1"/>
  <c r="G517" i="44" s="1"/>
  <c r="H429" i="44" a="1"/>
  <c r="H429" i="44" s="1"/>
  <c r="H475" i="44" a="1"/>
  <c r="H475" i="44" s="1"/>
  <c r="M93" i="52" s="1"/>
  <c r="H517" i="44" a="1"/>
  <c r="H517" i="44" s="1"/>
  <c r="I517" i="44" a="1"/>
  <c r="I517" i="44" s="1"/>
  <c r="J475" i="44" a="1"/>
  <c r="J475" i="44" s="1"/>
  <c r="J329" i="44" s="1"/>
  <c r="J517" i="44" a="1"/>
  <c r="J517" i="44" s="1"/>
  <c r="K475" i="44" a="1"/>
  <c r="K475" i="44" s="1"/>
  <c r="K329" i="44" s="1"/>
  <c r="K517" i="44" a="1"/>
  <c r="K517" i="44" s="1"/>
  <c r="G243" i="44" a="1"/>
  <c r="G243" i="44" s="1"/>
  <c r="H167" i="44" a="1"/>
  <c r="H167" i="44" s="1"/>
  <c r="H213" i="44" a="1"/>
  <c r="H213" i="44" s="1"/>
  <c r="H61" i="44" s="1"/>
  <c r="H65" i="44" s="1"/>
  <c r="H256" i="44" a="1"/>
  <c r="H256" i="44" s="1"/>
  <c r="I230" i="44" a="1"/>
  <c r="I230" i="44" s="1"/>
  <c r="I205" i="44" a="1"/>
  <c r="I205" i="44" s="1"/>
  <c r="J229" i="44" a="1"/>
  <c r="J229" i="44" s="1"/>
  <c r="J209" i="44" a="1"/>
  <c r="J209" i="44" s="1"/>
  <c r="K229" i="44" a="1"/>
  <c r="K229" i="44" s="1"/>
  <c r="K209" i="44" a="1"/>
  <c r="K209" i="44" s="1"/>
  <c r="K13" i="44" s="1"/>
  <c r="K250" i="44" a="1"/>
  <c r="K250" i="44" s="1"/>
  <c r="G476" i="44" a="1"/>
  <c r="G476" i="44" s="1"/>
  <c r="H476" i="44" a="1"/>
  <c r="H476" i="44" s="1"/>
  <c r="H336" i="44" s="1"/>
  <c r="H447" i="44" a="1"/>
  <c r="H447" i="44" s="1"/>
  <c r="I429" i="44" a="1"/>
  <c r="I429" i="44" s="1"/>
  <c r="I475" i="44" a="1"/>
  <c r="I475" i="44" s="1"/>
  <c r="I447" i="44" a="1"/>
  <c r="I447" i="44" s="1"/>
  <c r="J429" i="44" a="1"/>
  <c r="J429" i="44" s="1"/>
  <c r="J447" i="44" a="1"/>
  <c r="J447" i="44" s="1"/>
  <c r="K429" i="44" a="1"/>
  <c r="K429" i="44" s="1"/>
  <c r="K476" i="44" a="1"/>
  <c r="K476" i="44" s="1"/>
  <c r="K336" i="44" s="1"/>
  <c r="K447" i="44" a="1"/>
  <c r="K447" i="44" s="1"/>
  <c r="G244" i="44" a="1"/>
  <c r="G244" i="44" s="1"/>
  <c r="H214" i="44" a="1"/>
  <c r="H214" i="44" s="1"/>
  <c r="E93" i="52" s="1"/>
  <c r="H186" i="44" a="1"/>
  <c r="H186" i="44" s="1"/>
  <c r="I167" i="44" a="1"/>
  <c r="I167" i="44" s="1"/>
  <c r="I213" i="44" a="1"/>
  <c r="I213" i="44" s="1"/>
  <c r="I255" i="44" a="1"/>
  <c r="I255" i="44" s="1"/>
  <c r="J230" i="44" a="1"/>
  <c r="J230" i="44" s="1"/>
  <c r="J205" i="44" a="1"/>
  <c r="J205" i="44" s="1"/>
  <c r="J17" i="44" s="1"/>
  <c r="J250" i="44" a="1"/>
  <c r="J250" i="44" s="1"/>
  <c r="K230" i="44" a="1"/>
  <c r="K230" i="44" s="1"/>
  <c r="K205" i="44" a="1"/>
  <c r="K205" i="44" s="1"/>
  <c r="K17" i="44" s="1"/>
  <c r="K255" i="44" a="1"/>
  <c r="K255" i="44" s="1"/>
  <c r="G447" i="44" a="1"/>
  <c r="G447" i="44" s="1"/>
  <c r="H451" i="44" a="1"/>
  <c r="H451" i="44" s="1"/>
  <c r="I476" i="44" a="1"/>
  <c r="I476" i="44" s="1"/>
  <c r="I336" i="44" s="1"/>
  <c r="I451" i="44" a="1"/>
  <c r="I451" i="44" s="1"/>
  <c r="J476" i="44" a="1"/>
  <c r="J476" i="44" s="1"/>
  <c r="O94" i="52" s="1"/>
  <c r="J451" i="44" a="1"/>
  <c r="J451" i="44" s="1"/>
  <c r="K504" i="44" a="1"/>
  <c r="K504" i="44" s="1"/>
  <c r="K451" i="44" a="1"/>
  <c r="K451" i="44" s="1"/>
  <c r="G229" i="44" a="1"/>
  <c r="G229" i="44" s="1"/>
  <c r="G209" i="44" a="1"/>
  <c r="G209" i="44" s="1"/>
  <c r="G13" i="44" s="1"/>
  <c r="G249" i="44" a="1"/>
  <c r="G249" i="44" s="1"/>
  <c r="H168" i="44" a="1"/>
  <c r="H168" i="44" s="1"/>
  <c r="H215" i="44" a="1"/>
  <c r="H215" i="44" s="1"/>
  <c r="E94" i="52" s="1"/>
  <c r="I214" i="44" a="1"/>
  <c r="I214" i="44" s="1"/>
  <c r="I68" i="44" s="1"/>
  <c r="I256" i="44" a="1"/>
  <c r="I256" i="44" s="1"/>
  <c r="J167" i="44" a="1"/>
  <c r="J167" i="44" s="1"/>
  <c r="J213" i="44" a="1"/>
  <c r="J213" i="44" s="1"/>
  <c r="G92" i="52" s="1"/>
  <c r="J255" i="44" a="1"/>
  <c r="J255" i="44" s="1"/>
  <c r="K167" i="44" a="1"/>
  <c r="K167" i="44" s="1"/>
  <c r="K213" i="44" a="1"/>
  <c r="K213" i="44" s="1"/>
  <c r="K256" i="44" a="1"/>
  <c r="K256" i="44" s="1"/>
  <c r="H71" i="52"/>
  <c r="G504" i="44" a="1"/>
  <c r="G504" i="44" s="1"/>
  <c r="G454" i="44" a="1"/>
  <c r="G454" i="44" s="1"/>
  <c r="H504" i="44" a="1"/>
  <c r="H504" i="44" s="1"/>
  <c r="H454" i="44" a="1"/>
  <c r="H454" i="44" s="1"/>
  <c r="I504" i="44" a="1"/>
  <c r="I504" i="44" s="1"/>
  <c r="I454" i="44" a="1"/>
  <c r="I454" i="44" s="1"/>
  <c r="J504" i="44" a="1"/>
  <c r="J504" i="44" s="1"/>
  <c r="J454" i="44" a="1"/>
  <c r="J454" i="44" s="1"/>
  <c r="K505" i="44" a="1"/>
  <c r="K505" i="44" s="1"/>
  <c r="K454" i="44" a="1"/>
  <c r="K454" i="44" s="1"/>
  <c r="H219" i="44" a="1"/>
  <c r="H219" i="44" s="1"/>
  <c r="E91" i="80" s="1"/>
  <c r="I219" i="44" a="1"/>
  <c r="I219" i="44" s="1"/>
  <c r="I106" i="44" s="1"/>
  <c r="K221" i="44" a="1"/>
  <c r="K221" i="44" s="1"/>
  <c r="H93" i="80" s="1"/>
  <c r="G482" i="44" a="1"/>
  <c r="G482" i="44" s="1"/>
  <c r="L93" i="84" s="1"/>
  <c r="H497" i="44" a="1"/>
  <c r="H497" i="44" s="1"/>
  <c r="J480" i="44" a="1"/>
  <c r="J480" i="44" s="1"/>
  <c r="K482" i="44" a="1"/>
  <c r="K482" i="44" s="1"/>
  <c r="I173" i="44" a="1"/>
  <c r="I173" i="44" s="1"/>
  <c r="H220" i="44" a="1"/>
  <c r="H220" i="44" s="1"/>
  <c r="E92" i="84" s="1"/>
  <c r="I220" i="44" a="1"/>
  <c r="I220" i="44" s="1"/>
  <c r="I113" i="44" s="1"/>
  <c r="J220" i="44" a="1"/>
  <c r="J220" i="44" s="1"/>
  <c r="G92" i="84" s="1"/>
  <c r="K235" i="44" a="1"/>
  <c r="K235" i="44" s="1"/>
  <c r="I467" i="44" a="1"/>
  <c r="I467" i="44" s="1"/>
  <c r="I434" i="44" a="1"/>
  <c r="I434" i="44" s="1"/>
  <c r="G206" i="44" a="1"/>
  <c r="G206" i="44" s="1"/>
  <c r="K434" i="44" a="1"/>
  <c r="K434" i="44" s="1"/>
  <c r="K173" i="44" a="1"/>
  <c r="K173" i="44" s="1"/>
  <c r="G236" i="44" a="1"/>
  <c r="G236" i="44" s="1"/>
  <c r="G220" i="44" a="1"/>
  <c r="G220" i="44" s="1"/>
  <c r="D92" i="84" s="1"/>
  <c r="J206" i="44" a="1"/>
  <c r="J206" i="44" s="1"/>
  <c r="J34" i="44" s="1"/>
  <c r="K219" i="44" a="1"/>
  <c r="K219" i="44" s="1"/>
  <c r="H91" i="80" s="1"/>
  <c r="G497" i="44" a="1"/>
  <c r="G497" i="44" s="1"/>
  <c r="H482" i="44" a="1"/>
  <c r="H482" i="44" s="1"/>
  <c r="H381" i="44" s="1"/>
  <c r="I497" i="44" a="1"/>
  <c r="I497" i="44" s="1"/>
  <c r="K480" i="44" a="1"/>
  <c r="K480" i="44" s="1"/>
  <c r="K367" i="44" s="1"/>
  <c r="K478" i="44" a="1"/>
  <c r="K478" i="44" s="1"/>
  <c r="K351" i="44" s="1"/>
  <c r="J484" i="44" a="1"/>
  <c r="J484" i="44" s="1"/>
  <c r="J396" i="44" s="1"/>
  <c r="I222" i="44" a="1"/>
  <c r="I222" i="44" s="1"/>
  <c r="I128" i="44" s="1"/>
  <c r="I478" i="44" a="1"/>
  <c r="I478" i="44" s="1"/>
  <c r="I351" i="44" s="1"/>
  <c r="H484" i="44" a="1"/>
  <c r="H484" i="44" s="1"/>
  <c r="H396" i="44" s="1"/>
  <c r="G223" i="44" a="1"/>
  <c r="G223" i="44" s="1"/>
  <c r="G135" i="44" s="1"/>
  <c r="G478" i="44" a="1"/>
  <c r="G478" i="44" s="1"/>
  <c r="G351" i="44" s="1"/>
  <c r="G218" i="44" a="1"/>
  <c r="G218" i="44" s="1"/>
  <c r="G97" i="44" s="1"/>
  <c r="I216" i="44" a="1"/>
  <c r="I216" i="44" s="1"/>
  <c r="I83" i="44" s="1"/>
  <c r="H216" i="44" a="1"/>
  <c r="H216" i="44" s="1"/>
  <c r="H83" i="44" s="1"/>
  <c r="J496" i="44" a="1"/>
  <c r="J496" i="44" s="1"/>
  <c r="H496" i="44" a="1"/>
  <c r="H496" i="44" s="1"/>
  <c r="K220" i="44" a="1"/>
  <c r="K220" i="44" s="1"/>
  <c r="H92" i="80" s="1"/>
  <c r="I221" i="44" a="1"/>
  <c r="I221" i="44" s="1"/>
  <c r="I120" i="44" s="1"/>
  <c r="H434" i="44" a="1"/>
  <c r="H434" i="44" s="1"/>
  <c r="I107" i="51" a="1"/>
  <c r="I107" i="51" s="1"/>
  <c r="Q109" i="51" a="1"/>
  <c r="Q109" i="51" s="1"/>
  <c r="I157" i="44" a="1"/>
  <c r="I157" i="44" s="1"/>
  <c r="G192" i="44" s="1" a="1"/>
  <c r="G192" i="44" s="1"/>
  <c r="K223" i="44" a="1"/>
  <c r="K223" i="44" s="1"/>
  <c r="K135" i="44" s="1"/>
  <c r="J483" i="44" a="1"/>
  <c r="J483" i="44" s="1"/>
  <c r="J389" i="44" s="1"/>
  <c r="I208" i="44" a="1"/>
  <c r="I208" i="44" s="1"/>
  <c r="I42" i="44" s="1"/>
  <c r="I477" i="44" a="1"/>
  <c r="I477" i="44" s="1"/>
  <c r="I344" i="44" s="1"/>
  <c r="H483" i="44" a="1"/>
  <c r="H483" i="44" s="1"/>
  <c r="H389" i="44" s="1"/>
  <c r="G222" i="44" a="1"/>
  <c r="G222" i="44" s="1"/>
  <c r="G128" i="44" s="1"/>
  <c r="G477" i="44" a="1"/>
  <c r="G477" i="44" s="1"/>
  <c r="G344" i="44" s="1"/>
  <c r="K217" i="44" a="1"/>
  <c r="K217" i="44" s="1"/>
  <c r="K90" i="44" s="1"/>
  <c r="G216" i="44" a="1"/>
  <c r="G216" i="44" s="1"/>
  <c r="G83" i="44" s="1"/>
  <c r="H207" i="44" a="1"/>
  <c r="H207" i="44" s="1"/>
  <c r="H25" i="44" s="1"/>
  <c r="J482" i="44" a="1"/>
  <c r="J482" i="44" s="1"/>
  <c r="O93" i="84" s="1"/>
  <c r="H481" i="44" a="1"/>
  <c r="H481" i="44" s="1"/>
  <c r="H374" i="44" s="1"/>
  <c r="K206" i="44" a="1"/>
  <c r="K206" i="44" s="1"/>
  <c r="D165" i="63"/>
  <c r="E165" i="63" s="1" a="1"/>
  <c r="E165" i="63" s="1"/>
  <c r="E166" i="63" s="1"/>
  <c r="K222" i="44" a="1"/>
  <c r="K222" i="44" s="1"/>
  <c r="K128" i="44" s="1"/>
  <c r="K477" i="44" a="1"/>
  <c r="K477" i="44" s="1"/>
  <c r="K344" i="44" s="1"/>
  <c r="J469" i="44" a="1"/>
  <c r="J469" i="44" s="1"/>
  <c r="J303" i="44" s="1"/>
  <c r="I484" i="44" a="1"/>
  <c r="I484" i="44" s="1"/>
  <c r="I396" i="44" s="1"/>
  <c r="I468" i="44" a="1"/>
  <c r="I468" i="44" s="1"/>
  <c r="I286" i="44" s="1"/>
  <c r="H469" i="44" a="1"/>
  <c r="H469" i="44" s="1"/>
  <c r="H303" i="44" s="1"/>
  <c r="G208" i="44" a="1"/>
  <c r="G208" i="44" s="1"/>
  <c r="G42" i="44" s="1"/>
  <c r="G468" i="44" a="1"/>
  <c r="G468" i="44" s="1"/>
  <c r="G286" i="44" s="1"/>
  <c r="J217" i="44" a="1"/>
  <c r="J217" i="44" s="1"/>
  <c r="J90" i="44" s="1"/>
  <c r="J481" i="44" a="1"/>
  <c r="J481" i="44" s="1"/>
  <c r="H480" i="44" a="1"/>
  <c r="H480" i="44" s="1"/>
  <c r="M91" i="84" s="1"/>
  <c r="J236" i="44" a="1"/>
  <c r="J236" i="44" s="1"/>
  <c r="I206" i="44" a="1"/>
  <c r="I206" i="44" s="1"/>
  <c r="I421" i="44" a="1"/>
  <c r="I421" i="44" s="1"/>
  <c r="G457" i="44" s="1" a="1"/>
  <c r="G457" i="44" s="1"/>
  <c r="I155" i="44" a="1"/>
  <c r="I155" i="44" s="1"/>
  <c r="J189" i="44" s="1" a="1"/>
  <c r="J189" i="44" s="1"/>
  <c r="K208" i="44" a="1"/>
  <c r="K208" i="44" s="1"/>
  <c r="K42" i="44" s="1"/>
  <c r="K468" i="44" a="1"/>
  <c r="K468" i="44" s="1"/>
  <c r="K286" i="44" s="1"/>
  <c r="J479" i="44" a="1"/>
  <c r="J479" i="44" s="1"/>
  <c r="J358" i="44" s="1"/>
  <c r="I483" i="44" a="1"/>
  <c r="I483" i="44" s="1"/>
  <c r="I389" i="44" s="1"/>
  <c r="H479" i="44" a="1"/>
  <c r="H479" i="44" s="1"/>
  <c r="H358" i="44" s="1"/>
  <c r="K218" i="44" a="1"/>
  <c r="K218" i="44" s="1"/>
  <c r="K97" i="44" s="1"/>
  <c r="I217" i="44" a="1"/>
  <c r="I217" i="44" s="1"/>
  <c r="I90" i="44" s="1"/>
  <c r="K207" i="44" a="1"/>
  <c r="K207" i="44" s="1"/>
  <c r="K25" i="44" s="1"/>
  <c r="K497" i="44" a="1"/>
  <c r="K497" i="44" s="1"/>
  <c r="J467" i="44" a="1"/>
  <c r="J467" i="44" s="1"/>
  <c r="J295" i="44" s="1"/>
  <c r="H467" i="44" a="1"/>
  <c r="H467" i="44" s="1"/>
  <c r="G481" i="44" a="1"/>
  <c r="G481" i="44" s="1"/>
  <c r="G374" i="44" s="1"/>
  <c r="J235" i="44" a="1"/>
  <c r="J235" i="44" s="1"/>
  <c r="H236" i="44" a="1"/>
  <c r="H236" i="44" s="1"/>
  <c r="G221" i="44" a="1"/>
  <c r="G221" i="44" s="1"/>
  <c r="I108" i="51" a="1"/>
  <c r="I108" i="51" s="1"/>
  <c r="K496" i="44" a="1"/>
  <c r="K496" i="44" s="1"/>
  <c r="K498" i="44" s="1"/>
  <c r="I496" i="44" a="1"/>
  <c r="I496" i="44" s="1"/>
  <c r="G496" i="44" a="1"/>
  <c r="G496" i="44" s="1"/>
  <c r="J221" i="44" a="1"/>
  <c r="J221" i="44" s="1"/>
  <c r="J120" i="44" s="1"/>
  <c r="H235" i="44" a="1"/>
  <c r="H235" i="44" s="1"/>
  <c r="G235" i="44" a="1"/>
  <c r="G235" i="44" s="1"/>
  <c r="S107" i="51" a="1"/>
  <c r="S107" i="51" s="1"/>
  <c r="K34" i="51" a="1"/>
  <c r="K34" i="51" s="1"/>
  <c r="H35" i="51" a="1"/>
  <c r="H35" i="51" s="1"/>
  <c r="D52" i="52"/>
  <c r="D51" i="52"/>
  <c r="D51" i="84"/>
  <c r="D92" i="52"/>
  <c r="H152" i="44" a="1"/>
  <c r="H152" i="44" s="1"/>
  <c r="I152" i="44" s="1" a="1"/>
  <c r="I152" i="44" s="1"/>
  <c r="H198" i="44" a="1"/>
  <c r="H198" i="44" s="1"/>
  <c r="G198" i="44" a="1"/>
  <c r="G198" i="44" s="1"/>
  <c r="B5" i="50"/>
  <c r="B50" i="63"/>
  <c r="B137" i="63" s="1"/>
  <c r="B176" i="44"/>
  <c r="B23" i="48"/>
  <c r="B82" i="48" s="1"/>
  <c r="B56" i="49"/>
  <c r="B226" i="49" s="1"/>
  <c r="B39" i="40"/>
  <c r="B106" i="40" s="1"/>
  <c r="B43" i="84"/>
  <c r="B5" i="51"/>
  <c r="B78" i="51" s="1"/>
  <c r="B144" i="42"/>
  <c r="B188" i="42" s="1"/>
  <c r="K492" i="44" l="1"/>
  <c r="I198" i="44" a="1"/>
  <c r="I198" i="44" s="1"/>
  <c r="M94" i="52"/>
  <c r="L93" i="52"/>
  <c r="P94" i="52"/>
  <c r="O93" i="52"/>
  <c r="H93" i="84"/>
  <c r="D92" i="80"/>
  <c r="K456" i="44" a="1"/>
  <c r="K456" i="44" s="1"/>
  <c r="H77" i="84"/>
  <c r="J456" i="44" a="1"/>
  <c r="J456" i="44" s="1"/>
  <c r="H456" i="44" a="1"/>
  <c r="H456" i="44" s="1"/>
  <c r="G456" i="44" a="1"/>
  <c r="G456" i="44" s="1"/>
  <c r="K237" i="44"/>
  <c r="J492" i="44"/>
  <c r="J314" i="44" s="1"/>
  <c r="D84" i="49"/>
  <c r="D86" i="49"/>
  <c r="F86" i="49" s="1"/>
  <c r="D174" i="49"/>
  <c r="F174" i="49" s="1"/>
  <c r="D45" i="49"/>
  <c r="F45" i="49" s="1"/>
  <c r="K45" i="49" s="1"/>
  <c r="D111" i="49"/>
  <c r="F111" i="49" s="1"/>
  <c r="D108" i="49"/>
  <c r="F108" i="49" s="1"/>
  <c r="D173" i="49"/>
  <c r="F173" i="49" s="1"/>
  <c r="D186" i="49"/>
  <c r="F186" i="49" s="1"/>
  <c r="K186" i="49" s="1" a="1"/>
  <c r="K186" i="49" s="1"/>
  <c r="D26" i="49"/>
  <c r="F26" i="49" s="1"/>
  <c r="D25" i="49"/>
  <c r="F25" i="49" s="1"/>
  <c r="D196" i="49"/>
  <c r="F196" i="49" s="1"/>
  <c r="G140" i="49"/>
  <c r="D96" i="49"/>
  <c r="F96" i="49" s="1"/>
  <c r="H96" i="49" s="1"/>
  <c r="J96" i="49" s="1"/>
  <c r="D87" i="49"/>
  <c r="D49" i="49"/>
  <c r="F49" i="49" s="1"/>
  <c r="D35" i="49"/>
  <c r="F35" i="49" s="1"/>
  <c r="K35" i="49" s="1"/>
  <c r="D122" i="49"/>
  <c r="F122" i="49" s="1"/>
  <c r="D118" i="49"/>
  <c r="F118" i="49" s="1"/>
  <c r="L118" i="49" s="1" a="1"/>
  <c r="L118" i="49" s="1"/>
  <c r="D177" i="49"/>
  <c r="F177" i="49" s="1"/>
  <c r="D44" i="49"/>
  <c r="F44" i="49" s="1"/>
  <c r="D109" i="49"/>
  <c r="F109" i="49" s="1"/>
  <c r="D92" i="49"/>
  <c r="F92" i="49" s="1"/>
  <c r="D32" i="49"/>
  <c r="F32" i="49" s="1"/>
  <c r="O32" i="49" s="1"/>
  <c r="G30" i="49"/>
  <c r="D93" i="49"/>
  <c r="F93" i="49" s="1"/>
  <c r="D106" i="49"/>
  <c r="F106" i="49" s="1"/>
  <c r="D51" i="49"/>
  <c r="F51" i="49" s="1"/>
  <c r="D121" i="49"/>
  <c r="F121" i="49" s="1"/>
  <c r="D187" i="49"/>
  <c r="F187" i="49" s="1"/>
  <c r="D23" i="49"/>
  <c r="F23" i="49" s="1"/>
  <c r="D22" i="49"/>
  <c r="F22" i="49" s="1"/>
  <c r="O22" i="49" s="1"/>
  <c r="D211" i="49"/>
  <c r="F211" i="49" s="1"/>
  <c r="G168" i="49"/>
  <c r="D213" i="49"/>
  <c r="F213" i="49" s="1"/>
  <c r="D85" i="49"/>
  <c r="F85" i="49" s="1"/>
  <c r="D74" i="49"/>
  <c r="E74" i="49" s="1"/>
  <c r="D185" i="49"/>
  <c r="F185" i="49" s="1"/>
  <c r="O185" i="49" s="1" a="1"/>
  <c r="O185" i="49" s="1"/>
  <c r="D172" i="49"/>
  <c r="F172" i="49" s="1"/>
  <c r="D214" i="49"/>
  <c r="F214" i="49" s="1"/>
  <c r="D209" i="49"/>
  <c r="F209" i="49" s="1"/>
  <c r="D107" i="49"/>
  <c r="F107" i="49" s="1"/>
  <c r="G194" i="49"/>
  <c r="D155" i="49"/>
  <c r="F155" i="49" s="1"/>
  <c r="G43" i="49"/>
  <c r="D157" i="49"/>
  <c r="F157" i="49" s="1"/>
  <c r="D120" i="49"/>
  <c r="F120" i="49" s="1"/>
  <c r="L120" i="49" s="1" a="1"/>
  <c r="L120" i="49" s="1"/>
  <c r="D200" i="49"/>
  <c r="F200" i="49" s="1"/>
  <c r="D39" i="49"/>
  <c r="F39" i="49" s="1"/>
  <c r="D183" i="49"/>
  <c r="F183" i="49" s="1"/>
  <c r="D131" i="49"/>
  <c r="F131" i="49" s="1"/>
  <c r="D46" i="49"/>
  <c r="F46" i="49" s="1"/>
  <c r="D156" i="49"/>
  <c r="F156" i="49" s="1"/>
  <c r="D190" i="49"/>
  <c r="F190" i="49" s="1"/>
  <c r="D154" i="49"/>
  <c r="F154" i="49" s="1"/>
  <c r="D201" i="49"/>
  <c r="F201" i="49" s="1"/>
  <c r="D184" i="49"/>
  <c r="F184" i="49" s="1"/>
  <c r="D52" i="49"/>
  <c r="F52" i="49" s="1"/>
  <c r="D20" i="49"/>
  <c r="F20" i="49" s="1"/>
  <c r="D33" i="49"/>
  <c r="F33" i="49" s="1"/>
  <c r="D136" i="49"/>
  <c r="F136" i="49" s="1"/>
  <c r="D133" i="49"/>
  <c r="F133" i="49" s="1"/>
  <c r="D163" i="49"/>
  <c r="F163" i="49" s="1"/>
  <c r="D73" i="49"/>
  <c r="E73" i="49" s="1"/>
  <c r="D188" i="49"/>
  <c r="F188" i="49" s="1"/>
  <c r="N91" i="80"/>
  <c r="D83" i="49"/>
  <c r="F83" i="49" s="1"/>
  <c r="D82" i="49"/>
  <c r="F82" i="49" s="1"/>
  <c r="D116" i="49"/>
  <c r="F116" i="49" s="1"/>
  <c r="D132" i="49"/>
  <c r="F132" i="49" s="1"/>
  <c r="K132" i="49" s="1"/>
  <c r="D149" i="49"/>
  <c r="F149" i="49" s="1"/>
  <c r="D146" i="49"/>
  <c r="F146" i="49" s="1"/>
  <c r="D97" i="49"/>
  <c r="F97" i="49" s="1"/>
  <c r="H97" i="49" s="1"/>
  <c r="J97" i="49" s="1"/>
  <c r="D210" i="49"/>
  <c r="F210" i="49" s="1"/>
  <c r="D145" i="49"/>
  <c r="F145" i="49" s="1"/>
  <c r="D36" i="49"/>
  <c r="F36" i="49" s="1"/>
  <c r="D175" i="49"/>
  <c r="F175" i="49" s="1"/>
  <c r="N71" i="52"/>
  <c r="D304" i="49"/>
  <c r="G78" i="52"/>
  <c r="E91" i="84"/>
  <c r="J506" i="44"/>
  <c r="K198" i="44" a="1"/>
  <c r="K198" i="44" s="1"/>
  <c r="L185" i="49" a="1"/>
  <c r="L185" i="49" s="1"/>
  <c r="I189" i="44" a="1"/>
  <c r="I189" i="44" s="1"/>
  <c r="G237" i="44"/>
  <c r="G54" i="44" s="1"/>
  <c r="K197" i="44" a="1"/>
  <c r="K197" i="44" s="1"/>
  <c r="N91" i="84"/>
  <c r="P77" i="84"/>
  <c r="I506" i="44"/>
  <c r="J257" i="44"/>
  <c r="D302" i="49"/>
  <c r="F302" i="49" s="1"/>
  <c r="M185" i="49" a="1"/>
  <c r="M185" i="49" s="1"/>
  <c r="H506" i="44"/>
  <c r="K106" i="44"/>
  <c r="K110" i="44" s="1"/>
  <c r="I251" i="44"/>
  <c r="O71" i="52"/>
  <c r="H413" i="44" a="1"/>
  <c r="H413" i="44" s="1"/>
  <c r="I413" i="44" s="1" a="1"/>
  <c r="I413" i="44" s="1"/>
  <c r="J446" i="44" s="1" a="1"/>
  <c r="J446" i="44" s="1"/>
  <c r="M71" i="52"/>
  <c r="P70" i="80"/>
  <c r="L93" i="80"/>
  <c r="L71" i="52"/>
  <c r="F87" i="49"/>
  <c r="M70" i="80"/>
  <c r="L50" i="80"/>
  <c r="P71" i="52"/>
  <c r="K189" i="44" a="1"/>
  <c r="K189" i="44" s="1"/>
  <c r="H257" i="44"/>
  <c r="G189" i="44" a="1"/>
  <c r="G189" i="44" s="1"/>
  <c r="G199" i="44" a="1"/>
  <c r="G199" i="44" s="1"/>
  <c r="Q53" i="52"/>
  <c r="H189" i="44" a="1"/>
  <c r="H189" i="44" s="1"/>
  <c r="J460" i="44" a="1"/>
  <c r="J460" i="44" s="1"/>
  <c r="E93" i="80"/>
  <c r="I460" i="44" a="1"/>
  <c r="I460" i="44" s="1"/>
  <c r="H120" i="44"/>
  <c r="I52" i="84"/>
  <c r="H460" i="44" a="1"/>
  <c r="H460" i="44" s="1"/>
  <c r="H92" i="84"/>
  <c r="I52" i="80"/>
  <c r="G460" i="44" a="1"/>
  <c r="G460" i="44" s="1"/>
  <c r="K113" i="44"/>
  <c r="K117" i="44" s="1"/>
  <c r="G68" i="44"/>
  <c r="M91" i="80"/>
  <c r="G245" i="44"/>
  <c r="J512" i="44"/>
  <c r="H367" i="44"/>
  <c r="H371" i="44" s="1"/>
  <c r="I448" i="44" a="1"/>
  <c r="I448" i="44" s="1"/>
  <c r="G448" i="44" a="1"/>
  <c r="G448" i="44" s="1"/>
  <c r="J448" i="44" a="1"/>
  <c r="J448" i="44" s="1"/>
  <c r="H448" i="44" a="1"/>
  <c r="H448" i="44" s="1"/>
  <c r="K448" i="44" a="1"/>
  <c r="K448" i="44" s="1"/>
  <c r="H411" i="44" a="1"/>
  <c r="H411" i="44" s="1"/>
  <c r="I411" i="44" s="1" a="1"/>
  <c r="I411" i="44" s="1"/>
  <c r="H441" i="44" s="1" a="1"/>
  <c r="H441" i="44" s="1"/>
  <c r="G453" i="44" a="1"/>
  <c r="G453" i="44" s="1"/>
  <c r="M77" i="84"/>
  <c r="J197" i="44" a="1"/>
  <c r="J197" i="44" s="1"/>
  <c r="I455" i="44" a="1"/>
  <c r="I455" i="44" s="1"/>
  <c r="E87" i="52"/>
  <c r="I197" i="44" a="1"/>
  <c r="I197" i="44" s="1"/>
  <c r="H455" i="44" a="1"/>
  <c r="H455" i="44" s="1"/>
  <c r="K453" i="44" a="1"/>
  <c r="K453" i="44" s="1"/>
  <c r="M92" i="84"/>
  <c r="J69" i="51" a="1"/>
  <c r="J69" i="51" s="1"/>
  <c r="D316" i="49"/>
  <c r="G316" i="49" s="1"/>
  <c r="D307" i="49"/>
  <c r="J453" i="44" a="1"/>
  <c r="J453" i="44" s="1"/>
  <c r="G455" i="44" a="1"/>
  <c r="G455" i="44" s="1"/>
  <c r="M92" i="80"/>
  <c r="I237" i="44"/>
  <c r="I54" i="44" s="1"/>
  <c r="D308" i="49"/>
  <c r="F308" i="49" s="1"/>
  <c r="H453" i="44" a="1"/>
  <c r="H453" i="44" s="1"/>
  <c r="J455" i="44" a="1"/>
  <c r="J455" i="44" s="1"/>
  <c r="H106" i="44"/>
  <c r="H108" i="44" s="1" a="1"/>
  <c r="H108" i="44" s="1"/>
  <c r="E92" i="80"/>
  <c r="D305" i="49"/>
  <c r="F305" i="49" s="1"/>
  <c r="Q52" i="80"/>
  <c r="G197" i="44" a="1"/>
  <c r="G197" i="44" s="1"/>
  <c r="H113" i="44"/>
  <c r="H117" i="44" s="1"/>
  <c r="H100" i="80" a="1"/>
  <c r="H100" i="80" s="1"/>
  <c r="U70" i="51" a="1"/>
  <c r="U70" i="51" s="1"/>
  <c r="J194" i="44" a="1"/>
  <c r="J194" i="44" s="1"/>
  <c r="I194" i="44" a="1"/>
  <c r="I194" i="44" s="1"/>
  <c r="I458" i="44" a="1"/>
  <c r="I458" i="44" s="1"/>
  <c r="G458" i="44" a="1"/>
  <c r="G458" i="44" s="1"/>
  <c r="H458" i="44" a="1"/>
  <c r="H458" i="44" s="1"/>
  <c r="J458" i="44" a="1"/>
  <c r="J458" i="44" s="1"/>
  <c r="K458" i="44" a="1"/>
  <c r="K458" i="44" s="1"/>
  <c r="K187" i="44" a="1"/>
  <c r="K187" i="44" s="1"/>
  <c r="G187" i="44" a="1"/>
  <c r="G187" i="44" s="1"/>
  <c r="S69" i="51" a="1"/>
  <c r="S69" i="51" s="1"/>
  <c r="J191" i="44" a="1"/>
  <c r="J191" i="44" s="1"/>
  <c r="J336" i="44"/>
  <c r="G381" i="44"/>
  <c r="G383" i="44" s="1" a="1"/>
  <c r="G383" i="44" s="1"/>
  <c r="H192" i="44" a="1"/>
  <c r="H192" i="44" s="1"/>
  <c r="P93" i="52"/>
  <c r="H75" i="44"/>
  <c r="K169" i="44"/>
  <c r="H73" i="52" s="1"/>
  <c r="J231" i="44"/>
  <c r="G87" i="52" s="1"/>
  <c r="I231" i="44"/>
  <c r="M132" i="49"/>
  <c r="G77" i="80"/>
  <c r="K506" i="44"/>
  <c r="G492" i="44"/>
  <c r="L87" i="52" s="1"/>
  <c r="K512" i="44"/>
  <c r="I492" i="44"/>
  <c r="I314" i="44" s="1"/>
  <c r="H251" i="44"/>
  <c r="L48" i="80"/>
  <c r="G251" i="44"/>
  <c r="O35" i="49"/>
  <c r="L49" i="52"/>
  <c r="L70" i="80"/>
  <c r="D77" i="80"/>
  <c r="J169" i="44"/>
  <c r="G73" i="52" s="1"/>
  <c r="I257" i="44"/>
  <c r="L52" i="52"/>
  <c r="K118" i="49" a="1"/>
  <c r="K118" i="49" s="1"/>
  <c r="F99" i="80" a="1"/>
  <c r="F99" i="80" s="1"/>
  <c r="G188" i="44" a="1"/>
  <c r="G188" i="44" s="1"/>
  <c r="H188" i="44" a="1"/>
  <c r="H188" i="44" s="1"/>
  <c r="K188" i="44" a="1"/>
  <c r="K188" i="44" s="1"/>
  <c r="J188" i="44" a="1"/>
  <c r="J188" i="44" s="1"/>
  <c r="I188" i="44" a="1"/>
  <c r="I188" i="44" s="1"/>
  <c r="J498" i="44"/>
  <c r="I512" i="44"/>
  <c r="G257" i="44"/>
  <c r="H492" i="44"/>
  <c r="M87" i="52" s="1"/>
  <c r="G231" i="44"/>
  <c r="G53" i="44" s="1"/>
  <c r="G498" i="44"/>
  <c r="G315" i="44" s="1"/>
  <c r="J237" i="44"/>
  <c r="J54" i="44" s="1"/>
  <c r="K450" i="44" a="1"/>
  <c r="K450" i="44" s="1"/>
  <c r="G450" i="44" a="1"/>
  <c r="G450" i="44" s="1"/>
  <c r="K195" i="44" a="1"/>
  <c r="K195" i="44" s="1"/>
  <c r="I195" i="44" a="1"/>
  <c r="I195" i="44" s="1"/>
  <c r="H195" i="44" a="1"/>
  <c r="H195" i="44" s="1"/>
  <c r="G195" i="44" a="1"/>
  <c r="G195" i="44" s="1"/>
  <c r="J195" i="44" a="1"/>
  <c r="J195" i="44" s="1"/>
  <c r="J452" i="44" a="1"/>
  <c r="J452" i="44" s="1"/>
  <c r="I452" i="44" a="1"/>
  <c r="I452" i="44" s="1"/>
  <c r="G452" i="44" a="1"/>
  <c r="G452" i="44" s="1"/>
  <c r="H261" i="44" a="1"/>
  <c r="H261" i="44" s="1"/>
  <c r="E81" i="80" s="1"/>
  <c r="E59" i="80" s="1"/>
  <c r="J261" i="44" a="1"/>
  <c r="J261" i="44" s="1"/>
  <c r="G81" i="84" s="1"/>
  <c r="G59" i="84" s="1"/>
  <c r="K261" i="44" a="1"/>
  <c r="K261" i="44" s="1"/>
  <c r="H82" i="52" s="1"/>
  <c r="H60" i="52" s="1"/>
  <c r="J199" i="44" a="1"/>
  <c r="J199" i="44" s="1"/>
  <c r="K199" i="44" a="1"/>
  <c r="K199" i="44" s="1"/>
  <c r="H78" i="52"/>
  <c r="I199" i="44" a="1"/>
  <c r="I199" i="44" s="1"/>
  <c r="H329" i="44"/>
  <c r="N93" i="84"/>
  <c r="H498" i="44"/>
  <c r="M86" i="80" s="1"/>
  <c r="K231" i="44"/>
  <c r="H87" i="52" s="1"/>
  <c r="G77" i="84"/>
  <c r="K518" i="44"/>
  <c r="G518" i="44"/>
  <c r="K245" i="44"/>
  <c r="N78" i="52"/>
  <c r="L78" i="52"/>
  <c r="N35" i="49"/>
  <c r="L45" i="49"/>
  <c r="I381" i="44"/>
  <c r="M35" i="49"/>
  <c r="M118" i="49" a="1"/>
  <c r="M118" i="49" s="1"/>
  <c r="D101" i="80" a="1"/>
  <c r="D101" i="80" s="1"/>
  <c r="D102" i="52" a="1"/>
  <c r="D102" i="52" s="1"/>
  <c r="G75" i="44"/>
  <c r="G79" i="44" s="1"/>
  <c r="G194" i="44" a="1"/>
  <c r="G194" i="44" s="1"/>
  <c r="F93" i="84"/>
  <c r="J518" i="44"/>
  <c r="P77" i="80"/>
  <c r="H512" i="44"/>
  <c r="H245" i="44"/>
  <c r="L35" i="49"/>
  <c r="Q71" i="51" a="1"/>
  <c r="Q71" i="51" s="1"/>
  <c r="I53" i="52"/>
  <c r="G17" i="49"/>
  <c r="C54" i="63" s="1"/>
  <c r="D161" i="49"/>
  <c r="F161" i="49" s="1"/>
  <c r="D48" i="49"/>
  <c r="F48" i="49" s="1"/>
  <c r="D199" i="49"/>
  <c r="F199" i="49" s="1"/>
  <c r="D143" i="49"/>
  <c r="F143" i="49" s="1"/>
  <c r="D216" i="49"/>
  <c r="F216" i="49" s="1"/>
  <c r="D142" i="49"/>
  <c r="F142" i="49" s="1"/>
  <c r="D123" i="49"/>
  <c r="F123" i="49" s="1"/>
  <c r="D34" i="49"/>
  <c r="F34" i="49" s="1"/>
  <c r="D38" i="49"/>
  <c r="F38" i="49" s="1"/>
  <c r="D117" i="49"/>
  <c r="F117" i="49" s="1"/>
  <c r="D147" i="49"/>
  <c r="F147" i="49" s="1"/>
  <c r="D170" i="49"/>
  <c r="F170" i="49" s="1"/>
  <c r="D104" i="49"/>
  <c r="F104" i="49" s="1"/>
  <c r="D159" i="49"/>
  <c r="F159" i="49" s="1"/>
  <c r="G102" i="49"/>
  <c r="C17" i="63" s="1"/>
  <c r="H17" i="63" s="1" a="1"/>
  <c r="H17" i="63" s="1"/>
  <c r="D212" i="49"/>
  <c r="F212" i="49" s="1"/>
  <c r="M212" i="49" s="1" a="1"/>
  <c r="M212" i="49" s="1"/>
  <c r="D31" i="49"/>
  <c r="F31" i="49" s="1"/>
  <c r="K31" i="49" s="1"/>
  <c r="D182" i="49"/>
  <c r="F182" i="49" s="1"/>
  <c r="D203" i="49"/>
  <c r="F203" i="49" s="1"/>
  <c r="D105" i="49"/>
  <c r="F105" i="49" s="1"/>
  <c r="D18" i="49"/>
  <c r="F18" i="49" s="1"/>
  <c r="O18" i="49" s="1"/>
  <c r="D47" i="49"/>
  <c r="F47" i="49" s="1"/>
  <c r="N47" i="49" s="1"/>
  <c r="D198" i="49"/>
  <c r="F198" i="49" s="1"/>
  <c r="D130" i="49"/>
  <c r="F130" i="49" s="1"/>
  <c r="M130" i="49" s="1" a="1"/>
  <c r="M130" i="49" s="1"/>
  <c r="D160" i="49"/>
  <c r="F160" i="49" s="1"/>
  <c r="K160" i="49" s="1" a="1"/>
  <c r="K160" i="49" s="1"/>
  <c r="H194" i="44" a="1"/>
  <c r="H194" i="44" s="1"/>
  <c r="I245" i="44"/>
  <c r="N186" i="49" a="1"/>
  <c r="N186" i="49" s="1"/>
  <c r="O186" i="49" a="1"/>
  <c r="O186" i="49" s="1"/>
  <c r="E36" i="63"/>
  <c r="K194" i="44" a="1"/>
  <c r="K194" i="44" s="1"/>
  <c r="H409" i="44" a="1"/>
  <c r="H409" i="44" s="1"/>
  <c r="I409" i="44" s="1" a="1"/>
  <c r="I409" i="44" s="1"/>
  <c r="G440" i="44" s="1" a="1"/>
  <c r="G440" i="44" s="1"/>
  <c r="Q52" i="84"/>
  <c r="P99" i="80" a="1"/>
  <c r="P99" i="80" s="1"/>
  <c r="U142" i="51" a="1"/>
  <c r="U142" i="51" s="1"/>
  <c r="J522" i="44" a="1"/>
  <c r="J522" i="44" s="1"/>
  <c r="O82" i="52" s="1"/>
  <c r="O60" i="52" s="1"/>
  <c r="H522" i="44" a="1"/>
  <c r="H522" i="44" s="1"/>
  <c r="M82" i="52" s="1"/>
  <c r="M60" i="52" s="1"/>
  <c r="I522" i="44" a="1"/>
  <c r="I522" i="44" s="1"/>
  <c r="N82" i="52" s="1"/>
  <c r="N60" i="52" s="1"/>
  <c r="K522" i="44" a="1"/>
  <c r="K522" i="44" s="1"/>
  <c r="K273" i="44" s="1"/>
  <c r="G522" i="44" a="1"/>
  <c r="G522" i="44" s="1"/>
  <c r="L81" i="84" s="1"/>
  <c r="L59" i="84" s="1"/>
  <c r="I449" i="44" a="1"/>
  <c r="I449" i="44" s="1"/>
  <c r="K449" i="44" a="1"/>
  <c r="K449" i="44" s="1"/>
  <c r="J449" i="44" a="1"/>
  <c r="J449" i="44" s="1"/>
  <c r="H449" i="44" a="1"/>
  <c r="H449" i="44" s="1"/>
  <c r="G449" i="44" a="1"/>
  <c r="G449" i="44" s="1"/>
  <c r="O187" i="49" a="1"/>
  <c r="O187" i="49" s="1"/>
  <c r="M187" i="49" a="1"/>
  <c r="M187" i="49" s="1"/>
  <c r="L211" i="49" a="1"/>
  <c r="L211" i="49" s="1"/>
  <c r="N211" i="49" a="1"/>
  <c r="N211" i="49" s="1"/>
  <c r="M211" i="49" a="1"/>
  <c r="M211" i="49" s="1"/>
  <c r="G261" i="44" a="1"/>
  <c r="G261" i="44" s="1"/>
  <c r="D82" i="52" s="1"/>
  <c r="D60" i="52" s="1"/>
  <c r="J459" i="44" a="1"/>
  <c r="J459" i="44" s="1"/>
  <c r="K452" i="44" a="1"/>
  <c r="K452" i="44" s="1"/>
  <c r="G113" i="44"/>
  <c r="I274" i="44"/>
  <c r="C36" i="52"/>
  <c r="C39" i="52"/>
  <c r="K185" i="49" a="1"/>
  <c r="K185" i="49" s="1"/>
  <c r="N185" i="49" a="1"/>
  <c r="N185" i="49" s="1"/>
  <c r="I459" i="44" a="1"/>
  <c r="I459" i="44" s="1"/>
  <c r="F93" i="52"/>
  <c r="K120" i="44"/>
  <c r="G93" i="80"/>
  <c r="D21" i="63"/>
  <c r="E21" i="63" s="1"/>
  <c r="L187" i="49" a="1"/>
  <c r="L187" i="49" s="1"/>
  <c r="E2" i="63"/>
  <c r="E189" i="63"/>
  <c r="N120" i="49" a="1"/>
  <c r="N120" i="49" s="1"/>
  <c r="O120" i="49" a="1"/>
  <c r="O120" i="49" s="1"/>
  <c r="P78" i="52"/>
  <c r="H459" i="44" a="1"/>
  <c r="H459" i="44" s="1"/>
  <c r="F78" i="52"/>
  <c r="G93" i="84"/>
  <c r="M120" i="49" a="1"/>
  <c r="M120" i="49" s="1"/>
  <c r="F101" i="52" a="1"/>
  <c r="F101" i="52" s="1"/>
  <c r="O99" i="80" a="1"/>
  <c r="O99" i="80" s="1"/>
  <c r="N132" i="49"/>
  <c r="L132" i="49"/>
  <c r="O132" i="49"/>
  <c r="N77" i="80"/>
  <c r="J450" i="44" a="1"/>
  <c r="J450" i="44" s="1"/>
  <c r="H518" i="44"/>
  <c r="O45" i="49"/>
  <c r="N45" i="49"/>
  <c r="M45" i="49"/>
  <c r="L186" i="49" a="1"/>
  <c r="L186" i="49" s="1"/>
  <c r="M186" i="49" a="1"/>
  <c r="M186" i="49" s="1"/>
  <c r="D238" i="49"/>
  <c r="F238" i="49" s="1"/>
  <c r="O238" i="49" s="1"/>
  <c r="D253" i="49"/>
  <c r="F253" i="49" s="1"/>
  <c r="N253" i="49" s="1"/>
  <c r="D431" i="49"/>
  <c r="F431" i="49" s="1"/>
  <c r="D368" i="49"/>
  <c r="F368" i="49" s="1"/>
  <c r="D331" i="49"/>
  <c r="F331" i="49" s="1"/>
  <c r="D393" i="49"/>
  <c r="F393" i="49" s="1"/>
  <c r="D418" i="49"/>
  <c r="F418" i="49" s="1"/>
  <c r="D380" i="49"/>
  <c r="F380" i="49" s="1"/>
  <c r="D342" i="49"/>
  <c r="F342" i="49" s="1"/>
  <c r="D265" i="49"/>
  <c r="F265" i="49" s="1"/>
  <c r="D373" i="49"/>
  <c r="F373" i="49" s="1"/>
  <c r="D432" i="49"/>
  <c r="F432" i="49" s="1"/>
  <c r="L432" i="49" s="1" a="1"/>
  <c r="L432" i="49" s="1"/>
  <c r="D374" i="49"/>
  <c r="F374" i="49" s="1"/>
  <c r="M374" i="49" s="1" a="1"/>
  <c r="M374" i="49" s="1"/>
  <c r="D406" i="49"/>
  <c r="F406" i="49" s="1"/>
  <c r="D240" i="49"/>
  <c r="F240" i="49" s="1"/>
  <c r="K240" i="49" s="1"/>
  <c r="D254" i="49"/>
  <c r="F254" i="49" s="1"/>
  <c r="M254" i="49" s="1"/>
  <c r="D314" i="49"/>
  <c r="D341" i="49"/>
  <c r="F341" i="49" s="1"/>
  <c r="D402" i="49"/>
  <c r="F402" i="49" s="1"/>
  <c r="D396" i="49"/>
  <c r="F396" i="49" s="1"/>
  <c r="D338" i="49"/>
  <c r="F338" i="49" s="1"/>
  <c r="D394" i="49"/>
  <c r="F394" i="49" s="1"/>
  <c r="D293" i="49"/>
  <c r="E293" i="49" s="1"/>
  <c r="D295" i="49" s="1"/>
  <c r="D296" i="49" s="1"/>
  <c r="D362" i="49"/>
  <c r="F362" i="49" s="1"/>
  <c r="D263" i="49"/>
  <c r="F263" i="49" s="1"/>
  <c r="M263" i="49" s="1"/>
  <c r="D378" i="49"/>
  <c r="F378" i="49" s="1"/>
  <c r="D241" i="49"/>
  <c r="F241" i="49" s="1"/>
  <c r="O241" i="49" s="1"/>
  <c r="D257" i="49"/>
  <c r="F257" i="49" s="1"/>
  <c r="D271" i="49"/>
  <c r="F271" i="49" s="1"/>
  <c r="D409" i="49"/>
  <c r="F409" i="49" s="1"/>
  <c r="D303" i="49"/>
  <c r="F303" i="49" s="1"/>
  <c r="D435" i="49"/>
  <c r="F435" i="49" s="1"/>
  <c r="D416" i="49"/>
  <c r="F416" i="49" s="1"/>
  <c r="D345" i="49"/>
  <c r="F345" i="49" s="1"/>
  <c r="D355" i="49"/>
  <c r="F355" i="49" s="1"/>
  <c r="D313" i="49"/>
  <c r="F313" i="49" s="1"/>
  <c r="H313" i="49" s="1"/>
  <c r="D255" i="49"/>
  <c r="F255" i="49" s="1"/>
  <c r="D312" i="49"/>
  <c r="F312" i="49" s="1"/>
  <c r="D429" i="49"/>
  <c r="F429" i="49" s="1"/>
  <c r="G236" i="49"/>
  <c r="D244" i="49"/>
  <c r="F244" i="49" s="1"/>
  <c r="D258" i="49"/>
  <c r="F258" i="49" s="1"/>
  <c r="D268" i="49"/>
  <c r="F268" i="49" s="1"/>
  <c r="D427" i="49"/>
  <c r="F427" i="49" s="1"/>
  <c r="D343" i="49"/>
  <c r="F343" i="49" s="1"/>
  <c r="D391" i="49"/>
  <c r="F391" i="49" s="1"/>
  <c r="D390" i="49"/>
  <c r="F390" i="49" s="1"/>
  <c r="D403" i="49"/>
  <c r="F403" i="49" s="1"/>
  <c r="D317" i="49"/>
  <c r="D264" i="49"/>
  <c r="F264" i="49" s="1"/>
  <c r="O264" i="49" s="1"/>
  <c r="D377" i="49"/>
  <c r="F377" i="49" s="1"/>
  <c r="D325" i="49"/>
  <c r="F325" i="49" s="1"/>
  <c r="D382" i="49"/>
  <c r="F382" i="49" s="1"/>
  <c r="G322" i="49"/>
  <c r="G249" i="49"/>
  <c r="D245" i="49"/>
  <c r="F245" i="49" s="1"/>
  <c r="D329" i="49"/>
  <c r="F329" i="49" s="1"/>
  <c r="D351" i="49"/>
  <c r="F351" i="49" s="1"/>
  <c r="D375" i="49"/>
  <c r="F375" i="49" s="1"/>
  <c r="D428" i="49"/>
  <c r="F428" i="49" s="1"/>
  <c r="K428" i="49" s="1" a="1"/>
  <c r="K428" i="49" s="1"/>
  <c r="D252" i="49"/>
  <c r="F252" i="49" s="1"/>
  <c r="D364" i="49"/>
  <c r="F364" i="49" s="1"/>
  <c r="D419" i="49"/>
  <c r="F419" i="49" s="1"/>
  <c r="D337" i="49"/>
  <c r="F337" i="49" s="1"/>
  <c r="D270" i="49"/>
  <c r="F270" i="49" s="1"/>
  <c r="D404" i="49"/>
  <c r="F404" i="49" s="1"/>
  <c r="D392" i="49"/>
  <c r="F392" i="49" s="1"/>
  <c r="G359" i="49"/>
  <c r="G262" i="49"/>
  <c r="D242" i="49"/>
  <c r="F242" i="49" s="1"/>
  <c r="D361" i="49"/>
  <c r="F361" i="49" s="1"/>
  <c r="D430" i="49"/>
  <c r="F430" i="49" s="1"/>
  <c r="M430" i="49" s="1" a="1"/>
  <c r="M430" i="49" s="1"/>
  <c r="D422" i="49"/>
  <c r="F422" i="49" s="1"/>
  <c r="D389" i="49"/>
  <c r="F389" i="49" s="1"/>
  <c r="D306" i="49"/>
  <c r="F306" i="49" s="1"/>
  <c r="F307" i="49" s="1"/>
  <c r="D433" i="49"/>
  <c r="F433" i="49" s="1"/>
  <c r="D328" i="49"/>
  <c r="F328" i="49" s="1"/>
  <c r="D350" i="49"/>
  <c r="F350" i="49" s="1"/>
  <c r="D401" i="49"/>
  <c r="F401" i="49" s="1"/>
  <c r="K401" i="49" s="1" a="1"/>
  <c r="K401" i="49" s="1"/>
  <c r="D336" i="49"/>
  <c r="F336" i="49" s="1"/>
  <c r="D365" i="49"/>
  <c r="F365" i="49" s="1"/>
  <c r="D315" i="49"/>
  <c r="D237" i="49"/>
  <c r="F237" i="49" s="1"/>
  <c r="M237" i="49" s="1"/>
  <c r="D363" i="49"/>
  <c r="F363" i="49" s="1"/>
  <c r="D379" i="49"/>
  <c r="F379" i="49" s="1"/>
  <c r="D366" i="49"/>
  <c r="F366" i="49" s="1"/>
  <c r="D352" i="49"/>
  <c r="F352" i="49" s="1"/>
  <c r="N352" i="49" s="1"/>
  <c r="D327" i="49"/>
  <c r="F327" i="49" s="1"/>
  <c r="D339" i="49"/>
  <c r="F339" i="49" s="1"/>
  <c r="G387" i="49"/>
  <c r="D250" i="49"/>
  <c r="F250" i="49" s="1"/>
  <c r="N250" i="49" s="1"/>
  <c r="D267" i="49"/>
  <c r="F267" i="49" s="1"/>
  <c r="D376" i="49"/>
  <c r="F376" i="49" s="1"/>
  <c r="D353" i="49"/>
  <c r="F353" i="49" s="1"/>
  <c r="G413" i="49"/>
  <c r="D251" i="49"/>
  <c r="F251" i="49" s="1"/>
  <c r="M251" i="49" s="1"/>
  <c r="D417" i="49"/>
  <c r="F417" i="49" s="1"/>
  <c r="D266" i="49"/>
  <c r="F266" i="49" s="1"/>
  <c r="M266" i="49" s="1"/>
  <c r="D407" i="49"/>
  <c r="F407" i="49" s="1"/>
  <c r="D239" i="49"/>
  <c r="F239" i="49" s="1"/>
  <c r="D324" i="49"/>
  <c r="F324" i="49" s="1"/>
  <c r="D415" i="49"/>
  <c r="F415" i="49" s="1"/>
  <c r="D340" i="49"/>
  <c r="F340" i="49" s="1"/>
  <c r="O340" i="49" s="1" a="1"/>
  <c r="O340" i="49" s="1"/>
  <c r="D326" i="49"/>
  <c r="F326" i="49" s="1"/>
  <c r="D420" i="49"/>
  <c r="F420" i="49" s="1"/>
  <c r="D405" i="49"/>
  <c r="F405" i="49" s="1"/>
  <c r="I261" i="44" a="1"/>
  <c r="I261" i="44" s="1"/>
  <c r="F82" i="52" s="1"/>
  <c r="F60" i="52" s="1"/>
  <c r="I450" i="44" a="1"/>
  <c r="I450" i="44" s="1"/>
  <c r="H68" i="44"/>
  <c r="H72" i="44" s="1"/>
  <c r="K322" i="44"/>
  <c r="K325" i="44" s="1"/>
  <c r="I169" i="44"/>
  <c r="F73" i="52" s="1"/>
  <c r="K187" i="49" a="1"/>
  <c r="K187" i="49" s="1"/>
  <c r="O118" i="49" a="1"/>
  <c r="O118" i="49" s="1"/>
  <c r="N118" i="49" a="1"/>
  <c r="N118" i="49" s="1"/>
  <c r="F94" i="49"/>
  <c r="H92" i="49"/>
  <c r="C35" i="52"/>
  <c r="C38" i="52"/>
  <c r="G459" i="44" a="1"/>
  <c r="G459" i="44" s="1"/>
  <c r="D2" i="63"/>
  <c r="E59" i="63"/>
  <c r="H452" i="44" a="1"/>
  <c r="H452" i="44" s="1"/>
  <c r="H450" i="44" a="1"/>
  <c r="H450" i="44" s="1"/>
  <c r="H91" i="84"/>
  <c r="D22" i="63"/>
  <c r="E22" i="63" s="1"/>
  <c r="N187" i="49" a="1"/>
  <c r="N187" i="49" s="1"/>
  <c r="K120" i="49" a="1"/>
  <c r="K120" i="49" s="1"/>
  <c r="K158" i="49" a="1"/>
  <c r="K158" i="49" s="1"/>
  <c r="O158" i="49" a="1"/>
  <c r="O158" i="49" s="1"/>
  <c r="L158" i="49" a="1"/>
  <c r="L158" i="49" s="1"/>
  <c r="N158" i="49" a="1"/>
  <c r="N158" i="49" s="1"/>
  <c r="M158" i="49" a="1"/>
  <c r="M158" i="49" s="1"/>
  <c r="C38" i="80"/>
  <c r="C35" i="80"/>
  <c r="N70" i="80"/>
  <c r="O70" i="80"/>
  <c r="J251" i="44"/>
  <c r="I518" i="44"/>
  <c r="G512" i="44"/>
  <c r="H169" i="44"/>
  <c r="E72" i="84" s="1"/>
  <c r="H237" i="44"/>
  <c r="H54" i="44" s="1"/>
  <c r="E78" i="52"/>
  <c r="I498" i="44"/>
  <c r="I315" i="44" s="1"/>
  <c r="O77" i="84"/>
  <c r="L77" i="84"/>
  <c r="J187" i="44" a="1"/>
  <c r="J187" i="44" s="1"/>
  <c r="J75" i="44"/>
  <c r="K251" i="44"/>
  <c r="D78" i="52"/>
  <c r="D57" i="52" s="1"/>
  <c r="F91" i="84"/>
  <c r="F92" i="80"/>
  <c r="F91" i="80"/>
  <c r="F92" i="84"/>
  <c r="I187" i="44" a="1"/>
  <c r="I187" i="44" s="1"/>
  <c r="H187" i="44" a="1"/>
  <c r="H187" i="44" s="1"/>
  <c r="G91" i="80"/>
  <c r="K68" i="44"/>
  <c r="K72" i="44" s="1"/>
  <c r="J106" i="44"/>
  <c r="J110" i="44" s="1"/>
  <c r="T142" i="51" a="1"/>
  <c r="T142" i="51" s="1"/>
  <c r="G99" i="80" a="1"/>
  <c r="G99" i="80" s="1"/>
  <c r="G99" i="84" a="1"/>
  <c r="G99" i="84" s="1"/>
  <c r="L102" i="52" a="1"/>
  <c r="L102" i="52" s="1"/>
  <c r="O100" i="52" a="1"/>
  <c r="O100" i="52" s="1"/>
  <c r="I69" i="51" a="1"/>
  <c r="I69" i="51" s="1"/>
  <c r="H21" i="51"/>
  <c r="H56" i="51" s="1" a="1"/>
  <c r="H56" i="51" s="1"/>
  <c r="H66" i="44" a="1"/>
  <c r="H66" i="44" s="1"/>
  <c r="M77" i="80"/>
  <c r="K257" i="44"/>
  <c r="G430" i="44"/>
  <c r="L72" i="80" s="1"/>
  <c r="F84" i="49"/>
  <c r="E100" i="52" a="1"/>
  <c r="E100" i="52" s="1"/>
  <c r="H69" i="51" a="1"/>
  <c r="H69" i="51" s="1"/>
  <c r="M99" i="84" a="1"/>
  <c r="M99" i="84" s="1"/>
  <c r="R142" i="51" a="1"/>
  <c r="R142" i="51" s="1"/>
  <c r="M99" i="80" a="1"/>
  <c r="M99" i="80" s="1"/>
  <c r="E100" i="80" a="1"/>
  <c r="E100" i="80" s="1"/>
  <c r="R70" i="51" a="1"/>
  <c r="R70" i="51" s="1"/>
  <c r="E100" i="84" a="1"/>
  <c r="E100" i="84" s="1"/>
  <c r="K70" i="51" a="1"/>
  <c r="K70" i="51" s="1"/>
  <c r="H101" i="52" a="1"/>
  <c r="H101" i="52" s="1"/>
  <c r="G191" i="44" a="1"/>
  <c r="G191" i="44" s="1"/>
  <c r="H63" i="44" a="1"/>
  <c r="H63" i="44" s="1"/>
  <c r="T143" i="51" a="1"/>
  <c r="T143" i="51" s="1"/>
  <c r="I430" i="44"/>
  <c r="N73" i="52" s="1"/>
  <c r="M100" i="52" a="1"/>
  <c r="M100" i="52" s="1"/>
  <c r="H142" i="51" a="1"/>
  <c r="H142" i="51" s="1"/>
  <c r="F100" i="80" a="1"/>
  <c r="F100" i="80" s="1"/>
  <c r="F100" i="84" a="1"/>
  <c r="F100" i="84" s="1"/>
  <c r="S70" i="51" a="1"/>
  <c r="S70" i="51" s="1"/>
  <c r="H191" i="44" a="1"/>
  <c r="H191" i="44" s="1"/>
  <c r="M78" i="52"/>
  <c r="J457" i="44" a="1"/>
  <c r="J457" i="44" s="1"/>
  <c r="D86" i="84"/>
  <c r="H64" i="44"/>
  <c r="O100" i="84" a="1"/>
  <c r="O100" i="84" s="1"/>
  <c r="M101" i="52" a="1"/>
  <c r="M101" i="52" s="1"/>
  <c r="H143" i="51" a="1"/>
  <c r="H143" i="51" s="1"/>
  <c r="G101" i="52" a="1"/>
  <c r="G101" i="52" s="1"/>
  <c r="J70" i="51" a="1"/>
  <c r="J70" i="51" s="1"/>
  <c r="O78" i="52"/>
  <c r="O100" i="80" a="1"/>
  <c r="O100" i="80" s="1"/>
  <c r="S143" i="51" a="1"/>
  <c r="S143" i="51" s="1"/>
  <c r="N100" i="84" a="1"/>
  <c r="N100" i="84" s="1"/>
  <c r="N100" i="80" a="1"/>
  <c r="N100" i="80" s="1"/>
  <c r="I191" i="44" a="1"/>
  <c r="I191" i="44" s="1"/>
  <c r="J196" i="44" a="1"/>
  <c r="J196" i="44" s="1"/>
  <c r="H457" i="44" a="1"/>
  <c r="H457" i="44" s="1"/>
  <c r="G295" i="44"/>
  <c r="J61" i="44"/>
  <c r="J65" i="44" s="1"/>
  <c r="L77" i="80"/>
  <c r="I196" i="44" a="1"/>
  <c r="I196" i="44" s="1"/>
  <c r="K457" i="44" a="1"/>
  <c r="K457" i="44" s="1"/>
  <c r="I457" i="44" a="1"/>
  <c r="I457" i="44" s="1"/>
  <c r="D91" i="84"/>
  <c r="G322" i="44"/>
  <c r="H99" i="84" a="1"/>
  <c r="H99" i="84" s="1"/>
  <c r="U69" i="51" a="1"/>
  <c r="U69" i="51" s="1"/>
  <c r="H99" i="80" a="1"/>
  <c r="H99" i="80" s="1"/>
  <c r="J274" i="44"/>
  <c r="J68" i="44"/>
  <c r="J70" i="44" s="1" a="1"/>
  <c r="J70" i="44" s="1"/>
  <c r="H274" i="44"/>
  <c r="J142" i="51" a="1"/>
  <c r="J142" i="51" s="1"/>
  <c r="U143" i="51" a="1"/>
  <c r="U143" i="51" s="1"/>
  <c r="P100" i="84" a="1"/>
  <c r="P100" i="84" s="1"/>
  <c r="P100" i="80" a="1"/>
  <c r="P100" i="80" s="1"/>
  <c r="O101" i="52" a="1"/>
  <c r="O101" i="52" s="1"/>
  <c r="J143" i="51" a="1"/>
  <c r="J143" i="51" s="1"/>
  <c r="G100" i="80" a="1"/>
  <c r="G100" i="80" s="1"/>
  <c r="G100" i="84" a="1"/>
  <c r="G100" i="84" s="1"/>
  <c r="T70" i="51" a="1"/>
  <c r="T70" i="51" s="1"/>
  <c r="R69" i="51" a="1"/>
  <c r="R69" i="51" s="1"/>
  <c r="E99" i="84" a="1"/>
  <c r="E99" i="84" s="1"/>
  <c r="E99" i="80" a="1"/>
  <c r="E99" i="80" s="1"/>
  <c r="G93" i="52"/>
  <c r="E92" i="52"/>
  <c r="M100" i="80" a="1"/>
  <c r="M100" i="80" s="1"/>
  <c r="R143" i="51" a="1"/>
  <c r="R143" i="51" s="1"/>
  <c r="M100" i="84" a="1"/>
  <c r="M100" i="84" s="1"/>
  <c r="G120" i="44"/>
  <c r="D93" i="84"/>
  <c r="D93" i="80"/>
  <c r="N100" i="52" a="1"/>
  <c r="N100" i="52" s="1"/>
  <c r="I142" i="51" a="1"/>
  <c r="I142" i="51" s="1"/>
  <c r="N94" i="52"/>
  <c r="J322" i="44"/>
  <c r="H13" i="44"/>
  <c r="E77" i="84"/>
  <c r="E77" i="80"/>
  <c r="H430" i="44"/>
  <c r="H278" i="44"/>
  <c r="G169" i="44"/>
  <c r="P100" i="52" a="1"/>
  <c r="P100" i="52" s="1"/>
  <c r="K142" i="51" a="1"/>
  <c r="K142" i="51" s="1"/>
  <c r="E154" i="63"/>
  <c r="E163" i="63"/>
  <c r="E164" i="63" s="1"/>
  <c r="M122" i="49" a="1"/>
  <c r="M122" i="49" s="1"/>
  <c r="O122" i="49" a="1"/>
  <c r="O122" i="49" s="1"/>
  <c r="K122" i="49" a="1"/>
  <c r="K122" i="49" s="1"/>
  <c r="L122" i="49" a="1"/>
  <c r="L122" i="49" s="1"/>
  <c r="N122" i="49" a="1"/>
  <c r="N122" i="49" s="1"/>
  <c r="H34" i="44"/>
  <c r="O130" i="49" a="1"/>
  <c r="O130" i="49" s="1"/>
  <c r="K19" i="49"/>
  <c r="L19" i="49"/>
  <c r="O19" i="49"/>
  <c r="N19" i="49"/>
  <c r="M19" i="49"/>
  <c r="K251" i="49"/>
  <c r="P91" i="84"/>
  <c r="P91" i="80"/>
  <c r="D77" i="84"/>
  <c r="L94" i="52"/>
  <c r="G336" i="44"/>
  <c r="J430" i="44"/>
  <c r="J278" i="44"/>
  <c r="O374" i="49" a="1"/>
  <c r="O374" i="49" s="1"/>
  <c r="K374" i="49" a="1"/>
  <c r="K374" i="49" s="1"/>
  <c r="N374" i="49" a="1"/>
  <c r="N374" i="49" s="1"/>
  <c r="L374" i="49" a="1"/>
  <c r="L374" i="49" s="1"/>
  <c r="N402" i="49" a="1"/>
  <c r="N402" i="49" s="1"/>
  <c r="L402" i="49" a="1"/>
  <c r="L402" i="49" s="1"/>
  <c r="M402" i="49" a="1"/>
  <c r="M402" i="49" s="1"/>
  <c r="O402" i="49" a="1"/>
  <c r="O402" i="49" s="1"/>
  <c r="K402" i="49" a="1"/>
  <c r="K402" i="49" s="1"/>
  <c r="N182" i="49" a="1"/>
  <c r="N182" i="49" s="1"/>
  <c r="L182" i="49" a="1"/>
  <c r="L182" i="49" s="1"/>
  <c r="M182" i="49" a="1"/>
  <c r="M182" i="49" s="1"/>
  <c r="O182" i="49" a="1"/>
  <c r="O182" i="49" s="1"/>
  <c r="K182" i="49" a="1"/>
  <c r="K182" i="49" s="1"/>
  <c r="M338" i="49" a="1"/>
  <c r="M338" i="49" s="1"/>
  <c r="N338" i="49" a="1"/>
  <c r="N338" i="49" s="1"/>
  <c r="K338" i="49" a="1"/>
  <c r="K338" i="49" s="1"/>
  <c r="L338" i="49" a="1"/>
  <c r="L338" i="49" s="1"/>
  <c r="O338" i="49" a="1"/>
  <c r="O338" i="49" s="1"/>
  <c r="E101" i="52" a="1"/>
  <c r="E101" i="52" s="1"/>
  <c r="H70" i="51" a="1"/>
  <c r="H70" i="51" s="1"/>
  <c r="I34" i="44"/>
  <c r="F93" i="80"/>
  <c r="F92" i="52"/>
  <c r="I61" i="44"/>
  <c r="O77" i="80"/>
  <c r="G17" i="44"/>
  <c r="M156" i="49" a="1"/>
  <c r="M156" i="49" s="1"/>
  <c r="L156" i="49" a="1"/>
  <c r="L156" i="49" s="1"/>
  <c r="N156" i="49" a="1"/>
  <c r="N156" i="49" s="1"/>
  <c r="O156" i="49" a="1"/>
  <c r="O156" i="49" s="1"/>
  <c r="K156" i="49" a="1"/>
  <c r="K156" i="49" s="1"/>
  <c r="L21" i="49"/>
  <c r="M21" i="49"/>
  <c r="N21" i="49"/>
  <c r="O21" i="49"/>
  <c r="K21" i="49"/>
  <c r="M208" i="49" a="1"/>
  <c r="M208" i="49" s="1"/>
  <c r="L208" i="49" a="1"/>
  <c r="L208" i="49" s="1"/>
  <c r="N208" i="49" a="1"/>
  <c r="N208" i="49" s="1"/>
  <c r="O208" i="49" a="1"/>
  <c r="O208" i="49" s="1"/>
  <c r="K208" i="49" a="1"/>
  <c r="K208" i="49" s="1"/>
  <c r="L92" i="84"/>
  <c r="L92" i="80"/>
  <c r="J192" i="44" a="1"/>
  <c r="J192" i="44" s="1"/>
  <c r="I192" i="44" a="1"/>
  <c r="I192" i="44" s="1"/>
  <c r="K192" i="44" a="1"/>
  <c r="K192" i="44" s="1"/>
  <c r="M93" i="84"/>
  <c r="M93" i="80"/>
  <c r="G34" i="44"/>
  <c r="K381" i="44"/>
  <c r="P93" i="84"/>
  <c r="P93" i="80"/>
  <c r="H77" i="80"/>
  <c r="H56" i="80" s="1"/>
  <c r="N92" i="52"/>
  <c r="I322" i="44"/>
  <c r="G278" i="44"/>
  <c r="H196" i="44" a="1"/>
  <c r="H196" i="44" s="1"/>
  <c r="K196" i="44" a="1"/>
  <c r="K196" i="44" s="1"/>
  <c r="D91" i="80"/>
  <c r="O209" i="49" a="1"/>
  <c r="O209" i="49" s="1"/>
  <c r="M209" i="49" a="1"/>
  <c r="M209" i="49" s="1"/>
  <c r="L209" i="49" a="1"/>
  <c r="L209" i="49" s="1"/>
  <c r="K209" i="49" a="1"/>
  <c r="K209" i="49" s="1"/>
  <c r="N209" i="49" a="1"/>
  <c r="N209" i="49" s="1"/>
  <c r="O121" i="49" a="1"/>
  <c r="O121" i="49" s="1"/>
  <c r="K121" i="49" a="1"/>
  <c r="K121" i="49" s="1"/>
  <c r="L121" i="49" a="1"/>
  <c r="L121" i="49" s="1"/>
  <c r="M121" i="49" a="1"/>
  <c r="M121" i="49" s="1"/>
  <c r="N121" i="49" a="1"/>
  <c r="N121" i="49" s="1"/>
  <c r="H295" i="44"/>
  <c r="M241" i="49"/>
  <c r="L241" i="49"/>
  <c r="J367" i="44"/>
  <c r="O91" i="84"/>
  <c r="O91" i="80"/>
  <c r="G506" i="44"/>
  <c r="F94" i="52"/>
  <c r="I75" i="44"/>
  <c r="I374" i="44"/>
  <c r="N92" i="80"/>
  <c r="K212" i="49" a="1"/>
  <c r="K212" i="49" s="1"/>
  <c r="N212" i="49" a="1"/>
  <c r="N212" i="49" s="1"/>
  <c r="K183" i="49" a="1"/>
  <c r="K183" i="49" s="1"/>
  <c r="N183" i="49" a="1"/>
  <c r="N183" i="49" s="1"/>
  <c r="L183" i="49" a="1"/>
  <c r="L183" i="49" s="1"/>
  <c r="O183" i="49" a="1"/>
  <c r="O183" i="49" s="1"/>
  <c r="M183" i="49" a="1"/>
  <c r="M183" i="49" s="1"/>
  <c r="M155" i="49" a="1"/>
  <c r="M155" i="49" s="1"/>
  <c r="O155" i="49" a="1"/>
  <c r="O155" i="49" s="1"/>
  <c r="K155" i="49" a="1"/>
  <c r="K155" i="49" s="1"/>
  <c r="L155" i="49" a="1"/>
  <c r="L155" i="49" s="1"/>
  <c r="N155" i="49" a="1"/>
  <c r="N155" i="49" s="1"/>
  <c r="H100" i="52" a="1"/>
  <c r="H100" i="52" s="1"/>
  <c r="K69" i="51" a="1"/>
  <c r="K69" i="51" s="1"/>
  <c r="K34" i="44"/>
  <c r="I295" i="44"/>
  <c r="N93" i="52"/>
  <c r="I329" i="44"/>
  <c r="J13" i="44"/>
  <c r="F77" i="84"/>
  <c r="N77" i="84"/>
  <c r="H94" i="52"/>
  <c r="K75" i="44"/>
  <c r="G274" i="44"/>
  <c r="L18" i="49"/>
  <c r="G367" i="44"/>
  <c r="L91" i="80"/>
  <c r="L91" i="84"/>
  <c r="L154" i="49" a="1"/>
  <c r="L154" i="49" s="1"/>
  <c r="O154" i="49" a="1"/>
  <c r="O154" i="49" s="1"/>
  <c r="K154" i="49" a="1"/>
  <c r="K154" i="49" s="1"/>
  <c r="M154" i="49" a="1"/>
  <c r="M154" i="49" s="1"/>
  <c r="N154" i="49" a="1"/>
  <c r="N154" i="49" s="1"/>
  <c r="O377" i="49" a="1"/>
  <c r="O377" i="49" s="1"/>
  <c r="M377" i="49" a="1"/>
  <c r="M377" i="49" s="1"/>
  <c r="N377" i="49" a="1"/>
  <c r="N377" i="49" s="1"/>
  <c r="L377" i="49" a="1"/>
  <c r="L377" i="49" s="1"/>
  <c r="K377" i="49" a="1"/>
  <c r="K377" i="49" s="1"/>
  <c r="F77" i="80"/>
  <c r="S142" i="51" a="1"/>
  <c r="S142" i="51" s="1"/>
  <c r="N99" i="84" a="1"/>
  <c r="N99" i="84" s="1"/>
  <c r="N99" i="80" a="1"/>
  <c r="N99" i="80" s="1"/>
  <c r="J374" i="44"/>
  <c r="O92" i="80"/>
  <c r="O92" i="84"/>
  <c r="K430" i="44"/>
  <c r="K278" i="44"/>
  <c r="P101" i="52" a="1"/>
  <c r="P101" i="52" s="1"/>
  <c r="K143" i="51" a="1"/>
  <c r="K143" i="51" s="1"/>
  <c r="O44" i="49"/>
  <c r="M44" i="49"/>
  <c r="M46" i="49" s="1"/>
  <c r="L44" i="49"/>
  <c r="K44" i="49"/>
  <c r="K46" i="49" s="1"/>
  <c r="N44" i="49"/>
  <c r="N237" i="49"/>
  <c r="N116" i="49" a="1"/>
  <c r="N116" i="49" s="1"/>
  <c r="L116" i="49" a="1"/>
  <c r="L116" i="49" s="1"/>
  <c r="O116" i="49" a="1"/>
  <c r="O116" i="49" s="1"/>
  <c r="K116" i="49" a="1"/>
  <c r="K116" i="49" s="1"/>
  <c r="M116" i="49" a="1"/>
  <c r="M116" i="49" s="1"/>
  <c r="N101" i="52" a="1"/>
  <c r="N101" i="52" s="1"/>
  <c r="I143" i="51" a="1"/>
  <c r="I143" i="51" s="1"/>
  <c r="J381" i="44"/>
  <c r="O93" i="80"/>
  <c r="K238" i="49"/>
  <c r="L101" i="80" a="1"/>
  <c r="L101" i="80" s="1"/>
  <c r="Q144" i="51" a="1"/>
  <c r="Q144" i="51" s="1"/>
  <c r="L101" i="84" a="1"/>
  <c r="L101" i="84" s="1"/>
  <c r="J113" i="44"/>
  <c r="G92" i="80"/>
  <c r="H92" i="52"/>
  <c r="K61" i="44"/>
  <c r="I17" i="44"/>
  <c r="M92" i="52"/>
  <c r="H322" i="44"/>
  <c r="J245" i="44"/>
  <c r="K374" i="44"/>
  <c r="P92" i="80"/>
  <c r="P92" i="84"/>
  <c r="O213" i="49" a="1"/>
  <c r="O213" i="49" s="1"/>
  <c r="L213" i="49" a="1"/>
  <c r="L213" i="49" s="1"/>
  <c r="N213" i="49" a="1"/>
  <c r="N213" i="49" s="1"/>
  <c r="M213" i="49" a="1"/>
  <c r="M213" i="49" s="1"/>
  <c r="K213" i="49" a="1"/>
  <c r="K213" i="49" s="1"/>
  <c r="F95" i="49"/>
  <c r="H93" i="49"/>
  <c r="M250" i="49"/>
  <c r="L250" i="49"/>
  <c r="D86" i="80"/>
  <c r="H333" i="44"/>
  <c r="H331" i="44" a="1"/>
  <c r="H331" i="44" s="1"/>
  <c r="H332" i="44"/>
  <c r="J333" i="44"/>
  <c r="J331" i="44" a="1"/>
  <c r="J331" i="44" s="1"/>
  <c r="J332" i="44"/>
  <c r="I117" i="44"/>
  <c r="I116" i="44"/>
  <c r="I115" i="44" a="1"/>
  <c r="I115" i="44" s="1"/>
  <c r="K371" i="44"/>
  <c r="K369" i="44" a="1"/>
  <c r="K369" i="44" s="1"/>
  <c r="K370" i="44"/>
  <c r="I110" i="44"/>
  <c r="I108" i="44" a="1"/>
  <c r="I108" i="44" s="1"/>
  <c r="I109" i="44"/>
  <c r="H378" i="44"/>
  <c r="H377" i="44"/>
  <c r="H376" i="44" a="1"/>
  <c r="H376" i="44" s="1"/>
  <c r="I371" i="44"/>
  <c r="I369" i="44" a="1"/>
  <c r="I369" i="44" s="1"/>
  <c r="I370" i="44"/>
  <c r="I70" i="44" a="1"/>
  <c r="I70" i="44" s="1"/>
  <c r="I72" i="44"/>
  <c r="I71" i="44"/>
  <c r="F87" i="52"/>
  <c r="I53" i="44"/>
  <c r="H370" i="44"/>
  <c r="B19" i="50"/>
  <c r="B33" i="50" s="1"/>
  <c r="I440" i="44" a="1"/>
  <c r="I440" i="44" s="1"/>
  <c r="K440" i="44" a="1"/>
  <c r="K440" i="44" s="1"/>
  <c r="K315" i="44"/>
  <c r="P86" i="80"/>
  <c r="P86" i="84"/>
  <c r="L82" i="52"/>
  <c r="L60" i="52" s="1"/>
  <c r="L81" i="80"/>
  <c r="L59" i="80" s="1"/>
  <c r="K333" i="44"/>
  <c r="K332" i="44"/>
  <c r="K331" i="44" a="1"/>
  <c r="K331" i="44" s="1"/>
  <c r="J315" i="44"/>
  <c r="O86" i="80"/>
  <c r="O86" i="84"/>
  <c r="K54" i="44"/>
  <c r="H86" i="80"/>
  <c r="H86" i="84"/>
  <c r="H185" i="44" a="1"/>
  <c r="H185" i="44" s="1"/>
  <c r="G185" i="44" a="1"/>
  <c r="G185" i="44" s="1"/>
  <c r="I185" i="44" a="1"/>
  <c r="I185" i="44" s="1"/>
  <c r="J185" i="44" a="1"/>
  <c r="J185" i="44" s="1"/>
  <c r="K185" i="44" a="1"/>
  <c r="K185" i="44" s="1"/>
  <c r="H180" i="44" a="1"/>
  <c r="H180" i="44" s="1"/>
  <c r="G180" i="44" a="1"/>
  <c r="G180" i="44" s="1"/>
  <c r="I180" i="44" a="1"/>
  <c r="I180" i="44" s="1"/>
  <c r="J180" i="44" a="1"/>
  <c r="J180" i="44" s="1"/>
  <c r="K180" i="44" a="1"/>
  <c r="K180" i="44" s="1"/>
  <c r="P87" i="52"/>
  <c r="K314" i="44"/>
  <c r="I179" i="44" a="1"/>
  <c r="I179" i="44" s="1"/>
  <c r="J179" i="44" a="1"/>
  <c r="J179" i="44" s="1"/>
  <c r="G179" i="44" a="1"/>
  <c r="G179" i="44" s="1"/>
  <c r="H179" i="44" a="1"/>
  <c r="H179" i="44" s="1"/>
  <c r="K179" i="44" a="1"/>
  <c r="K179" i="44" s="1"/>
  <c r="B180" i="63"/>
  <c r="B182" i="44"/>
  <c r="B201" i="44" s="1"/>
  <c r="B276" i="49"/>
  <c r="O81" i="80" l="1"/>
  <c r="O59" i="80" s="1"/>
  <c r="O81" i="84"/>
  <c r="O59" i="84" s="1"/>
  <c r="J273" i="44"/>
  <c r="H10" i="51" a="1"/>
  <c r="H10" i="51" s="1"/>
  <c r="G86" i="80"/>
  <c r="O87" i="52"/>
  <c r="H446" i="44" a="1"/>
  <c r="H446" i="44" s="1"/>
  <c r="M80" i="52" s="1"/>
  <c r="N87" i="52"/>
  <c r="N56" i="52" s="1"/>
  <c r="H12" i="44"/>
  <c r="G86" i="84"/>
  <c r="G273" i="44"/>
  <c r="J440" i="44" a="1"/>
  <c r="J440" i="44" s="1"/>
  <c r="E56" i="84"/>
  <c r="H369" i="44" a="1"/>
  <c r="H369" i="44" s="1"/>
  <c r="K109" i="44"/>
  <c r="D87" i="52"/>
  <c r="H110" i="44"/>
  <c r="H111" i="44" s="1" a="1"/>
  <c r="H111" i="44" s="1"/>
  <c r="G84" i="80"/>
  <c r="L85" i="52"/>
  <c r="G72" i="80"/>
  <c r="H72" i="80"/>
  <c r="H55" i="80" s="1"/>
  <c r="F81" i="80"/>
  <c r="F59" i="80" s="1"/>
  <c r="G314" i="44"/>
  <c r="K108" i="44" a="1"/>
  <c r="K108" i="44" s="1"/>
  <c r="G72" i="84"/>
  <c r="H72" i="84"/>
  <c r="H55" i="84" s="1"/>
  <c r="H440" i="44" a="1"/>
  <c r="H440" i="44" s="1"/>
  <c r="M75" i="80" s="1"/>
  <c r="M57" i="80" s="1"/>
  <c r="H109" i="44"/>
  <c r="H56" i="84"/>
  <c r="E33" i="63"/>
  <c r="E34" i="63" s="1"/>
  <c r="O250" i="49"/>
  <c r="N241" i="49"/>
  <c r="K250" i="49"/>
  <c r="K241" i="49"/>
  <c r="K237" i="49"/>
  <c r="L237" i="49"/>
  <c r="O237" i="49"/>
  <c r="O239" i="49" s="1"/>
  <c r="I446" i="44" a="1"/>
  <c r="I446" i="44" s="1"/>
  <c r="G446" i="44" a="1"/>
  <c r="G446" i="44" s="1"/>
  <c r="G272" i="44" s="1"/>
  <c r="K446" i="44" a="1"/>
  <c r="K446" i="44" s="1"/>
  <c r="P80" i="52" s="1"/>
  <c r="N22" i="49"/>
  <c r="G57" i="52"/>
  <c r="N32" i="49"/>
  <c r="M22" i="49"/>
  <c r="L32" i="49"/>
  <c r="L22" i="49"/>
  <c r="M32" i="49"/>
  <c r="K22" i="49"/>
  <c r="K23" i="49" s="1"/>
  <c r="K32" i="49"/>
  <c r="I51" i="44"/>
  <c r="N264" i="49"/>
  <c r="N266" i="49"/>
  <c r="O253" i="49"/>
  <c r="K211" i="49" a="1"/>
  <c r="K211" i="49" s="1"/>
  <c r="O211" i="49" a="1"/>
  <c r="O211" i="49" s="1"/>
  <c r="D75" i="49"/>
  <c r="D76" i="49" s="1"/>
  <c r="O133" i="49" s="1" a="1"/>
  <c r="O133" i="49" s="1"/>
  <c r="I441" i="44" a="1"/>
  <c r="I441" i="44" s="1"/>
  <c r="N85" i="52"/>
  <c r="N59" i="52" s="1"/>
  <c r="L73" i="52"/>
  <c r="L56" i="52" s="1"/>
  <c r="G55" i="80"/>
  <c r="E82" i="52"/>
  <c r="E60" i="52" s="1"/>
  <c r="M18" i="49"/>
  <c r="M20" i="49" s="1"/>
  <c r="N18" i="49"/>
  <c r="J108" i="44" a="1"/>
  <c r="J108" i="44" s="1"/>
  <c r="K18" i="49"/>
  <c r="E57" i="52"/>
  <c r="J109" i="44"/>
  <c r="I312" i="44"/>
  <c r="E81" i="84"/>
  <c r="E59" i="84" s="1"/>
  <c r="N56" i="84"/>
  <c r="F304" i="49"/>
  <c r="G51" i="44"/>
  <c r="N72" i="80"/>
  <c r="L254" i="49"/>
  <c r="N430" i="49" a="1"/>
  <c r="N430" i="49" s="1"/>
  <c r="N254" i="49"/>
  <c r="N255" i="49" s="1"/>
  <c r="O251" i="49"/>
  <c r="O252" i="49" s="1"/>
  <c r="P82" i="52"/>
  <c r="P60" i="52" s="1"/>
  <c r="O254" i="49"/>
  <c r="N72" i="84"/>
  <c r="N251" i="49"/>
  <c r="N252" i="49" s="1"/>
  <c r="G313" i="44"/>
  <c r="P57" i="52"/>
  <c r="K430" i="49" a="1"/>
  <c r="K430" i="49" s="1"/>
  <c r="O430" i="49" a="1"/>
  <c r="O430" i="49" s="1"/>
  <c r="M56" i="84"/>
  <c r="L430" i="49" a="1"/>
  <c r="L430" i="49" s="1"/>
  <c r="K254" i="49"/>
  <c r="L251" i="49"/>
  <c r="L252" i="49" s="1"/>
  <c r="E84" i="80"/>
  <c r="F85" i="52"/>
  <c r="F59" i="52" s="1"/>
  <c r="H315" i="44"/>
  <c r="E89" i="52"/>
  <c r="L88" i="84"/>
  <c r="H116" i="44"/>
  <c r="K53" i="44"/>
  <c r="H314" i="44"/>
  <c r="F56" i="52"/>
  <c r="H115" i="44" a="1"/>
  <c r="H115" i="44" s="1"/>
  <c r="M401" i="49" a="1"/>
  <c r="M401" i="49" s="1"/>
  <c r="E88" i="84"/>
  <c r="E88" i="80"/>
  <c r="H81" i="80"/>
  <c r="H59" i="80" s="1"/>
  <c r="P81" i="80"/>
  <c r="P59" i="80" s="1"/>
  <c r="H52" i="44"/>
  <c r="H81" i="84"/>
  <c r="H59" i="84" s="1"/>
  <c r="F72" i="84"/>
  <c r="L57" i="52"/>
  <c r="P81" i="84"/>
  <c r="P59" i="84" s="1"/>
  <c r="K12" i="44"/>
  <c r="L46" i="49"/>
  <c r="F72" i="80"/>
  <c r="O57" i="52"/>
  <c r="E72" i="80"/>
  <c r="O212" i="49" a="1"/>
  <c r="O212" i="49" s="1"/>
  <c r="E73" i="52"/>
  <c r="E56" i="52" s="1"/>
  <c r="C56" i="63"/>
  <c r="J56" i="63" s="1" a="1"/>
  <c r="J56" i="63" s="1"/>
  <c r="L212" i="49" a="1"/>
  <c r="L212" i="49" s="1"/>
  <c r="L214" i="49" s="1"/>
  <c r="L218" i="49" s="1"/>
  <c r="L70" i="49" s="1"/>
  <c r="K130" i="49" a="1"/>
  <c r="K130" i="49" s="1"/>
  <c r="L130" i="49" a="1"/>
  <c r="L130" i="49" s="1"/>
  <c r="N130" i="49" a="1"/>
  <c r="N130" i="49" s="1"/>
  <c r="C55" i="63"/>
  <c r="L55" i="63" s="1" a="1"/>
  <c r="L55" i="63" s="1"/>
  <c r="C13" i="63"/>
  <c r="I13" i="63" s="1" a="1"/>
  <c r="I13" i="63" s="1"/>
  <c r="N353" i="49" a="1"/>
  <c r="N353" i="49" s="1"/>
  <c r="M89" i="52"/>
  <c r="O85" i="52"/>
  <c r="K312" i="44"/>
  <c r="G89" i="52"/>
  <c r="H45" i="51"/>
  <c r="F316" i="49"/>
  <c r="H316" i="49"/>
  <c r="N240" i="49"/>
  <c r="J316" i="49"/>
  <c r="J312" i="44"/>
  <c r="J72" i="44"/>
  <c r="J22" i="51" s="1"/>
  <c r="L84" i="84"/>
  <c r="I316" i="49"/>
  <c r="L84" i="80"/>
  <c r="G312" i="44"/>
  <c r="L160" i="49" a="1"/>
  <c r="L160" i="49" s="1"/>
  <c r="K51" i="44"/>
  <c r="E84" i="84"/>
  <c r="E58" i="84" s="1"/>
  <c r="J52" i="44"/>
  <c r="H51" i="44"/>
  <c r="F56" i="80"/>
  <c r="E85" i="52"/>
  <c r="F84" i="80"/>
  <c r="K116" i="44"/>
  <c r="E56" i="80"/>
  <c r="K115" i="44" a="1"/>
  <c r="K115" i="44" s="1"/>
  <c r="F84" i="84"/>
  <c r="J53" i="44"/>
  <c r="M57" i="52"/>
  <c r="H312" i="44"/>
  <c r="N88" i="84"/>
  <c r="P88" i="80"/>
  <c r="J12" i="44"/>
  <c r="G82" i="52"/>
  <c r="G60" i="52" s="1"/>
  <c r="M86" i="84"/>
  <c r="G384" i="44"/>
  <c r="M432" i="49" a="1"/>
  <c r="M432" i="49" s="1"/>
  <c r="M428" i="49" a="1"/>
  <c r="M428" i="49" s="1"/>
  <c r="N84" i="84"/>
  <c r="K441" i="44" a="1"/>
  <c r="K441" i="44" s="1"/>
  <c r="P76" i="52" s="1"/>
  <c r="P58" i="52" s="1"/>
  <c r="N84" i="80"/>
  <c r="J441" i="44" a="1"/>
  <c r="J441" i="44" s="1"/>
  <c r="G385" i="44"/>
  <c r="Q96" i="51" s="1"/>
  <c r="O432" i="49" a="1"/>
  <c r="O432" i="49" s="1"/>
  <c r="N428" i="49" a="1"/>
  <c r="N428" i="49" s="1"/>
  <c r="P88" i="84"/>
  <c r="F81" i="84"/>
  <c r="F59" i="84" s="1"/>
  <c r="D84" i="80"/>
  <c r="G441" i="44" a="1"/>
  <c r="G441" i="44" s="1"/>
  <c r="L76" i="52" s="1"/>
  <c r="L58" i="52" s="1"/>
  <c r="F86" i="84"/>
  <c r="G77" i="44" a="1"/>
  <c r="G77" i="44" s="1"/>
  <c r="I12" i="44"/>
  <c r="D85" i="52"/>
  <c r="D84" i="84"/>
  <c r="F86" i="80"/>
  <c r="G78" i="44"/>
  <c r="N46" i="49"/>
  <c r="G81" i="80"/>
  <c r="G59" i="80" s="1"/>
  <c r="K432" i="49" a="1"/>
  <c r="K432" i="49" s="1"/>
  <c r="L47" i="49"/>
  <c r="L428" i="49" a="1"/>
  <c r="L428" i="49" s="1"/>
  <c r="N432" i="49" a="1"/>
  <c r="N432" i="49" s="1"/>
  <c r="K47" i="49"/>
  <c r="O428" i="49" a="1"/>
  <c r="O428" i="49" s="1"/>
  <c r="H56" i="52"/>
  <c r="G52" i="44"/>
  <c r="H313" i="44"/>
  <c r="P85" i="52"/>
  <c r="D89" i="52"/>
  <c r="O352" i="49"/>
  <c r="O353" i="49" s="1" a="1"/>
  <c r="O353" i="49" s="1"/>
  <c r="O160" i="49" a="1"/>
  <c r="O160" i="49" s="1"/>
  <c r="M160" i="49" a="1"/>
  <c r="M160" i="49" s="1"/>
  <c r="D56" i="80"/>
  <c r="L86" i="80"/>
  <c r="L55" i="80" s="1"/>
  <c r="N160" i="49" a="1"/>
  <c r="N160" i="49" s="1"/>
  <c r="L31" i="49"/>
  <c r="L33" i="49" s="1"/>
  <c r="L86" i="84"/>
  <c r="N31" i="49"/>
  <c r="N33" i="49" s="1"/>
  <c r="O84" i="84"/>
  <c r="M88" i="80"/>
  <c r="O31" i="49"/>
  <c r="O33" i="49" s="1"/>
  <c r="O84" i="80"/>
  <c r="M88" i="84"/>
  <c r="J71" i="44"/>
  <c r="M31" i="49"/>
  <c r="M33" i="49" s="1"/>
  <c r="K326" i="44"/>
  <c r="K94" i="51" s="1"/>
  <c r="N184" i="49"/>
  <c r="L123" i="49"/>
  <c r="L127" i="49" s="1"/>
  <c r="L61" i="49" s="1"/>
  <c r="I54" i="63" a="1"/>
  <c r="I54" i="63" s="1"/>
  <c r="J54" i="63" a="1"/>
  <c r="J54" i="63" s="1"/>
  <c r="H54" i="63" a="1"/>
  <c r="H54" i="63" s="1"/>
  <c r="N56" i="80"/>
  <c r="F57" i="52"/>
  <c r="K242" i="49"/>
  <c r="G56" i="80"/>
  <c r="O88" i="84"/>
  <c r="N88" i="80"/>
  <c r="K52" i="44"/>
  <c r="G56" i="84"/>
  <c r="C16" i="63"/>
  <c r="H16" i="63" s="1" a="1"/>
  <c r="H16" i="63" s="1"/>
  <c r="I313" i="44"/>
  <c r="O88" i="80"/>
  <c r="L240" i="49"/>
  <c r="L242" i="49" s="1"/>
  <c r="M47" i="49"/>
  <c r="L340" i="49" a="1"/>
  <c r="L340" i="49" s="1"/>
  <c r="O20" i="49"/>
  <c r="N401" i="49" a="1"/>
  <c r="N401" i="49" s="1"/>
  <c r="N403" i="49" s="1"/>
  <c r="L17" i="63" a="1"/>
  <c r="L17" i="63" s="1"/>
  <c r="L54" i="63" a="1"/>
  <c r="L54" i="63" s="1"/>
  <c r="O240" i="49"/>
  <c r="O242" i="49" s="1"/>
  <c r="C14" i="63"/>
  <c r="J14" i="63" s="1" a="1"/>
  <c r="J14" i="63" s="1"/>
  <c r="K17" i="63" a="1"/>
  <c r="K17" i="63" s="1"/>
  <c r="N159" i="49" a="1"/>
  <c r="N159" i="49" s="1"/>
  <c r="L159" i="49" a="1"/>
  <c r="L159" i="49" s="1"/>
  <c r="O159" i="49" a="1"/>
  <c r="O159" i="49" s="1"/>
  <c r="K159" i="49" a="1"/>
  <c r="K159" i="49" s="1"/>
  <c r="K161" i="49" s="1"/>
  <c r="M159" i="49" a="1"/>
  <c r="M159" i="49" s="1"/>
  <c r="J313" i="44"/>
  <c r="H71" i="44"/>
  <c r="E86" i="84"/>
  <c r="E55" i="84" s="1"/>
  <c r="M240" i="49"/>
  <c r="M242" i="49" s="1"/>
  <c r="M340" i="49" a="1"/>
  <c r="M340" i="49" s="1"/>
  <c r="O401" i="49" a="1"/>
  <c r="O401" i="49" s="1"/>
  <c r="O403" i="49" s="1"/>
  <c r="H85" i="52"/>
  <c r="H59" i="52" s="1"/>
  <c r="J17" i="63" a="1"/>
  <c r="J17" i="63" s="1"/>
  <c r="N89" i="52"/>
  <c r="O89" i="52"/>
  <c r="H70" i="44" a="1"/>
  <c r="H70" i="44" s="1"/>
  <c r="E86" i="80"/>
  <c r="L352" i="49"/>
  <c r="L353" i="49" s="1" a="1"/>
  <c r="L353" i="49" s="1"/>
  <c r="N340" i="49" a="1"/>
  <c r="N340" i="49" s="1"/>
  <c r="L401" i="49" a="1"/>
  <c r="L401" i="49" s="1"/>
  <c r="L403" i="49" s="1"/>
  <c r="M56" i="80"/>
  <c r="C12" i="63"/>
  <c r="C15" i="63"/>
  <c r="J15" i="63" s="1" a="1"/>
  <c r="J15" i="63" s="1"/>
  <c r="I17" i="63" a="1"/>
  <c r="I17" i="63" s="1"/>
  <c r="K313" i="44"/>
  <c r="G88" i="84"/>
  <c r="P84" i="84"/>
  <c r="K70" i="44" a="1"/>
  <c r="K70" i="44" s="1"/>
  <c r="M352" i="49"/>
  <c r="M353" i="49" s="1" a="1"/>
  <c r="M353" i="49" s="1"/>
  <c r="P56" i="84"/>
  <c r="H57" i="52"/>
  <c r="K340" i="49" a="1"/>
  <c r="K340" i="49" s="1"/>
  <c r="N20" i="49"/>
  <c r="N389" i="49" a="1"/>
  <c r="N389" i="49" s="1"/>
  <c r="N117" i="49" a="1"/>
  <c r="N117" i="49" s="1"/>
  <c r="N119" i="49" s="1"/>
  <c r="L117" i="49" a="1"/>
  <c r="L117" i="49" s="1"/>
  <c r="L119" i="49" s="1"/>
  <c r="O117" i="49" a="1"/>
  <c r="O117" i="49" s="1"/>
  <c r="K117" i="49" a="1"/>
  <c r="K117" i="49" s="1"/>
  <c r="K119" i="49" s="1"/>
  <c r="M117" i="49" a="1"/>
  <c r="M117" i="49" s="1"/>
  <c r="N48" i="49"/>
  <c r="N49" i="49" s="1"/>
  <c r="N50" i="49" s="1"/>
  <c r="N51" i="49" s="1"/>
  <c r="N52" i="49" s="1"/>
  <c r="O48" i="49"/>
  <c r="K48" i="49"/>
  <c r="M48" i="49"/>
  <c r="L48" i="49"/>
  <c r="C19" i="63"/>
  <c r="G88" i="80"/>
  <c r="P84" i="80"/>
  <c r="K71" i="44"/>
  <c r="K324" i="44" a="1"/>
  <c r="K324" i="44" s="1"/>
  <c r="K352" i="49"/>
  <c r="K353" i="49" s="1" a="1"/>
  <c r="K353" i="49" s="1"/>
  <c r="E24" i="63"/>
  <c r="O47" i="49"/>
  <c r="N365" i="49" a="1"/>
  <c r="N365" i="49" s="1"/>
  <c r="O416" i="49" a="1"/>
  <c r="O416" i="49" s="1"/>
  <c r="N123" i="49"/>
  <c r="N127" i="49" s="1"/>
  <c r="N61" i="49" s="1"/>
  <c r="C11" i="63"/>
  <c r="K54" i="63" a="1"/>
  <c r="K54" i="63" s="1"/>
  <c r="P89" i="52"/>
  <c r="K33" i="49"/>
  <c r="H88" i="84"/>
  <c r="C18" i="63"/>
  <c r="J18" i="63" s="1" a="1"/>
  <c r="J18" i="63" s="1"/>
  <c r="K34" i="49"/>
  <c r="K36" i="49" s="1"/>
  <c r="M34" i="49"/>
  <c r="M36" i="49" s="1"/>
  <c r="L34" i="49"/>
  <c r="L36" i="49" s="1"/>
  <c r="N34" i="49"/>
  <c r="N36" i="49" s="1"/>
  <c r="O34" i="49"/>
  <c r="O36" i="49" s="1"/>
  <c r="O393" i="49" a="1"/>
  <c r="O393" i="49" s="1"/>
  <c r="K327" i="49" a="1"/>
  <c r="K327" i="49" s="1"/>
  <c r="K325" i="49" a="1"/>
  <c r="K325" i="49" s="1"/>
  <c r="M364" i="49" a="1"/>
  <c r="M364" i="49" s="1"/>
  <c r="L325" i="49" a="1"/>
  <c r="L325" i="49" s="1"/>
  <c r="K364" i="49" a="1"/>
  <c r="K364" i="49" s="1"/>
  <c r="K419" i="49" a="1"/>
  <c r="K419" i="49" s="1"/>
  <c r="N324" i="49" a="1"/>
  <c r="N324" i="49" s="1"/>
  <c r="M390" i="49" a="1"/>
  <c r="M390" i="49" s="1"/>
  <c r="K418" i="49" a="1"/>
  <c r="K418" i="49" s="1"/>
  <c r="K416" i="49" a="1"/>
  <c r="K416" i="49" s="1"/>
  <c r="L418" i="49" a="1"/>
  <c r="L418" i="49" s="1"/>
  <c r="K390" i="49" a="1"/>
  <c r="K390" i="49" s="1"/>
  <c r="M415" i="49" a="1"/>
  <c r="M415" i="49" s="1"/>
  <c r="N362" i="49" a="1"/>
  <c r="N362" i="49" s="1"/>
  <c r="O361" i="49" a="1"/>
  <c r="O361" i="49" s="1"/>
  <c r="K361" i="49" a="1"/>
  <c r="K361" i="49" s="1"/>
  <c r="L324" i="49" a="1"/>
  <c r="L324" i="49" s="1"/>
  <c r="O327" i="49" a="1"/>
  <c r="O327" i="49" s="1"/>
  <c r="M418" i="49" a="1"/>
  <c r="M418" i="49" s="1"/>
  <c r="K324" i="49" a="1"/>
  <c r="K324" i="49" s="1"/>
  <c r="L364" i="49" a="1"/>
  <c r="L364" i="49" s="1"/>
  <c r="N328" i="49" a="1"/>
  <c r="N328" i="49" s="1"/>
  <c r="O415" i="49" a="1"/>
  <c r="O415" i="49" s="1"/>
  <c r="O362" i="49" a="1"/>
  <c r="O362" i="49" s="1"/>
  <c r="K393" i="49" a="1"/>
  <c r="K393" i="49" s="1"/>
  <c r="L327" i="49" a="1"/>
  <c r="L327" i="49" s="1"/>
  <c r="M361" i="49" a="1"/>
  <c r="M361" i="49" s="1"/>
  <c r="L390" i="49" a="1"/>
  <c r="L390" i="49" s="1"/>
  <c r="O365" i="49" a="1"/>
  <c r="O365" i="49" s="1"/>
  <c r="M392" i="49" a="1"/>
  <c r="M392" i="49" s="1"/>
  <c r="K415" i="49" a="1"/>
  <c r="K415" i="49" s="1"/>
  <c r="N325" i="49" a="1"/>
  <c r="N325" i="49" s="1"/>
  <c r="L415" i="49" a="1"/>
  <c r="L415" i="49" s="1"/>
  <c r="M325" i="49" a="1"/>
  <c r="M325" i="49" s="1"/>
  <c r="O328" i="49" a="1"/>
  <c r="O328" i="49" s="1"/>
  <c r="N392" i="49" a="1"/>
  <c r="N392" i="49" s="1"/>
  <c r="M416" i="49" a="1"/>
  <c r="M416" i="49" s="1"/>
  <c r="K328" i="49" a="1"/>
  <c r="K328" i="49" s="1"/>
  <c r="K365" i="49" a="1"/>
  <c r="K365" i="49" s="1"/>
  <c r="K392" i="49" a="1"/>
  <c r="K392" i="49" s="1"/>
  <c r="K362" i="49" a="1"/>
  <c r="K362" i="49" s="1"/>
  <c r="N393" i="49" a="1"/>
  <c r="N393" i="49" s="1"/>
  <c r="M327" i="49" a="1"/>
  <c r="M327" i="49" s="1"/>
  <c r="L328" i="49" a="1"/>
  <c r="L328" i="49" s="1"/>
  <c r="L362" i="49" a="1"/>
  <c r="L362" i="49" s="1"/>
  <c r="O325" i="49" a="1"/>
  <c r="O325" i="49" s="1"/>
  <c r="N415" i="49" a="1"/>
  <c r="N415" i="49" s="1"/>
  <c r="M328" i="49" a="1"/>
  <c r="M328" i="49" s="1"/>
  <c r="L419" i="49" a="1"/>
  <c r="L419" i="49" s="1"/>
  <c r="O324" i="49" a="1"/>
  <c r="O324" i="49" s="1"/>
  <c r="N390" i="49" a="1"/>
  <c r="N390" i="49" s="1"/>
  <c r="L392" i="49" a="1"/>
  <c r="L392" i="49" s="1"/>
  <c r="N419" i="49" a="1"/>
  <c r="N419" i="49" s="1"/>
  <c r="L393" i="49" a="1"/>
  <c r="L393" i="49" s="1"/>
  <c r="N327" i="49" a="1"/>
  <c r="N327" i="49" s="1"/>
  <c r="N364" i="49" a="1"/>
  <c r="N364" i="49" s="1"/>
  <c r="O364" i="49" a="1"/>
  <c r="O364" i="49" s="1"/>
  <c r="M362" i="49" a="1"/>
  <c r="M362" i="49" s="1"/>
  <c r="N418" i="49" a="1"/>
  <c r="N418" i="49" s="1"/>
  <c r="N361" i="49" a="1"/>
  <c r="N361" i="49" s="1"/>
  <c r="O419" i="49" a="1"/>
  <c r="O419" i="49" s="1"/>
  <c r="M324" i="49" a="1"/>
  <c r="M324" i="49" s="1"/>
  <c r="O390" i="49" a="1"/>
  <c r="O390" i="49" s="1"/>
  <c r="O392" i="49" a="1"/>
  <c r="O392" i="49" s="1"/>
  <c r="O394" i="49" s="1"/>
  <c r="O397" i="49" s="1"/>
  <c r="L361" i="49" a="1"/>
  <c r="L361" i="49" s="1"/>
  <c r="M419" i="49" a="1"/>
  <c r="M419" i="49" s="1"/>
  <c r="M393" i="49" a="1"/>
  <c r="M393" i="49" s="1"/>
  <c r="O418" i="49" a="1"/>
  <c r="O418" i="49" s="1"/>
  <c r="M405" i="49" a="1"/>
  <c r="M405" i="49" s="1"/>
  <c r="O405" i="49" a="1"/>
  <c r="O405" i="49" s="1"/>
  <c r="N405" i="49" a="1"/>
  <c r="N405" i="49" s="1"/>
  <c r="K405" i="49" a="1"/>
  <c r="K405" i="49" s="1"/>
  <c r="L405" i="49" a="1"/>
  <c r="L405" i="49" s="1"/>
  <c r="L389" i="49" a="1"/>
  <c r="L389" i="49" s="1"/>
  <c r="L253" i="49"/>
  <c r="L255" i="49" s="1"/>
  <c r="N86" i="84"/>
  <c r="L88" i="80"/>
  <c r="D81" i="80"/>
  <c r="D59" i="80" s="1"/>
  <c r="M389" i="49" a="1"/>
  <c r="M389" i="49" s="1"/>
  <c r="L238" i="49"/>
  <c r="K264" i="49"/>
  <c r="N416" i="49" a="1"/>
  <c r="N416" i="49" s="1"/>
  <c r="I55" i="63" a="1"/>
  <c r="I55" i="63" s="1"/>
  <c r="K55" i="63" a="1"/>
  <c r="K55" i="63" s="1"/>
  <c r="M336" i="49" a="1"/>
  <c r="M336" i="49" s="1"/>
  <c r="L336" i="49" a="1"/>
  <c r="L336" i="49" s="1"/>
  <c r="K336" i="49" a="1"/>
  <c r="K336" i="49" s="1"/>
  <c r="N336" i="49" a="1"/>
  <c r="N336" i="49" s="1"/>
  <c r="O336" i="49" a="1"/>
  <c r="O336" i="49" s="1"/>
  <c r="M337" i="49" a="1"/>
  <c r="M337" i="49" s="1"/>
  <c r="L337" i="49" a="1"/>
  <c r="L337" i="49" s="1"/>
  <c r="K337" i="49" a="1"/>
  <c r="K337" i="49" s="1"/>
  <c r="N337" i="49" a="1"/>
  <c r="N337" i="49" s="1"/>
  <c r="O337" i="49" a="1"/>
  <c r="O337" i="49" s="1"/>
  <c r="C186" i="63"/>
  <c r="C185" i="63"/>
  <c r="C184" i="63"/>
  <c r="L18" i="63" a="1"/>
  <c r="L18" i="63" s="1"/>
  <c r="M341" i="49" a="1"/>
  <c r="M341" i="49" s="1"/>
  <c r="K341" i="49" a="1"/>
  <c r="K341" i="49" s="1"/>
  <c r="N341" i="49" a="1"/>
  <c r="N341" i="49" s="1"/>
  <c r="O341" i="49" a="1"/>
  <c r="O341" i="49" s="1"/>
  <c r="L341" i="49" a="1"/>
  <c r="L341" i="49" s="1"/>
  <c r="M264" i="49"/>
  <c r="M265" i="49" s="1"/>
  <c r="M81" i="84"/>
  <c r="M59" i="84" s="1"/>
  <c r="M85" i="52"/>
  <c r="M84" i="80"/>
  <c r="N86" i="80"/>
  <c r="N55" i="80" s="1"/>
  <c r="L89" i="52"/>
  <c r="D81" i="84"/>
  <c r="D59" i="84" s="1"/>
  <c r="O389" i="49" a="1"/>
  <c r="O389" i="49" s="1"/>
  <c r="N238" i="49"/>
  <c r="N239" i="49" s="1"/>
  <c r="L264" i="49"/>
  <c r="K263" i="49"/>
  <c r="L416" i="49" a="1"/>
  <c r="L416" i="49" s="1"/>
  <c r="L15" i="63" a="1"/>
  <c r="L15" i="63" s="1"/>
  <c r="M81" i="80"/>
  <c r="M59" i="80" s="1"/>
  <c r="N81" i="84"/>
  <c r="N59" i="84" s="1"/>
  <c r="M84" i="84"/>
  <c r="G12" i="44"/>
  <c r="K389" i="49" a="1"/>
  <c r="K389" i="49" s="1"/>
  <c r="M238" i="49"/>
  <c r="M239" i="49" s="1"/>
  <c r="O46" i="49"/>
  <c r="L266" i="49"/>
  <c r="N263" i="49"/>
  <c r="M350" i="49" a="1"/>
  <c r="M350" i="49" s="1"/>
  <c r="M351" i="49" s="1" a="1"/>
  <c r="M351" i="49" s="1"/>
  <c r="O350" i="49" a="1"/>
  <c r="O350" i="49" s="1"/>
  <c r="O351" i="49" s="1" a="1"/>
  <c r="O351" i="49" s="1"/>
  <c r="L350" i="49" a="1"/>
  <c r="L350" i="49" s="1"/>
  <c r="L351" i="49" s="1" a="1"/>
  <c r="L351" i="49" s="1"/>
  <c r="K350" i="49" a="1"/>
  <c r="K350" i="49" s="1"/>
  <c r="K351" i="49" s="1" a="1"/>
  <c r="K351" i="49" s="1"/>
  <c r="N350" i="49" a="1"/>
  <c r="N350" i="49" s="1"/>
  <c r="N351" i="49" s="1" a="1"/>
  <c r="N351" i="49" s="1"/>
  <c r="C141" i="63"/>
  <c r="C145" i="63"/>
  <c r="C149" i="63"/>
  <c r="C142" i="63"/>
  <c r="C143" i="63"/>
  <c r="C146" i="63"/>
  <c r="C144" i="63"/>
  <c r="C147" i="63"/>
  <c r="C148" i="63"/>
  <c r="F314" i="49"/>
  <c r="H312" i="49"/>
  <c r="L406" i="49" a="1"/>
  <c r="L406" i="49" s="1"/>
  <c r="K406" i="49" a="1"/>
  <c r="K406" i="49" s="1"/>
  <c r="M406" i="49" a="1"/>
  <c r="M406" i="49" s="1"/>
  <c r="N406" i="49" a="1"/>
  <c r="N406" i="49" s="1"/>
  <c r="O406" i="49" a="1"/>
  <c r="O406" i="49" s="1"/>
  <c r="F189" i="63"/>
  <c r="E188" i="63"/>
  <c r="F188" i="63" s="1"/>
  <c r="M378" i="49" a="1"/>
  <c r="M378" i="49" s="1"/>
  <c r="O378" i="49" a="1"/>
  <c r="O378" i="49" s="1"/>
  <c r="N378" i="49" a="1"/>
  <c r="N378" i="49" s="1"/>
  <c r="K378" i="49" a="1"/>
  <c r="K378" i="49" s="1"/>
  <c r="L378" i="49" a="1"/>
  <c r="L378" i="49" s="1"/>
  <c r="K342" i="49" a="1"/>
  <c r="K342" i="49" s="1"/>
  <c r="O342" i="49" a="1"/>
  <c r="O342" i="49" s="1"/>
  <c r="N342" i="49" a="1"/>
  <c r="N342" i="49" s="1"/>
  <c r="L342" i="49" a="1"/>
  <c r="L342" i="49" s="1"/>
  <c r="M342" i="49" a="1"/>
  <c r="M342" i="49" s="1"/>
  <c r="H273" i="44"/>
  <c r="N81" i="80"/>
  <c r="N59" i="80" s="1"/>
  <c r="D88" i="80"/>
  <c r="K252" i="49"/>
  <c r="L365" i="49" a="1"/>
  <c r="L365" i="49" s="1"/>
  <c r="K266" i="49"/>
  <c r="L263" i="49"/>
  <c r="K253" i="49"/>
  <c r="K188" i="49"/>
  <c r="K192" i="49" s="1"/>
  <c r="K67" i="49" s="1"/>
  <c r="H94" i="49"/>
  <c r="J92" i="49"/>
  <c r="J94" i="49" s="1"/>
  <c r="M379" i="49" a="1"/>
  <c r="M379" i="49" s="1"/>
  <c r="L379" i="49" a="1"/>
  <c r="L379" i="49" s="1"/>
  <c r="N379" i="49" a="1"/>
  <c r="N379" i="49" s="1"/>
  <c r="O379" i="49" a="1"/>
  <c r="O379" i="49" s="1"/>
  <c r="K379" i="49" a="1"/>
  <c r="K379" i="49" s="1"/>
  <c r="H89" i="52"/>
  <c r="I273" i="44"/>
  <c r="D88" i="84"/>
  <c r="H88" i="80"/>
  <c r="M365" i="49" a="1"/>
  <c r="M365" i="49" s="1"/>
  <c r="O266" i="49"/>
  <c r="O263" i="49"/>
  <c r="O265" i="49" s="1"/>
  <c r="M253" i="49"/>
  <c r="M255" i="49" s="1"/>
  <c r="O267" i="49"/>
  <c r="L267" i="49"/>
  <c r="K267" i="49"/>
  <c r="M267" i="49"/>
  <c r="M268" i="49" s="1"/>
  <c r="N267" i="49"/>
  <c r="N268" i="49" s="1"/>
  <c r="L427" i="49" a="1"/>
  <c r="L427" i="49" s="1"/>
  <c r="N427" i="49" a="1"/>
  <c r="N427" i="49" s="1"/>
  <c r="O427" i="49" a="1"/>
  <c r="O427" i="49" s="1"/>
  <c r="M427" i="49" a="1"/>
  <c r="M427" i="49" s="1"/>
  <c r="K427" i="49" a="1"/>
  <c r="K427" i="49" s="1"/>
  <c r="K429" i="49" s="1"/>
  <c r="J313" i="49"/>
  <c r="J315" i="49" s="1"/>
  <c r="H315" i="49"/>
  <c r="L404" i="49" a="1"/>
  <c r="L404" i="49" s="1"/>
  <c r="K404" i="49" a="1"/>
  <c r="K404" i="49" s="1"/>
  <c r="M404" i="49" a="1"/>
  <c r="M404" i="49" s="1"/>
  <c r="O404" i="49" a="1"/>
  <c r="O404" i="49" s="1"/>
  <c r="N404" i="49" a="1"/>
  <c r="N404" i="49" s="1"/>
  <c r="J317" i="49"/>
  <c r="H317" i="49"/>
  <c r="F317" i="49"/>
  <c r="G317" i="49"/>
  <c r="I317" i="49"/>
  <c r="G55" i="84"/>
  <c r="F59" i="63"/>
  <c r="E58" i="63"/>
  <c r="F58" i="63" s="1"/>
  <c r="H56" i="63" a="1"/>
  <c r="H56" i="63" s="1"/>
  <c r="O375" i="49" a="1"/>
  <c r="O375" i="49" s="1"/>
  <c r="K375" i="49" a="1"/>
  <c r="K375" i="49" s="1"/>
  <c r="N375" i="49" a="1"/>
  <c r="N375" i="49" s="1"/>
  <c r="L375" i="49" a="1"/>
  <c r="L375" i="49" s="1"/>
  <c r="M375" i="49" a="1"/>
  <c r="M375" i="49" s="1"/>
  <c r="N373" i="49" a="1"/>
  <c r="N373" i="49" s="1"/>
  <c r="K373" i="49" a="1"/>
  <c r="K373" i="49" s="1"/>
  <c r="O373" i="49" a="1"/>
  <c r="O373" i="49" s="1"/>
  <c r="M373" i="49" a="1"/>
  <c r="M373" i="49" s="1"/>
  <c r="L373" i="49" a="1"/>
  <c r="L373" i="49" s="1"/>
  <c r="M431" i="49" a="1"/>
  <c r="M431" i="49" s="1"/>
  <c r="O431" i="49" a="1"/>
  <c r="O431" i="49" s="1"/>
  <c r="N431" i="49" a="1"/>
  <c r="N431" i="49" s="1"/>
  <c r="K431" i="49" a="1"/>
  <c r="K431" i="49" s="1"/>
  <c r="L431" i="49" a="1"/>
  <c r="L431" i="49" s="1"/>
  <c r="J63" i="44" a="1"/>
  <c r="J63" i="44" s="1"/>
  <c r="K184" i="49"/>
  <c r="J64" i="44"/>
  <c r="D56" i="84"/>
  <c r="G56" i="52"/>
  <c r="O210" i="49"/>
  <c r="L56" i="80"/>
  <c r="O56" i="84"/>
  <c r="H84" i="80"/>
  <c r="F56" i="84"/>
  <c r="I52" i="44"/>
  <c r="I55" i="44" s="1"/>
  <c r="I76" i="44" s="1"/>
  <c r="H84" i="84"/>
  <c r="H58" i="84" s="1"/>
  <c r="M210" i="49"/>
  <c r="K403" i="49"/>
  <c r="N157" i="49"/>
  <c r="K214" i="49"/>
  <c r="K217" i="49" s="1"/>
  <c r="K123" i="49"/>
  <c r="K124" i="49" s="1"/>
  <c r="K125" i="49" s="1" a="1"/>
  <c r="K125" i="49" s="1"/>
  <c r="N188" i="49"/>
  <c r="N191" i="49" s="1"/>
  <c r="L20" i="49"/>
  <c r="M188" i="49"/>
  <c r="M189" i="49" s="1"/>
  <c r="M190" i="49" s="1" a="1"/>
  <c r="M190" i="49" s="1"/>
  <c r="M214" i="49"/>
  <c r="M217" i="49" s="1"/>
  <c r="F88" i="84"/>
  <c r="K210" i="49"/>
  <c r="M403" i="49"/>
  <c r="F89" i="52"/>
  <c r="L58" i="80"/>
  <c r="K20" i="49"/>
  <c r="N57" i="52"/>
  <c r="M184" i="49"/>
  <c r="O188" i="49"/>
  <c r="O192" i="49" s="1"/>
  <c r="O67" i="49" s="1"/>
  <c r="P56" i="80"/>
  <c r="F88" i="80"/>
  <c r="M252" i="49"/>
  <c r="L157" i="49"/>
  <c r="L56" i="84"/>
  <c r="O184" i="49"/>
  <c r="L188" i="49"/>
  <c r="L192" i="49" s="1"/>
  <c r="L67" i="49" s="1"/>
  <c r="L72" i="84"/>
  <c r="N210" i="49"/>
  <c r="L184" i="49"/>
  <c r="N214" i="49"/>
  <c r="N217" i="49" s="1"/>
  <c r="L210" i="49"/>
  <c r="J117" i="44"/>
  <c r="J115" i="44" a="1"/>
  <c r="J115" i="44" s="1"/>
  <c r="J116" i="44"/>
  <c r="K239" i="49"/>
  <c r="K157" i="49"/>
  <c r="I333" i="44"/>
  <c r="I332" i="44"/>
  <c r="I331" i="44" a="1"/>
  <c r="I331" i="44" s="1"/>
  <c r="M23" i="49"/>
  <c r="J326" i="44"/>
  <c r="J324" i="44" a="1"/>
  <c r="J324" i="44" s="1"/>
  <c r="J325" i="44"/>
  <c r="G124" i="44"/>
  <c r="G123" i="44"/>
  <c r="G122" i="44" a="1"/>
  <c r="G122" i="44" s="1"/>
  <c r="H326" i="44"/>
  <c r="H325" i="44"/>
  <c r="H324" i="44" a="1"/>
  <c r="H324" i="44" s="1"/>
  <c r="J371" i="44"/>
  <c r="J369" i="44" a="1"/>
  <c r="J369" i="44" s="1"/>
  <c r="J370" i="44"/>
  <c r="L23" i="49"/>
  <c r="I65" i="44"/>
  <c r="I64" i="44"/>
  <c r="I63" i="44" a="1"/>
  <c r="I63" i="44" s="1"/>
  <c r="M73" i="52"/>
  <c r="M56" i="52" s="1"/>
  <c r="M72" i="84"/>
  <c r="M72" i="80"/>
  <c r="M55" i="80" s="1"/>
  <c r="I378" i="44"/>
  <c r="I376" i="44" a="1"/>
  <c r="I376" i="44" s="1"/>
  <c r="I377" i="44"/>
  <c r="O73" i="52"/>
  <c r="O72" i="84"/>
  <c r="O72" i="80"/>
  <c r="O55" i="80" s="1"/>
  <c r="K378" i="44"/>
  <c r="K377" i="44"/>
  <c r="K376" i="44" a="1"/>
  <c r="K376" i="44" s="1"/>
  <c r="I326" i="44"/>
  <c r="I325" i="44"/>
  <c r="I324" i="44" a="1"/>
  <c r="I324" i="44" s="1"/>
  <c r="K64" i="44"/>
  <c r="K63" i="44" a="1"/>
  <c r="K63" i="44" s="1"/>
  <c r="K65" i="44"/>
  <c r="P73" i="52"/>
  <c r="P72" i="80"/>
  <c r="P72" i="84"/>
  <c r="G338" i="44" a="1"/>
  <c r="G338" i="44" s="1"/>
  <c r="G339" i="44"/>
  <c r="G340" i="44"/>
  <c r="J378" i="44"/>
  <c r="J376" i="44" a="1"/>
  <c r="J376" i="44" s="1"/>
  <c r="J377" i="44"/>
  <c r="O23" i="49"/>
  <c r="O56" i="80"/>
  <c r="D73" i="52"/>
  <c r="D72" i="84"/>
  <c r="D55" i="84" s="1"/>
  <c r="D72" i="80"/>
  <c r="D55" i="80" s="1"/>
  <c r="J93" i="49"/>
  <c r="H95" i="49"/>
  <c r="G84" i="84"/>
  <c r="G58" i="84" s="1"/>
  <c r="J51" i="44"/>
  <c r="G85" i="52"/>
  <c r="G59" i="52" s="1"/>
  <c r="N23" i="49"/>
  <c r="H95" i="51"/>
  <c r="H334" i="44" a="1"/>
  <c r="H334" i="44" s="1"/>
  <c r="S22" i="51"/>
  <c r="I118" i="44" a="1"/>
  <c r="I118" i="44" s="1"/>
  <c r="J95" i="51"/>
  <c r="J334" i="44" a="1"/>
  <c r="J334" i="44" s="1"/>
  <c r="U94" i="51"/>
  <c r="K372" i="44" a="1"/>
  <c r="K372" i="44" s="1"/>
  <c r="T21" i="51"/>
  <c r="J111" i="44" a="1"/>
  <c r="J111" i="44" s="1"/>
  <c r="K22" i="51"/>
  <c r="K73" i="44" a="1"/>
  <c r="K73" i="44" s="1"/>
  <c r="U21" i="51"/>
  <c r="K111" i="44" a="1"/>
  <c r="K111" i="44" s="1"/>
  <c r="R94" i="51"/>
  <c r="H372" i="44" a="1"/>
  <c r="H372" i="44" s="1"/>
  <c r="U22" i="51"/>
  <c r="K118" i="44" a="1"/>
  <c r="K118" i="44" s="1"/>
  <c r="R95" i="51"/>
  <c r="H379" i="44" a="1"/>
  <c r="H379" i="44" s="1"/>
  <c r="S21" i="51"/>
  <c r="I111" i="44" a="1"/>
  <c r="I111" i="44" s="1"/>
  <c r="J21" i="51"/>
  <c r="J66" i="44" a="1"/>
  <c r="J66" i="44" s="1"/>
  <c r="H22" i="51"/>
  <c r="H73" i="44" a="1"/>
  <c r="H73" i="44" s="1"/>
  <c r="R22" i="51"/>
  <c r="H118" i="44" a="1"/>
  <c r="H118" i="44" s="1"/>
  <c r="S94" i="51"/>
  <c r="I372" i="44" a="1"/>
  <c r="I372" i="44" s="1"/>
  <c r="I22" i="51"/>
  <c r="I73" i="44" a="1"/>
  <c r="I73" i="44" s="1"/>
  <c r="G23" i="51"/>
  <c r="G80" i="44" a="1"/>
  <c r="G80" i="44" s="1"/>
  <c r="D80" i="52"/>
  <c r="G11" i="44"/>
  <c r="D79" i="80"/>
  <c r="D79" i="84"/>
  <c r="E76" i="52"/>
  <c r="E58" i="52" s="1"/>
  <c r="H10" i="44"/>
  <c r="E75" i="84"/>
  <c r="E57" i="84" s="1"/>
  <c r="E75" i="80"/>
  <c r="E57" i="80" s="1"/>
  <c r="K95" i="51"/>
  <c r="K334" i="44" a="1"/>
  <c r="K334" i="44" s="1"/>
  <c r="O80" i="52"/>
  <c r="J272" i="44"/>
  <c r="O79" i="84"/>
  <c r="O79" i="80"/>
  <c r="D76" i="52"/>
  <c r="D58" i="52" s="1"/>
  <c r="G10" i="44"/>
  <c r="D75" i="84"/>
  <c r="D57" i="84" s="1"/>
  <c r="D75" i="80"/>
  <c r="D57" i="80" s="1"/>
  <c r="E80" i="52"/>
  <c r="H11" i="44"/>
  <c r="E79" i="80"/>
  <c r="E79" i="84"/>
  <c r="I317" i="44"/>
  <c r="I397" i="44" s="1"/>
  <c r="N80" i="52"/>
  <c r="I272" i="44"/>
  <c r="N79" i="80"/>
  <c r="N79" i="84"/>
  <c r="F80" i="52"/>
  <c r="I11" i="44"/>
  <c r="F79" i="80"/>
  <c r="F79" i="84"/>
  <c r="F76" i="52"/>
  <c r="F58" i="52" s="1"/>
  <c r="I10" i="44"/>
  <c r="F75" i="80"/>
  <c r="F57" i="80" s="1"/>
  <c r="F75" i="84"/>
  <c r="F57" i="84" s="1"/>
  <c r="L79" i="80"/>
  <c r="I271" i="44"/>
  <c r="N76" i="52"/>
  <c r="N58" i="52" s="1"/>
  <c r="N75" i="84"/>
  <c r="N57" i="84" s="1"/>
  <c r="N75" i="80"/>
  <c r="N57" i="80" s="1"/>
  <c r="G76" i="52"/>
  <c r="G58" i="52" s="1"/>
  <c r="J10" i="44"/>
  <c r="G75" i="84"/>
  <c r="G57" i="84" s="1"/>
  <c r="G75" i="80"/>
  <c r="G57" i="80" s="1"/>
  <c r="H271" i="44"/>
  <c r="H80" i="52"/>
  <c r="K11" i="44"/>
  <c r="H79" i="80"/>
  <c r="H79" i="84"/>
  <c r="H76" i="52"/>
  <c r="H58" i="52" s="1"/>
  <c r="K10" i="44"/>
  <c r="H75" i="80"/>
  <c r="H57" i="80" s="1"/>
  <c r="H75" i="84"/>
  <c r="H57" i="84" s="1"/>
  <c r="G80" i="52"/>
  <c r="G61" i="52" s="1"/>
  <c r="J11" i="44"/>
  <c r="G79" i="80"/>
  <c r="G79" i="84"/>
  <c r="Q60" i="52"/>
  <c r="B225" i="44"/>
  <c r="O56" i="52" l="1"/>
  <c r="G56" i="44"/>
  <c r="G121" i="44" s="1"/>
  <c r="R21" i="51"/>
  <c r="L80" i="52"/>
  <c r="M79" i="84"/>
  <c r="M79" i="80"/>
  <c r="M60" i="80" s="1"/>
  <c r="H272" i="44"/>
  <c r="L79" i="84"/>
  <c r="M391" i="49"/>
  <c r="O214" i="49"/>
  <c r="O218" i="49" s="1"/>
  <c r="O70" i="49" s="1"/>
  <c r="O398" i="49"/>
  <c r="O286" i="49" s="1"/>
  <c r="G58" i="80"/>
  <c r="O75" i="80"/>
  <c r="O57" i="80" s="1"/>
  <c r="M76" i="52"/>
  <c r="M58" i="52" s="1"/>
  <c r="Q58" i="52" s="1"/>
  <c r="K243" i="49"/>
  <c r="H58" i="80"/>
  <c r="M75" i="84"/>
  <c r="M57" i="84" s="1"/>
  <c r="K56" i="44"/>
  <c r="K129" i="44" s="1"/>
  <c r="O429" i="49"/>
  <c r="D56" i="52"/>
  <c r="N242" i="49"/>
  <c r="N243" i="49" s="1"/>
  <c r="N244" i="49" s="1"/>
  <c r="N245" i="49" s="1"/>
  <c r="P79" i="80"/>
  <c r="P60" i="80" s="1"/>
  <c r="O75" i="84"/>
  <c r="O57" i="84" s="1"/>
  <c r="P79" i="84"/>
  <c r="K272" i="44"/>
  <c r="O76" i="52"/>
  <c r="O58" i="52" s="1"/>
  <c r="J271" i="44"/>
  <c r="J304" i="44" s="1"/>
  <c r="I15" i="63" a="1"/>
  <c r="I15" i="63" s="1"/>
  <c r="L239" i="49"/>
  <c r="O255" i="49"/>
  <c r="O256" i="49" s="1"/>
  <c r="O257" i="49" s="1"/>
  <c r="O58" i="84"/>
  <c r="I59" i="80"/>
  <c r="N55" i="84"/>
  <c r="N199" i="49" a="1"/>
  <c r="N199" i="49" s="1"/>
  <c r="L75" i="84"/>
  <c r="L57" i="84" s="1"/>
  <c r="L75" i="80"/>
  <c r="L57" i="80" s="1"/>
  <c r="K255" i="49"/>
  <c r="K256" i="49" s="1"/>
  <c r="K257" i="49" s="1"/>
  <c r="K258" i="49" s="1"/>
  <c r="N60" i="80"/>
  <c r="G271" i="44"/>
  <c r="G279" i="44" s="1"/>
  <c r="L142" i="49" a="1"/>
  <c r="L142" i="49" s="1"/>
  <c r="N265" i="49"/>
  <c r="G386" i="44" a="1"/>
  <c r="G386" i="44" s="1"/>
  <c r="L59" i="52"/>
  <c r="I60" i="52"/>
  <c r="I316" i="44"/>
  <c r="I359" i="44" s="1"/>
  <c r="I360" i="44" s="1" a="1"/>
  <c r="I360" i="44" s="1"/>
  <c r="I361" i="44" s="1"/>
  <c r="O137" i="49"/>
  <c r="O134" i="49"/>
  <c r="O136" i="49" s="1" a="1"/>
  <c r="O136" i="49" s="1"/>
  <c r="O138" i="49"/>
  <c r="K142" i="49" a="1"/>
  <c r="K142" i="49" s="1"/>
  <c r="M199" i="49" a="1"/>
  <c r="M199" i="49" s="1"/>
  <c r="L133" i="49" a="1"/>
  <c r="L133" i="49" s="1"/>
  <c r="M142" i="49" a="1"/>
  <c r="M142" i="49" s="1"/>
  <c r="L199" i="49" a="1"/>
  <c r="L199" i="49" s="1"/>
  <c r="N200" i="49" a="1"/>
  <c r="N200" i="49" s="1"/>
  <c r="L146" i="49" a="1"/>
  <c r="L146" i="49" s="1"/>
  <c r="K105" i="49" a="1"/>
  <c r="K105" i="49" s="1"/>
  <c r="K197" i="49" a="1"/>
  <c r="K197" i="49" s="1"/>
  <c r="N143" i="49" a="1"/>
  <c r="N143" i="49" s="1"/>
  <c r="N174" i="49" a="1"/>
  <c r="N174" i="49" s="1"/>
  <c r="M133" i="49" a="1"/>
  <c r="M133" i="49" s="1"/>
  <c r="K173" i="49" a="1"/>
  <c r="K173" i="49" s="1"/>
  <c r="N145" i="49" a="1"/>
  <c r="N145" i="49" s="1"/>
  <c r="N108" i="49" a="1"/>
  <c r="N108" i="49" s="1"/>
  <c r="L200" i="49" a="1"/>
  <c r="L200" i="49" s="1"/>
  <c r="M105" i="49" a="1"/>
  <c r="M105" i="49" s="1"/>
  <c r="N197" i="49" a="1"/>
  <c r="N197" i="49" s="1"/>
  <c r="O197" i="49" a="1"/>
  <c r="O197" i="49" s="1"/>
  <c r="M107" i="49" a="1"/>
  <c r="M107" i="49" s="1"/>
  <c r="L174" i="49" a="1"/>
  <c r="L174" i="49" s="1"/>
  <c r="N173" i="49" a="1"/>
  <c r="N173" i="49" s="1"/>
  <c r="O145" i="49" a="1"/>
  <c r="O145" i="49" s="1"/>
  <c r="M108" i="49" a="1"/>
  <c r="M108" i="49" s="1"/>
  <c r="L197" i="49" a="1"/>
  <c r="L197" i="49" s="1"/>
  <c r="K133" i="49" a="1"/>
  <c r="K133" i="49" s="1"/>
  <c r="K107" i="49" a="1"/>
  <c r="K107" i="49" s="1"/>
  <c r="L173" i="49" a="1"/>
  <c r="L173" i="49" s="1"/>
  <c r="N170" i="49" a="1"/>
  <c r="N170" i="49" s="1"/>
  <c r="L143" i="49" a="1"/>
  <c r="L143" i="49" s="1"/>
  <c r="K143" i="49" a="1"/>
  <c r="K143" i="49" s="1"/>
  <c r="M174" i="49" a="1"/>
  <c r="M174" i="49" s="1"/>
  <c r="O171" i="49" a="1"/>
  <c r="O171" i="49" s="1"/>
  <c r="O170" i="49" a="1"/>
  <c r="O170" i="49" s="1"/>
  <c r="O146" i="49" a="1"/>
  <c r="O146" i="49" s="1"/>
  <c r="K174" i="49" a="1"/>
  <c r="K174" i="49" s="1"/>
  <c r="O196" i="49" a="1"/>
  <c r="O196" i="49" s="1"/>
  <c r="M197" i="49" a="1"/>
  <c r="M197" i="49" s="1"/>
  <c r="M171" i="49" a="1"/>
  <c r="M171" i="49" s="1"/>
  <c r="K170" i="49" a="1"/>
  <c r="K170" i="49" s="1"/>
  <c r="M200" i="49" a="1"/>
  <c r="M200" i="49" s="1"/>
  <c r="M146" i="49" a="1"/>
  <c r="M146" i="49" s="1"/>
  <c r="N105" i="49" a="1"/>
  <c r="N105" i="49" s="1"/>
  <c r="O174" i="49" a="1"/>
  <c r="O174" i="49" s="1"/>
  <c r="N107" i="49" a="1"/>
  <c r="N107" i="49" s="1"/>
  <c r="L196" i="49" a="1"/>
  <c r="L196" i="49" s="1"/>
  <c r="L171" i="49" a="1"/>
  <c r="L171" i="49" s="1"/>
  <c r="M145" i="49" a="1"/>
  <c r="M145" i="49" s="1"/>
  <c r="L170" i="49" a="1"/>
  <c r="L170" i="49" s="1"/>
  <c r="L108" i="49" a="1"/>
  <c r="L108" i="49" s="1"/>
  <c r="K200" i="49" a="1"/>
  <c r="K200" i="49" s="1"/>
  <c r="K146" i="49" a="1"/>
  <c r="K146" i="49" s="1"/>
  <c r="O105" i="49" a="1"/>
  <c r="O105" i="49" s="1"/>
  <c r="M196" i="49" a="1"/>
  <c r="M196" i="49" s="1"/>
  <c r="M198" i="49" s="1"/>
  <c r="O143" i="49" a="1"/>
  <c r="O143" i="49" s="1"/>
  <c r="O107" i="49" a="1"/>
  <c r="O107" i="49" s="1"/>
  <c r="M173" i="49" a="1"/>
  <c r="M173" i="49" s="1"/>
  <c r="K171" i="49" a="1"/>
  <c r="K171" i="49" s="1"/>
  <c r="L145" i="49" a="1"/>
  <c r="L145" i="49" s="1"/>
  <c r="M170" i="49" a="1"/>
  <c r="M170" i="49" s="1"/>
  <c r="O108" i="49" a="1"/>
  <c r="O108" i="49" s="1"/>
  <c r="K108" i="49" a="1"/>
  <c r="K108" i="49" s="1"/>
  <c r="O200" i="49" a="1"/>
  <c r="O200" i="49" s="1"/>
  <c r="N146" i="49" a="1"/>
  <c r="N146" i="49" s="1"/>
  <c r="L105" i="49" a="1"/>
  <c r="L105" i="49" s="1"/>
  <c r="K196" i="49" a="1"/>
  <c r="K196" i="49" s="1"/>
  <c r="L107" i="49" a="1"/>
  <c r="L107" i="49" s="1"/>
  <c r="M143" i="49" a="1"/>
  <c r="M143" i="49" s="1"/>
  <c r="N196" i="49" a="1"/>
  <c r="N196" i="49" s="1"/>
  <c r="M104" i="49" a="1"/>
  <c r="M104" i="49" s="1"/>
  <c r="O173" i="49" a="1"/>
  <c r="O173" i="49" s="1"/>
  <c r="N171" i="49" a="1"/>
  <c r="N171" i="49" s="1"/>
  <c r="K145" i="49" a="1"/>
  <c r="K145" i="49" s="1"/>
  <c r="N58" i="80"/>
  <c r="M131" i="49" a="1"/>
  <c r="M131" i="49" s="1"/>
  <c r="N142" i="49" a="1"/>
  <c r="N142" i="49" s="1"/>
  <c r="N131" i="49" a="1"/>
  <c r="N131" i="49" s="1"/>
  <c r="K104" i="49" a="1"/>
  <c r="K104" i="49" s="1"/>
  <c r="O199" i="49" a="1"/>
  <c r="O199" i="49" s="1"/>
  <c r="O131" i="49" a="1"/>
  <c r="O131" i="49" s="1"/>
  <c r="L131" i="49" a="1"/>
  <c r="L131" i="49" s="1"/>
  <c r="K199" i="49" a="1"/>
  <c r="K199" i="49" s="1"/>
  <c r="L104" i="49" a="1"/>
  <c r="L104" i="49" s="1"/>
  <c r="N104" i="49" a="1"/>
  <c r="N104" i="49" s="1"/>
  <c r="F55" i="80"/>
  <c r="O142" i="49" a="1"/>
  <c r="O142" i="49" s="1"/>
  <c r="K131" i="49" a="1"/>
  <c r="K131" i="49" s="1"/>
  <c r="O104" i="49" a="1"/>
  <c r="O104" i="49" s="1"/>
  <c r="N133" i="49" a="1"/>
  <c r="N133" i="49" s="1"/>
  <c r="E58" i="80"/>
  <c r="I57" i="52"/>
  <c r="E36" i="52" s="1"/>
  <c r="K15" i="63" a="1"/>
  <c r="K15" i="63" s="1"/>
  <c r="H18" i="63" a="1"/>
  <c r="H18" i="63" s="1"/>
  <c r="E55" i="80"/>
  <c r="O354" i="49"/>
  <c r="O355" i="49" s="1" a="1"/>
  <c r="O355" i="49" s="1"/>
  <c r="O356" i="49" s="1"/>
  <c r="H15" i="63" a="1"/>
  <c r="H15" i="63" s="1"/>
  <c r="L49" i="49"/>
  <c r="L50" i="49" s="1"/>
  <c r="L51" i="49" s="1"/>
  <c r="L55" i="84"/>
  <c r="N429" i="49"/>
  <c r="L343" i="49"/>
  <c r="L347" i="49" s="1"/>
  <c r="L281" i="49" s="1"/>
  <c r="I18" i="63" a="1"/>
  <c r="I18" i="63" s="1"/>
  <c r="F58" i="80"/>
  <c r="P59" i="52"/>
  <c r="G60" i="80"/>
  <c r="K18" i="63" a="1"/>
  <c r="K18" i="63" s="1"/>
  <c r="G317" i="44"/>
  <c r="G368" i="44" s="1"/>
  <c r="G369" i="44" s="1" a="1"/>
  <c r="G369" i="44" s="1"/>
  <c r="G370" i="44" s="1"/>
  <c r="G371" i="44" s="1"/>
  <c r="N60" i="84"/>
  <c r="L161" i="49"/>
  <c r="L162" i="49" s="1"/>
  <c r="L163" i="49" s="1" a="1"/>
  <c r="L163" i="49" s="1"/>
  <c r="N58" i="84"/>
  <c r="G55" i="44"/>
  <c r="G91" i="44" s="1"/>
  <c r="J13" i="63" a="1"/>
  <c r="J13" i="63" s="1"/>
  <c r="K16" i="63" a="1"/>
  <c r="K16" i="63" s="1"/>
  <c r="M37" i="49"/>
  <c r="M38" i="49" s="1"/>
  <c r="H55" i="63" a="1"/>
  <c r="H55" i="63" s="1"/>
  <c r="N24" i="49"/>
  <c r="N25" i="49" s="1"/>
  <c r="K391" i="49"/>
  <c r="J55" i="63" a="1"/>
  <c r="J55" i="63" s="1"/>
  <c r="I59" i="84"/>
  <c r="L326" i="49"/>
  <c r="H13" i="63" a="1"/>
  <c r="H13" i="63" s="1"/>
  <c r="E60" i="84"/>
  <c r="E61" i="84" s="1"/>
  <c r="E62" i="84" s="1"/>
  <c r="N256" i="49"/>
  <c r="N257" i="49" s="1"/>
  <c r="N258" i="49" s="1"/>
  <c r="N259" i="49" s="1"/>
  <c r="L13" i="63" a="1"/>
  <c r="L13" i="63" s="1"/>
  <c r="E59" i="52"/>
  <c r="P75" i="84"/>
  <c r="P57" i="84" s="1"/>
  <c r="K13" i="63" a="1"/>
  <c r="K13" i="63" s="1"/>
  <c r="E61" i="52"/>
  <c r="P75" i="80"/>
  <c r="P57" i="80" s="1"/>
  <c r="G316" i="44"/>
  <c r="G337" i="44" s="1"/>
  <c r="K271" i="44"/>
  <c r="K316" i="44"/>
  <c r="K330" i="44" s="1"/>
  <c r="G60" i="84"/>
  <c r="G61" i="84" s="1"/>
  <c r="G62" i="84" s="1"/>
  <c r="L407" i="49"/>
  <c r="L408" i="49" s="1"/>
  <c r="L409" i="49" s="1" a="1"/>
  <c r="L409" i="49" s="1"/>
  <c r="N366" i="49"/>
  <c r="N370" i="49" s="1"/>
  <c r="N283" i="49" s="1"/>
  <c r="K394" i="49"/>
  <c r="K395" i="49" s="1"/>
  <c r="K396" i="49" s="1" a="1"/>
  <c r="K396" i="49" s="1"/>
  <c r="K317" i="44"/>
  <c r="K397" i="44" s="1"/>
  <c r="K398" i="44" s="1" a="1"/>
  <c r="K398" i="44" s="1"/>
  <c r="K399" i="44" s="1"/>
  <c r="K400" i="44" s="1"/>
  <c r="H60" i="84"/>
  <c r="H61" i="84" s="1"/>
  <c r="H62" i="84" s="1"/>
  <c r="J73" i="44" a="1"/>
  <c r="J73" i="44" s="1"/>
  <c r="I14" i="63" a="1"/>
  <c r="I14" i="63" s="1"/>
  <c r="J56" i="44"/>
  <c r="J136" i="44" s="1"/>
  <c r="J137" i="44" s="1" a="1"/>
  <c r="J137" i="44" s="1"/>
  <c r="J138" i="44" s="1"/>
  <c r="H61" i="52"/>
  <c r="H62" i="52" s="1"/>
  <c r="L256" i="49"/>
  <c r="L257" i="49" s="1"/>
  <c r="L258" i="49" s="1"/>
  <c r="L259" i="49" s="1"/>
  <c r="H316" i="44"/>
  <c r="H359" i="44" s="1"/>
  <c r="H360" i="44" s="1" a="1"/>
  <c r="H360" i="44" s="1"/>
  <c r="H361" i="44" s="1"/>
  <c r="H362" i="44" s="1"/>
  <c r="H55" i="44"/>
  <c r="H91" i="44" s="1"/>
  <c r="H92" i="44" s="1" a="1"/>
  <c r="H92" i="44" s="1"/>
  <c r="H93" i="44" s="1"/>
  <c r="L391" i="49"/>
  <c r="M243" i="49"/>
  <c r="M244" i="49" s="1"/>
  <c r="M245" i="49" s="1"/>
  <c r="M246" i="49" s="1"/>
  <c r="K55" i="44"/>
  <c r="K98" i="44" s="1"/>
  <c r="K99" i="44" s="1" a="1"/>
  <c r="K99" i="44" s="1"/>
  <c r="K100" i="44" s="1"/>
  <c r="F55" i="84"/>
  <c r="I55" i="84" s="1"/>
  <c r="D36" i="84" s="1"/>
  <c r="H56" i="44"/>
  <c r="H107" i="44" s="1"/>
  <c r="L429" i="49"/>
  <c r="E60" i="80"/>
  <c r="O24" i="49"/>
  <c r="O25" i="49" s="1"/>
  <c r="F60" i="84"/>
  <c r="M24" i="49"/>
  <c r="M25" i="49" s="1"/>
  <c r="M26" i="49" s="1"/>
  <c r="F58" i="84"/>
  <c r="K327" i="44" a="1"/>
  <c r="K327" i="44" s="1"/>
  <c r="L24" i="49"/>
  <c r="L25" i="49" s="1"/>
  <c r="L26" i="49" s="1"/>
  <c r="L56" i="63" a="1"/>
  <c r="L56" i="63" s="1"/>
  <c r="L16" i="63" a="1"/>
  <c r="L16" i="63" s="1"/>
  <c r="J16" i="63" a="1"/>
  <c r="J16" i="63" s="1"/>
  <c r="I16" i="63" a="1"/>
  <c r="I16" i="63" s="1"/>
  <c r="O119" i="49"/>
  <c r="P58" i="80"/>
  <c r="K56" i="63" a="1"/>
  <c r="K56" i="63" s="1"/>
  <c r="K49" i="49"/>
  <c r="K50" i="49" s="1"/>
  <c r="K51" i="49" s="1"/>
  <c r="K52" i="49" s="1"/>
  <c r="O123" i="49"/>
  <c r="O124" i="49" s="1"/>
  <c r="O125" i="49" s="1" a="1"/>
  <c r="O125" i="49" s="1"/>
  <c r="I56" i="63" a="1"/>
  <c r="I56" i="63" s="1"/>
  <c r="K24" i="49"/>
  <c r="K25" i="49" s="1"/>
  <c r="K26" i="49" s="1"/>
  <c r="K27" i="49" s="1"/>
  <c r="K28" i="49" s="1"/>
  <c r="K10" i="49" s="1"/>
  <c r="N354" i="49"/>
  <c r="N355" i="49" s="1" a="1"/>
  <c r="N355" i="49" s="1"/>
  <c r="L28" i="63" a="1"/>
  <c r="L28" i="63" s="1"/>
  <c r="K31" i="51" s="1" a="1"/>
  <c r="K31" i="51" s="1"/>
  <c r="K66" i="51" s="1" a="1"/>
  <c r="K66" i="51" s="1"/>
  <c r="J316" i="44"/>
  <c r="J345" i="44" s="1"/>
  <c r="J346" i="44" s="1" a="1"/>
  <c r="J346" i="44" s="1"/>
  <c r="J347" i="44" s="1"/>
  <c r="J348" i="44" s="1"/>
  <c r="H317" i="44"/>
  <c r="H375" i="44" s="1"/>
  <c r="N343" i="49"/>
  <c r="N346" i="49" s="1"/>
  <c r="N394" i="49"/>
  <c r="N395" i="49" s="1"/>
  <c r="N396" i="49" s="1" a="1"/>
  <c r="N396" i="49" s="1"/>
  <c r="I56" i="80"/>
  <c r="E36" i="80" s="1"/>
  <c r="J55" i="44"/>
  <c r="J84" i="44" s="1"/>
  <c r="J85" i="44" s="1" a="1"/>
  <c r="J85" i="44" s="1"/>
  <c r="J86" i="44" s="1"/>
  <c r="O433" i="49"/>
  <c r="O436" i="49" s="1"/>
  <c r="N161" i="49"/>
  <c r="N164" i="49" s="1"/>
  <c r="K363" i="49"/>
  <c r="M161" i="49"/>
  <c r="M164" i="49" s="1"/>
  <c r="J40" i="63" a="1"/>
  <c r="J40" i="63" s="1"/>
  <c r="J48" i="63" s="1"/>
  <c r="Q56" i="84"/>
  <c r="E35" i="84" s="1"/>
  <c r="L76" i="63" a="1"/>
  <c r="L76" i="63" s="1"/>
  <c r="L112" i="63" s="1"/>
  <c r="J79" i="63" a="1"/>
  <c r="J79" i="63" s="1"/>
  <c r="J115" i="63" s="1"/>
  <c r="L14" i="63" a="1"/>
  <c r="L14" i="63" s="1"/>
  <c r="M429" i="49"/>
  <c r="L433" i="49"/>
  <c r="L436" i="49" s="1"/>
  <c r="K14" i="63" a="1"/>
  <c r="K14" i="63" s="1"/>
  <c r="J29" i="63" a="1"/>
  <c r="J29" i="63" s="1"/>
  <c r="S31" i="51" s="1" a="1"/>
  <c r="S31" i="51" s="1"/>
  <c r="S66" i="51" s="1" a="1"/>
  <c r="S66" i="51" s="1"/>
  <c r="O395" i="49"/>
  <c r="O396" i="49" s="1" a="1"/>
  <c r="O396" i="49" s="1"/>
  <c r="H14" i="63" a="1"/>
  <c r="H14" i="63" s="1"/>
  <c r="M58" i="84"/>
  <c r="D61" i="52"/>
  <c r="P60" i="84"/>
  <c r="O243" i="49"/>
  <c r="O244" i="49" s="1"/>
  <c r="O245" i="49" s="1"/>
  <c r="O246" i="49" s="1"/>
  <c r="J317" i="44"/>
  <c r="J368" i="44" s="1"/>
  <c r="L243" i="49"/>
  <c r="L244" i="49" s="1"/>
  <c r="L245" i="49" s="1"/>
  <c r="L246" i="49" s="1"/>
  <c r="L37" i="49"/>
  <c r="L38" i="49" s="1"/>
  <c r="L39" i="49" s="1"/>
  <c r="L40" i="49" s="1"/>
  <c r="L41" i="49" s="1"/>
  <c r="L11" i="49" s="1"/>
  <c r="L124" i="49"/>
  <c r="L125" i="49" s="1" a="1"/>
  <c r="L125" i="49" s="1"/>
  <c r="F61" i="52"/>
  <c r="L126" i="49"/>
  <c r="Q59" i="80"/>
  <c r="L329" i="49"/>
  <c r="L330" i="49" s="1"/>
  <c r="L331" i="49" s="1" a="1"/>
  <c r="L331" i="49" s="1"/>
  <c r="K326" i="49"/>
  <c r="O49" i="49"/>
  <c r="O50" i="49" s="1"/>
  <c r="K37" i="49"/>
  <c r="K38" i="49" s="1"/>
  <c r="K39" i="49" s="1"/>
  <c r="K40" i="49" s="1"/>
  <c r="K74" i="63" a="1"/>
  <c r="K74" i="63" s="1"/>
  <c r="K110" i="63" s="1"/>
  <c r="O189" i="49"/>
  <c r="O190" i="49" s="1" a="1"/>
  <c r="O190" i="49" s="1"/>
  <c r="L394" i="49"/>
  <c r="L395" i="49" s="1"/>
  <c r="L396" i="49" s="1" a="1"/>
  <c r="L396" i="49" s="1"/>
  <c r="L417" i="49"/>
  <c r="K366" i="49"/>
  <c r="K367" i="49" s="1"/>
  <c r="K368" i="49" s="1" a="1"/>
  <c r="K368" i="49" s="1"/>
  <c r="L354" i="49"/>
  <c r="L355" i="49" s="1" a="1"/>
  <c r="L355" i="49" s="1"/>
  <c r="M119" i="49"/>
  <c r="N124" i="49"/>
  <c r="N125" i="49" s="1" a="1"/>
  <c r="N125" i="49" s="1"/>
  <c r="N126" i="49"/>
  <c r="N192" i="49"/>
  <c r="N67" i="49" s="1"/>
  <c r="K339" i="49"/>
  <c r="K329" i="49"/>
  <c r="K332" i="49" s="1"/>
  <c r="O329" i="49"/>
  <c r="O332" i="49" s="1"/>
  <c r="N329" i="49"/>
  <c r="N330" i="49" s="1"/>
  <c r="N331" i="49" s="1" a="1"/>
  <c r="N331" i="49" s="1"/>
  <c r="M326" i="49"/>
  <c r="D60" i="84"/>
  <c r="M60" i="84"/>
  <c r="M215" i="49"/>
  <c r="M216" i="49" s="1" a="1"/>
  <c r="M216" i="49" s="1"/>
  <c r="I80" i="63" a="1"/>
  <c r="I80" i="63" s="1"/>
  <c r="I116" i="63" s="1"/>
  <c r="J81" i="63" a="1"/>
  <c r="J81" i="63" s="1"/>
  <c r="J117" i="63" s="1"/>
  <c r="L265" i="49"/>
  <c r="Q59" i="84"/>
  <c r="L96" i="63" a="1"/>
  <c r="L96" i="63" s="1"/>
  <c r="L132" i="63" s="1"/>
  <c r="N269" i="49"/>
  <c r="N270" i="49" s="1"/>
  <c r="N271" i="49" s="1"/>
  <c r="M354" i="49"/>
  <c r="M355" i="49" s="1" a="1"/>
  <c r="M355" i="49" s="1"/>
  <c r="L40" i="63" a="1"/>
  <c r="L40" i="63" s="1"/>
  <c r="L48" i="63" s="1"/>
  <c r="H74" i="63" a="1"/>
  <c r="H74" i="63" s="1"/>
  <c r="H110" i="63" s="1"/>
  <c r="L339" i="49"/>
  <c r="N417" i="49"/>
  <c r="K417" i="49"/>
  <c r="O417" i="49"/>
  <c r="O363" i="49"/>
  <c r="N326" i="49"/>
  <c r="L158" i="63" a="1"/>
  <c r="L158" i="63" s="1"/>
  <c r="K104" i="51" s="1" a="1"/>
  <c r="K104" i="51" s="1"/>
  <c r="P97" i="52" s="1" a="1"/>
  <c r="P97" i="52" s="1"/>
  <c r="O326" i="49"/>
  <c r="M394" i="49"/>
  <c r="M397" i="49" s="1"/>
  <c r="N363" i="49"/>
  <c r="K420" i="49"/>
  <c r="K423" i="49" s="1"/>
  <c r="N37" i="49"/>
  <c r="N38" i="49" s="1"/>
  <c r="O420" i="49"/>
  <c r="O421" i="49" s="1"/>
  <c r="O422" i="49" s="1" a="1"/>
  <c r="O422" i="49" s="1"/>
  <c r="O366" i="49"/>
  <c r="O370" i="49" s="1"/>
  <c r="O283" i="49" s="1"/>
  <c r="K164" i="49"/>
  <c r="K165" i="49"/>
  <c r="K64" i="49" s="1"/>
  <c r="K162" i="49"/>
  <c r="K163" i="49" s="1" a="1"/>
  <c r="K163" i="49" s="1"/>
  <c r="M433" i="49"/>
  <c r="M437" i="49" s="1"/>
  <c r="M290" i="49" s="1"/>
  <c r="I82" i="63" a="1"/>
  <c r="I82" i="63" s="1"/>
  <c r="I118" i="63" s="1"/>
  <c r="K31" i="63" a="1"/>
  <c r="K31" i="63" s="1"/>
  <c r="T32" i="51" s="1" a="1"/>
  <c r="T32" i="51" s="1"/>
  <c r="T67" i="51" s="1" a="1"/>
  <c r="T67" i="51" s="1"/>
  <c r="K70" i="63" a="1"/>
  <c r="K70" i="63" s="1"/>
  <c r="K106" i="63" s="1"/>
  <c r="L86" i="63" a="1"/>
  <c r="L86" i="63" s="1"/>
  <c r="L122" i="63" s="1"/>
  <c r="H60" i="80"/>
  <c r="H61" i="80" s="1"/>
  <c r="H62" i="80" s="1"/>
  <c r="O60" i="84"/>
  <c r="M61" i="52"/>
  <c r="K160" i="63" a="1"/>
  <c r="K160" i="63" s="1"/>
  <c r="J105" i="51" s="1" a="1"/>
  <c r="J105" i="51" s="1"/>
  <c r="J140" i="51" s="1" a="1"/>
  <c r="J140" i="51" s="1"/>
  <c r="P55" i="80"/>
  <c r="Q55" i="80" s="1"/>
  <c r="D35" i="80" s="1"/>
  <c r="L31" i="63" a="1"/>
  <c r="L31" i="63" s="1"/>
  <c r="U32" i="51" s="1" a="1"/>
  <c r="U32" i="51" s="1"/>
  <c r="U67" i="51" s="1" a="1"/>
  <c r="U67" i="51" s="1"/>
  <c r="H29" i="63" a="1"/>
  <c r="H29" i="63" s="1"/>
  <c r="Q31" i="51" s="1" a="1"/>
  <c r="Q31" i="51" s="1"/>
  <c r="D96" i="84" s="1" a="1"/>
  <c r="D96" i="84" s="1"/>
  <c r="K30" i="63" a="1"/>
  <c r="K30" i="63" s="1"/>
  <c r="J32" i="51" s="1" a="1"/>
  <c r="J32" i="51" s="1"/>
  <c r="J67" i="51" s="1" a="1"/>
  <c r="J67" i="51" s="1"/>
  <c r="K189" i="49"/>
  <c r="K190" i="49" s="1" a="1"/>
  <c r="K190" i="49" s="1"/>
  <c r="O37" i="49"/>
  <c r="O38" i="49" s="1"/>
  <c r="I40" i="63" a="1"/>
  <c r="I40" i="63" s="1"/>
  <c r="H95" i="63" a="1"/>
  <c r="H95" i="63" s="1"/>
  <c r="H131" i="63" s="1"/>
  <c r="H67" i="63" a="1"/>
  <c r="H67" i="63" s="1"/>
  <c r="L67" i="63" a="1"/>
  <c r="L67" i="63" s="1"/>
  <c r="L103" i="63" s="1"/>
  <c r="M269" i="49"/>
  <c r="M270" i="49" s="1"/>
  <c r="M271" i="49" s="1"/>
  <c r="I79" i="63" a="1"/>
  <c r="I79" i="63" s="1"/>
  <c r="I115" i="63" s="1"/>
  <c r="N339" i="49"/>
  <c r="H11" i="63"/>
  <c r="L11" i="63" a="1"/>
  <c r="L11" i="63" s="1"/>
  <c r="I11" i="63" a="1"/>
  <c r="I11" i="63" s="1"/>
  <c r="J11" i="63" a="1"/>
  <c r="J11" i="63" s="1"/>
  <c r="K11" i="63" a="1"/>
  <c r="K11" i="63" s="1"/>
  <c r="L12" i="63" a="1"/>
  <c r="L12" i="63" s="1"/>
  <c r="H12" i="63" a="1"/>
  <c r="H12" i="63" s="1"/>
  <c r="K12" i="63" a="1"/>
  <c r="K12" i="63" s="1"/>
  <c r="J12" i="63" a="1"/>
  <c r="J12" i="63" s="1"/>
  <c r="I12" i="63" a="1"/>
  <c r="I12" i="63" s="1"/>
  <c r="O60" i="80"/>
  <c r="I30" i="63" a="1"/>
  <c r="I30" i="63" s="1"/>
  <c r="H32" i="51" s="1" a="1"/>
  <c r="H32" i="51" s="1"/>
  <c r="H67" i="51" s="1" a="1"/>
  <c r="H67" i="51" s="1"/>
  <c r="K92" i="63" a="1"/>
  <c r="K92" i="63" s="1"/>
  <c r="K128" i="63" s="1"/>
  <c r="P61" i="52"/>
  <c r="L60" i="80"/>
  <c r="J160" i="63" a="1"/>
  <c r="J160" i="63" s="1"/>
  <c r="I105" i="51" s="1" a="1"/>
  <c r="I105" i="51" s="1"/>
  <c r="I140" i="51" s="1" a="1"/>
  <c r="I140" i="51" s="1"/>
  <c r="J31" i="63" a="1"/>
  <c r="J31" i="63" s="1"/>
  <c r="S32" i="51" s="1" a="1"/>
  <c r="S32" i="51" s="1"/>
  <c r="S67" i="51" s="1" a="1"/>
  <c r="S67" i="51" s="1"/>
  <c r="H30" i="63" a="1"/>
  <c r="H30" i="63" s="1"/>
  <c r="G32" i="51" s="1" a="1"/>
  <c r="G32" i="51" s="1"/>
  <c r="G67" i="51" s="1" a="1"/>
  <c r="G67" i="51" s="1"/>
  <c r="K28" i="63" a="1"/>
  <c r="K28" i="63" s="1"/>
  <c r="J31" i="51" s="1" a="1"/>
  <c r="J31" i="51" s="1"/>
  <c r="G97" i="52" s="1" a="1"/>
  <c r="G97" i="52" s="1"/>
  <c r="P58" i="84"/>
  <c r="K191" i="49"/>
  <c r="K95" i="63" a="1"/>
  <c r="K95" i="63" s="1"/>
  <c r="K131" i="63" s="1"/>
  <c r="J68" i="63" a="1"/>
  <c r="J68" i="63" s="1"/>
  <c r="J104" i="63" s="1"/>
  <c r="O376" i="49"/>
  <c r="N407" i="49"/>
  <c r="N408" i="49" s="1"/>
  <c r="N409" i="49" s="1" a="1"/>
  <c r="N409" i="49" s="1"/>
  <c r="K82" i="63" a="1"/>
  <c r="K82" i="63" s="1"/>
  <c r="K118" i="63" s="1"/>
  <c r="M380" i="49"/>
  <c r="M383" i="49" s="1"/>
  <c r="K354" i="49"/>
  <c r="K355" i="49" s="1" a="1"/>
  <c r="K355" i="49" s="1"/>
  <c r="K356" i="49" s="1"/>
  <c r="K357" i="49" s="1"/>
  <c r="H91" i="63" a="1"/>
  <c r="H91" i="63" s="1"/>
  <c r="H127" i="63" s="1"/>
  <c r="N420" i="49"/>
  <c r="N424" i="49" s="1"/>
  <c r="N289" i="49" s="1"/>
  <c r="N391" i="49"/>
  <c r="M329" i="49"/>
  <c r="M332" i="49" s="1"/>
  <c r="M363" i="49"/>
  <c r="M420" i="49"/>
  <c r="M424" i="49" s="1"/>
  <c r="M289" i="49" s="1"/>
  <c r="L420" i="49"/>
  <c r="L421" i="49" s="1"/>
  <c r="L422" i="49" s="1" a="1"/>
  <c r="L422" i="49" s="1"/>
  <c r="M366" i="49"/>
  <c r="M367" i="49" s="1"/>
  <c r="M368" i="49" s="1" a="1"/>
  <c r="M368" i="49" s="1"/>
  <c r="L30" i="63" a="1"/>
  <c r="L30" i="63" s="1"/>
  <c r="K32" i="51" s="1" a="1"/>
  <c r="K32" i="51" s="1"/>
  <c r="K67" i="51" s="1" a="1"/>
  <c r="K67" i="51" s="1"/>
  <c r="M123" i="49"/>
  <c r="M127" i="49" s="1"/>
  <c r="M61" i="49" s="1"/>
  <c r="I69" i="63" a="1"/>
  <c r="I69" i="63" s="1"/>
  <c r="I105" i="63" s="1"/>
  <c r="H78" i="63" a="1"/>
  <c r="H78" i="63" s="1"/>
  <c r="H114" i="63" s="1"/>
  <c r="H90" i="63" a="1"/>
  <c r="H90" i="63" s="1"/>
  <c r="H126" i="63" s="1"/>
  <c r="I75" i="63" a="1"/>
  <c r="I75" i="63" s="1"/>
  <c r="I111" i="63" s="1"/>
  <c r="I87" i="63" a="1"/>
  <c r="I87" i="63" s="1"/>
  <c r="I123" i="63" s="1"/>
  <c r="L60" i="84"/>
  <c r="I31" i="63" a="1"/>
  <c r="I31" i="63" s="1"/>
  <c r="R32" i="51" s="1" a="1"/>
  <c r="R32" i="51" s="1"/>
  <c r="R67" i="51" s="1" a="1"/>
  <c r="R67" i="51" s="1"/>
  <c r="H28" i="63"/>
  <c r="G31" i="51" s="1" a="1"/>
  <c r="G31" i="51" s="1"/>
  <c r="G66" i="51" s="1" a="1"/>
  <c r="G66" i="51" s="1"/>
  <c r="K29" i="63" a="1"/>
  <c r="K29" i="63" s="1"/>
  <c r="T31" i="51" s="1" a="1"/>
  <c r="T31" i="51" s="1"/>
  <c r="G96" i="84" s="1" a="1"/>
  <c r="G96" i="84" s="1"/>
  <c r="K215" i="49"/>
  <c r="K216" i="49" s="1" a="1"/>
  <c r="K216" i="49" s="1"/>
  <c r="L58" i="84"/>
  <c r="H40" i="63" a="1"/>
  <c r="H40" i="63" s="1"/>
  <c r="G33" i="51" s="1" a="1"/>
  <c r="G33" i="51" s="1"/>
  <c r="I67" i="63" a="1"/>
  <c r="I67" i="63" s="1"/>
  <c r="I103" i="63" s="1"/>
  <c r="K376" i="49"/>
  <c r="L95" i="63" a="1"/>
  <c r="L95" i="63" s="1"/>
  <c r="L131" i="63" s="1"/>
  <c r="K268" i="49"/>
  <c r="L64" i="63" a="1"/>
  <c r="L64" i="63" s="1"/>
  <c r="L100" i="63" s="1"/>
  <c r="K265" i="49"/>
  <c r="H31" i="63" a="1"/>
  <c r="H31" i="63" s="1"/>
  <c r="Q32" i="51" s="1" a="1"/>
  <c r="Q32" i="51" s="1"/>
  <c r="Q67" i="51" s="1" a="1"/>
  <c r="Q67" i="51" s="1"/>
  <c r="I29" i="63" a="1"/>
  <c r="I29" i="63" s="1"/>
  <c r="R31" i="51" s="1" a="1"/>
  <c r="R31" i="51" s="1"/>
  <c r="R66" i="51" s="1" a="1"/>
  <c r="R66" i="51" s="1"/>
  <c r="K218" i="49"/>
  <c r="K70" i="49" s="1"/>
  <c r="K96" i="63" a="1"/>
  <c r="K96" i="63" s="1"/>
  <c r="K132" i="63" s="1"/>
  <c r="K433" i="49"/>
  <c r="K436" i="49" s="1"/>
  <c r="N376" i="49"/>
  <c r="H65" i="63" a="1"/>
  <c r="H65" i="63" s="1"/>
  <c r="H101" i="63" s="1"/>
  <c r="M49" i="49"/>
  <c r="M50" i="49" s="1"/>
  <c r="M51" i="49" s="1"/>
  <c r="M52" i="49" s="1"/>
  <c r="M53" i="49" s="1"/>
  <c r="M54" i="49" s="1"/>
  <c r="M12" i="49" s="1"/>
  <c r="K40" i="63" a="1"/>
  <c r="K40" i="63" s="1"/>
  <c r="L29" i="63" a="1"/>
  <c r="L29" i="63" s="1"/>
  <c r="U31" i="51" s="1" a="1"/>
  <c r="U31" i="51" s="1"/>
  <c r="H96" i="84" s="1" a="1"/>
  <c r="H96" i="84" s="1"/>
  <c r="H86" i="63" a="1"/>
  <c r="H86" i="63" s="1"/>
  <c r="H122" i="63" s="1"/>
  <c r="J28" i="63" a="1"/>
  <c r="J28" i="63" s="1"/>
  <c r="I31" i="51" s="1" a="1"/>
  <c r="I31" i="51" s="1"/>
  <c r="I66" i="51" s="1" a="1"/>
  <c r="I66" i="51" s="1"/>
  <c r="N61" i="52"/>
  <c r="N62" i="52" s="1"/>
  <c r="D60" i="80"/>
  <c r="M256" i="49"/>
  <c r="M257" i="49" s="1"/>
  <c r="M258" i="49" s="1"/>
  <c r="M259" i="49" s="1"/>
  <c r="J30" i="63" a="1"/>
  <c r="J30" i="63" s="1"/>
  <c r="I32" i="51" s="1" a="1"/>
  <c r="I32" i="51" s="1"/>
  <c r="I67" i="51" s="1" a="1"/>
  <c r="I67" i="51" s="1"/>
  <c r="I28" i="63" a="1"/>
  <c r="I28" i="63" s="1"/>
  <c r="H31" i="51" s="1" a="1"/>
  <c r="H31" i="51" s="1"/>
  <c r="H66" i="51" s="1" a="1"/>
  <c r="H66" i="51" s="1"/>
  <c r="I68" i="63" a="1"/>
  <c r="I68" i="63" s="1"/>
  <c r="I104" i="63" s="1"/>
  <c r="N433" i="49"/>
  <c r="N437" i="49" s="1"/>
  <c r="N290" i="49" s="1"/>
  <c r="O268" i="49"/>
  <c r="O269" i="49" s="1"/>
  <c r="O270" i="49" s="1"/>
  <c r="O271" i="49" s="1"/>
  <c r="O272" i="49" s="1"/>
  <c r="J95" i="63" a="1"/>
  <c r="J95" i="63" s="1"/>
  <c r="J131" i="63" s="1"/>
  <c r="H83" i="63" a="1"/>
  <c r="H83" i="63" s="1"/>
  <c r="H119" i="63" s="1"/>
  <c r="I74" i="63" a="1"/>
  <c r="I74" i="63" s="1"/>
  <c r="I110" i="63" s="1"/>
  <c r="K19" i="63" a="1"/>
  <c r="K19" i="63" s="1"/>
  <c r="I19" i="63" a="1"/>
  <c r="I19" i="63" s="1"/>
  <c r="H19" i="63" a="1"/>
  <c r="H19" i="63" s="1"/>
  <c r="L19" i="63" a="1"/>
  <c r="L19" i="63" s="1"/>
  <c r="J19" i="63" a="1"/>
  <c r="J19" i="63" s="1"/>
  <c r="L366" i="49"/>
  <c r="L370" i="49" s="1"/>
  <c r="L283" i="49" s="1"/>
  <c r="M417" i="49"/>
  <c r="O391" i="49"/>
  <c r="K127" i="49"/>
  <c r="K61" i="49" s="1"/>
  <c r="N398" i="49"/>
  <c r="N286" i="49" s="1"/>
  <c r="K397" i="49"/>
  <c r="L376" i="49"/>
  <c r="L380" i="49"/>
  <c r="L381" i="49" s="1"/>
  <c r="L382" i="49" s="1" a="1"/>
  <c r="L382" i="49" s="1"/>
  <c r="K126" i="49"/>
  <c r="M376" i="49"/>
  <c r="K380" i="49"/>
  <c r="K384" i="49" s="1"/>
  <c r="K284" i="49" s="1"/>
  <c r="K343" i="49"/>
  <c r="K344" i="49" s="1"/>
  <c r="K345" i="49" s="1" a="1"/>
  <c r="K345" i="49" s="1"/>
  <c r="O191" i="49"/>
  <c r="N380" i="49"/>
  <c r="N384" i="49" s="1"/>
  <c r="N284" i="49" s="1"/>
  <c r="Q56" i="80"/>
  <c r="E35" i="80" s="1"/>
  <c r="J143" i="63" a="1"/>
  <c r="J143" i="63" s="1"/>
  <c r="H143" i="63"/>
  <c r="I143" i="63" a="1"/>
  <c r="I143" i="63" s="1"/>
  <c r="L143" i="63" a="1"/>
  <c r="L143" i="63" s="1"/>
  <c r="K143" i="63" a="1"/>
  <c r="K143" i="63" s="1"/>
  <c r="I91" i="44"/>
  <c r="I92" i="44" s="1" a="1"/>
  <c r="I92" i="44" s="1"/>
  <c r="K159" i="63" a="1"/>
  <c r="K159" i="63" s="1"/>
  <c r="T104" i="51" s="1" a="1"/>
  <c r="T104" i="51" s="1"/>
  <c r="O96" i="80" s="1" a="1"/>
  <c r="O96" i="80" s="1"/>
  <c r="I160" i="63" a="1"/>
  <c r="I160" i="63" s="1"/>
  <c r="H105" i="51" s="1" a="1"/>
  <c r="H105" i="51" s="1"/>
  <c r="H140" i="51" s="1" a="1"/>
  <c r="H140" i="51" s="1"/>
  <c r="K158" i="63" a="1"/>
  <c r="K158" i="63" s="1"/>
  <c r="J104" i="51" s="1" a="1"/>
  <c r="J104" i="51" s="1"/>
  <c r="O97" i="52" s="1" a="1"/>
  <c r="O97" i="52" s="1"/>
  <c r="M218" i="49"/>
  <c r="M70" i="49" s="1"/>
  <c r="I56" i="84"/>
  <c r="E36" i="84" s="1"/>
  <c r="K69" i="63" a="1"/>
  <c r="K69" i="63" s="1"/>
  <c r="L87" i="63" a="1"/>
  <c r="L87" i="63" s="1"/>
  <c r="L123" i="63" s="1"/>
  <c r="H77" i="63" a="1"/>
  <c r="H77" i="63" s="1"/>
  <c r="H113" i="63" s="1"/>
  <c r="J75" i="63" a="1"/>
  <c r="J75" i="63" s="1"/>
  <c r="J111" i="63" s="1"/>
  <c r="J73" i="63" a="1"/>
  <c r="J73" i="63" s="1"/>
  <c r="J109" i="63" s="1"/>
  <c r="I70" i="63" a="1"/>
  <c r="I70" i="63" s="1"/>
  <c r="I106" i="63" s="1"/>
  <c r="K142" i="63" a="1"/>
  <c r="K142" i="63" s="1"/>
  <c r="L142" i="63" a="1"/>
  <c r="L142" i="63" s="1"/>
  <c r="H142" i="63" a="1"/>
  <c r="H142" i="63" s="1"/>
  <c r="I142" i="63" a="1"/>
  <c r="I142" i="63" s="1"/>
  <c r="J142" i="63" a="1"/>
  <c r="J142" i="63" s="1"/>
  <c r="L74" i="63" a="1"/>
  <c r="L74" i="63" s="1"/>
  <c r="L110" i="63" s="1"/>
  <c r="I96" i="63" a="1"/>
  <c r="I96" i="63" s="1"/>
  <c r="I132" i="63" s="1"/>
  <c r="L82" i="63" a="1"/>
  <c r="L82" i="63" s="1"/>
  <c r="H219" i="63" a="1"/>
  <c r="H219" i="63" s="1"/>
  <c r="H255" i="63" s="1"/>
  <c r="I223" i="63" a="1"/>
  <c r="I223" i="63" s="1"/>
  <c r="I259" i="63" s="1"/>
  <c r="K216" i="63" a="1"/>
  <c r="K216" i="63" s="1"/>
  <c r="K252" i="63" s="1"/>
  <c r="K224" i="63" a="1"/>
  <c r="K224" i="63" s="1"/>
  <c r="K260" i="63" s="1"/>
  <c r="L220" i="63" a="1"/>
  <c r="L220" i="63" s="1"/>
  <c r="L256" i="63" s="1"/>
  <c r="H220" i="63" a="1"/>
  <c r="H220" i="63" s="1"/>
  <c r="H256" i="63" s="1"/>
  <c r="I216" i="63" a="1"/>
  <c r="I216" i="63" s="1"/>
  <c r="I252" i="63" s="1"/>
  <c r="I224" i="63" a="1"/>
  <c r="I224" i="63" s="1"/>
  <c r="I260" i="63" s="1"/>
  <c r="J220" i="63" a="1"/>
  <c r="J220" i="63" s="1"/>
  <c r="J256" i="63" s="1"/>
  <c r="K217" i="63" a="1"/>
  <c r="K217" i="63" s="1"/>
  <c r="K253" i="63" s="1"/>
  <c r="K225" i="63" a="1"/>
  <c r="K225" i="63" s="1"/>
  <c r="K261" i="63" s="1"/>
  <c r="H221" i="63" a="1"/>
  <c r="H221" i="63" s="1"/>
  <c r="H257" i="63" s="1"/>
  <c r="I217" i="63" a="1"/>
  <c r="I217" i="63" s="1"/>
  <c r="I253" i="63" s="1"/>
  <c r="I225" i="63" a="1"/>
  <c r="I225" i="63" s="1"/>
  <c r="I261" i="63" s="1"/>
  <c r="K226" i="63" a="1"/>
  <c r="K226" i="63" s="1"/>
  <c r="K262" i="63" s="1"/>
  <c r="H222" i="63" a="1"/>
  <c r="H222" i="63" s="1"/>
  <c r="H258" i="63" s="1"/>
  <c r="I226" i="63" a="1"/>
  <c r="I226" i="63" s="1"/>
  <c r="I262" i="63" s="1"/>
  <c r="L223" i="63" a="1"/>
  <c r="L223" i="63" s="1"/>
  <c r="L259" i="63" s="1"/>
  <c r="H223" i="63" a="1"/>
  <c r="H223" i="63" s="1"/>
  <c r="H259" i="63" s="1"/>
  <c r="J223" i="63" a="1"/>
  <c r="J223" i="63" s="1"/>
  <c r="J259" i="63" s="1"/>
  <c r="K220" i="63" a="1"/>
  <c r="K220" i="63" s="1"/>
  <c r="K256" i="63" s="1"/>
  <c r="L216" i="63" a="1"/>
  <c r="L216" i="63" s="1"/>
  <c r="L252" i="63" s="1"/>
  <c r="L224" i="63" a="1"/>
  <c r="L224" i="63" s="1"/>
  <c r="L260" i="63" s="1"/>
  <c r="H224" i="63" a="1"/>
  <c r="H224" i="63" s="1"/>
  <c r="H260" i="63" s="1"/>
  <c r="I220" i="63" a="1"/>
  <c r="I220" i="63" s="1"/>
  <c r="I256" i="63" s="1"/>
  <c r="J216" i="63" a="1"/>
  <c r="J216" i="63" s="1"/>
  <c r="J252" i="63" s="1"/>
  <c r="J224" i="63" a="1"/>
  <c r="J224" i="63" s="1"/>
  <c r="J260" i="63" s="1"/>
  <c r="L217" i="63" a="1"/>
  <c r="L217" i="63" s="1"/>
  <c r="L253" i="63" s="1"/>
  <c r="L225" i="63" a="1"/>
  <c r="L225" i="63" s="1"/>
  <c r="L261" i="63" s="1"/>
  <c r="K223" i="63" a="1"/>
  <c r="K223" i="63" s="1"/>
  <c r="K259" i="63" s="1"/>
  <c r="H226" i="63" a="1"/>
  <c r="H226" i="63" s="1"/>
  <c r="H262" i="63" s="1"/>
  <c r="J225" i="63" a="1"/>
  <c r="J225" i="63" s="1"/>
  <c r="J261" i="63" s="1"/>
  <c r="H218" i="63" a="1"/>
  <c r="H218" i="63" s="1"/>
  <c r="H254" i="63" s="1"/>
  <c r="J226" i="63" a="1"/>
  <c r="J226" i="63" s="1"/>
  <c r="J262" i="63" s="1"/>
  <c r="L226" i="63" a="1"/>
  <c r="L226" i="63" s="1"/>
  <c r="L262" i="63" s="1"/>
  <c r="J217" i="63" a="1"/>
  <c r="J217" i="63" s="1"/>
  <c r="J253" i="63" s="1"/>
  <c r="H225" i="63" a="1"/>
  <c r="H225" i="63" s="1"/>
  <c r="H261" i="63" s="1"/>
  <c r="L61" i="52"/>
  <c r="I56" i="44"/>
  <c r="I129" i="44" s="1"/>
  <c r="I130" i="44" s="1" a="1"/>
  <c r="I130" i="44" s="1"/>
  <c r="I131" i="44" s="1"/>
  <c r="I132" i="44" s="1"/>
  <c r="K161" i="63" a="1"/>
  <c r="K161" i="63" s="1"/>
  <c r="T105" i="51" s="1" a="1"/>
  <c r="T105" i="51" s="1"/>
  <c r="T140" i="51" s="1" a="1"/>
  <c r="T140" i="51" s="1"/>
  <c r="J158" i="63" a="1"/>
  <c r="J158" i="63" s="1"/>
  <c r="I104" i="51" s="1" a="1"/>
  <c r="I104" i="51" s="1"/>
  <c r="N97" i="52" s="1" a="1"/>
  <c r="N97" i="52" s="1"/>
  <c r="L217" i="49"/>
  <c r="J96" i="63" a="1"/>
  <c r="J96" i="63" s="1"/>
  <c r="J132" i="63" s="1"/>
  <c r="L70" i="63" a="1"/>
  <c r="L70" i="63" s="1"/>
  <c r="L106" i="63" s="1"/>
  <c r="F60" i="63"/>
  <c r="L85" i="63" a="1"/>
  <c r="L85" i="63" s="1"/>
  <c r="L68" i="63" a="1"/>
  <c r="L68" i="63" s="1"/>
  <c r="H69" i="63" a="1"/>
  <c r="H69" i="63" s="1"/>
  <c r="K80" i="63" a="1"/>
  <c r="K80" i="63" s="1"/>
  <c r="K116" i="63" s="1"/>
  <c r="L90" i="63" a="1"/>
  <c r="L90" i="63" s="1"/>
  <c r="L126" i="63" s="1"/>
  <c r="H84" i="63" a="1"/>
  <c r="H84" i="63" s="1"/>
  <c r="J80" i="63" a="1"/>
  <c r="J80" i="63" s="1"/>
  <c r="J116" i="63" s="1"/>
  <c r="H89" i="63" a="1"/>
  <c r="H89" i="63" s="1"/>
  <c r="H125" i="63" s="1"/>
  <c r="L80" i="63" a="1"/>
  <c r="L80" i="63" s="1"/>
  <c r="L116" i="63" s="1"/>
  <c r="J90" i="63" a="1"/>
  <c r="J90" i="63" s="1"/>
  <c r="J126" i="63" s="1"/>
  <c r="H79" i="63" a="1"/>
  <c r="H79" i="63" s="1"/>
  <c r="H115" i="63" s="1"/>
  <c r="K64" i="63" a="1"/>
  <c r="K64" i="63" s="1"/>
  <c r="I90" i="63" a="1"/>
  <c r="I90" i="63" s="1"/>
  <c r="I126" i="63" s="1"/>
  <c r="H88" i="63" a="1"/>
  <c r="H88" i="63" s="1"/>
  <c r="H124" i="63" s="1"/>
  <c r="J92" i="63" a="1"/>
  <c r="J92" i="63" s="1"/>
  <c r="J128" i="63" s="1"/>
  <c r="I95" i="63" a="1"/>
  <c r="I95" i="63" s="1"/>
  <c r="I131" i="63" s="1"/>
  <c r="J70" i="63" a="1"/>
  <c r="J70" i="63" s="1"/>
  <c r="J106" i="63" s="1"/>
  <c r="H96" i="63" a="1"/>
  <c r="H96" i="63" s="1"/>
  <c r="H132" i="63" s="1"/>
  <c r="K91" i="63" a="1"/>
  <c r="K91" i="63" s="1"/>
  <c r="K127" i="63" s="1"/>
  <c r="I81" i="63" a="1"/>
  <c r="I81" i="63" s="1"/>
  <c r="I117" i="63" s="1"/>
  <c r="L81" i="63" a="1"/>
  <c r="L81" i="63" s="1"/>
  <c r="L117" i="63" s="1"/>
  <c r="K79" i="63" a="1"/>
  <c r="K79" i="63" s="1"/>
  <c r="K115" i="63" s="1"/>
  <c r="H81" i="63" a="1"/>
  <c r="H81" i="63" s="1"/>
  <c r="H117" i="63" s="1"/>
  <c r="K75" i="63" a="1"/>
  <c r="K75" i="63" s="1"/>
  <c r="K111" i="63" s="1"/>
  <c r="J85" i="63" a="1"/>
  <c r="J85" i="63" s="1"/>
  <c r="K87" i="63" a="1"/>
  <c r="K87" i="63" s="1"/>
  <c r="K123" i="63" s="1"/>
  <c r="K76" i="63" a="1"/>
  <c r="K76" i="63" s="1"/>
  <c r="K112" i="63" s="1"/>
  <c r="L75" i="63" a="1"/>
  <c r="L75" i="63" s="1"/>
  <c r="L111" i="63" s="1"/>
  <c r="J86" i="63" a="1"/>
  <c r="J86" i="63" s="1"/>
  <c r="H94" i="63" a="1"/>
  <c r="H94" i="63" s="1"/>
  <c r="H130" i="63" s="1"/>
  <c r="K90" i="63" a="1"/>
  <c r="K90" i="63" s="1"/>
  <c r="K126" i="63" s="1"/>
  <c r="J64" i="63" a="1"/>
  <c r="J64" i="63" s="1"/>
  <c r="F190" i="63"/>
  <c r="K145" i="63" a="1"/>
  <c r="K145" i="63" s="1"/>
  <c r="I145" i="63" a="1"/>
  <c r="I145" i="63" s="1"/>
  <c r="H145" i="63" a="1"/>
  <c r="H145" i="63" s="1"/>
  <c r="J145" i="63" a="1"/>
  <c r="J145" i="63" s="1"/>
  <c r="L145" i="63"/>
  <c r="H72" i="63" a="1"/>
  <c r="H72" i="63" s="1"/>
  <c r="H108" i="63" s="1"/>
  <c r="H75" i="63" a="1"/>
  <c r="H75" i="63" s="1"/>
  <c r="H111" i="63" s="1"/>
  <c r="H80" i="63" a="1"/>
  <c r="H80" i="63" s="1"/>
  <c r="H116" i="63" s="1"/>
  <c r="L79" i="63" a="1"/>
  <c r="L79" i="63" s="1"/>
  <c r="L115" i="63" s="1"/>
  <c r="K186" i="63" a="1"/>
  <c r="K186" i="63" s="1"/>
  <c r="J186" i="63" a="1"/>
  <c r="J186" i="63" s="1"/>
  <c r="I186" i="63" a="1"/>
  <c r="I186" i="63" s="1"/>
  <c r="L186" i="63" a="1"/>
  <c r="L186" i="63" s="1"/>
  <c r="H186" i="63" a="1"/>
  <c r="H186" i="63" s="1"/>
  <c r="I159" i="63" a="1"/>
  <c r="I159" i="63" s="1"/>
  <c r="R104" i="51" s="1" a="1"/>
  <c r="R104" i="51" s="1"/>
  <c r="M96" i="84" s="1" a="1"/>
  <c r="M96" i="84" s="1"/>
  <c r="H159" i="63" a="1"/>
  <c r="H159" i="63" s="1"/>
  <c r="Q104" i="51" s="1" a="1"/>
  <c r="Q104" i="51" s="1"/>
  <c r="L96" i="80" s="1" a="1"/>
  <c r="L96" i="80" s="1"/>
  <c r="K407" i="49"/>
  <c r="I76" i="63" a="1"/>
  <c r="I76" i="63" s="1"/>
  <c r="I112" i="63" s="1"/>
  <c r="K86" i="63" a="1"/>
  <c r="K86" i="63" s="1"/>
  <c r="J69" i="63" a="1"/>
  <c r="J69" i="63" s="1"/>
  <c r="L92" i="63" a="1"/>
  <c r="L92" i="63" s="1"/>
  <c r="L128" i="63" s="1"/>
  <c r="H148" i="63" a="1"/>
  <c r="H148" i="63" s="1"/>
  <c r="J148" i="63" a="1"/>
  <c r="J148" i="63" s="1"/>
  <c r="L148" i="63" a="1"/>
  <c r="L148" i="63" s="1"/>
  <c r="I148" i="63" a="1"/>
  <c r="I148" i="63" s="1"/>
  <c r="K148" i="63" a="1"/>
  <c r="K148" i="63" s="1"/>
  <c r="K141" i="63" a="1"/>
  <c r="K141" i="63" s="1"/>
  <c r="J141" i="63" a="1"/>
  <c r="J141" i="63" s="1"/>
  <c r="H141" i="63"/>
  <c r="L141" i="63" a="1"/>
  <c r="L141" i="63" s="1"/>
  <c r="I141" i="63" a="1"/>
  <c r="I141" i="63" s="1"/>
  <c r="K170" i="63" a="1"/>
  <c r="K170" i="63" s="1"/>
  <c r="H170" i="63" a="1"/>
  <c r="H170" i="63" s="1"/>
  <c r="I170" i="63" a="1"/>
  <c r="I170" i="63" s="1"/>
  <c r="L170" i="63" a="1"/>
  <c r="L170" i="63" s="1"/>
  <c r="J170" i="63" a="1"/>
  <c r="J170" i="63" s="1"/>
  <c r="L268" i="49"/>
  <c r="J74" i="63" a="1"/>
  <c r="J74" i="63" s="1"/>
  <c r="J110" i="63" s="1"/>
  <c r="J82" i="63" a="1"/>
  <c r="J82" i="63" s="1"/>
  <c r="L363" i="49"/>
  <c r="J159" i="63" a="1"/>
  <c r="J159" i="63" s="1"/>
  <c r="S104" i="51" s="1" a="1"/>
  <c r="S104" i="51" s="1"/>
  <c r="N96" i="84" s="1" a="1"/>
  <c r="N96" i="84" s="1"/>
  <c r="H314" i="49"/>
  <c r="M407" i="49" s="1"/>
  <c r="J312" i="49"/>
  <c r="J161" i="63" a="1"/>
  <c r="J161" i="63" s="1"/>
  <c r="S105" i="51" s="1" a="1"/>
  <c r="S105" i="51" s="1"/>
  <c r="S140" i="51" s="1" a="1"/>
  <c r="S140" i="51" s="1"/>
  <c r="I158" i="63" a="1"/>
  <c r="I158" i="63" s="1"/>
  <c r="I56" i="52"/>
  <c r="D36" i="52" s="1"/>
  <c r="I91" i="63" a="1"/>
  <c r="I91" i="63" s="1"/>
  <c r="I127" i="63" s="1"/>
  <c r="H66" i="63" a="1"/>
  <c r="H66" i="63" s="1"/>
  <c r="H85" i="63" a="1"/>
  <c r="H85" i="63" s="1"/>
  <c r="J91" i="63" a="1"/>
  <c r="J91" i="63" s="1"/>
  <c r="J127" i="63" s="1"/>
  <c r="K147" i="63" a="1"/>
  <c r="K147" i="63" s="1"/>
  <c r="J147" i="63" a="1"/>
  <c r="J147" i="63" s="1"/>
  <c r="L147" i="63" a="1"/>
  <c r="L147" i="63" s="1"/>
  <c r="I147" i="63" a="1"/>
  <c r="I147" i="63" s="1"/>
  <c r="H147" i="63" a="1"/>
  <c r="H147" i="63" s="1"/>
  <c r="H71" i="63" a="1"/>
  <c r="H71" i="63" s="1"/>
  <c r="H107" i="63" s="1"/>
  <c r="H73" i="63" a="1"/>
  <c r="H73" i="63" s="1"/>
  <c r="H109" i="63" s="1"/>
  <c r="K149" i="63" a="1"/>
  <c r="K149" i="63" s="1"/>
  <c r="I149" i="63" a="1"/>
  <c r="I149" i="63" s="1"/>
  <c r="L149" i="63" a="1"/>
  <c r="L149" i="63" s="1"/>
  <c r="J149" i="63" a="1"/>
  <c r="J149" i="63" s="1"/>
  <c r="H149" i="63" a="1"/>
  <c r="H149" i="63" s="1"/>
  <c r="I161" i="63" a="1"/>
  <c r="I161" i="63" s="1"/>
  <c r="R105" i="51" s="1" a="1"/>
  <c r="R105" i="51" s="1"/>
  <c r="R140" i="51" s="1" a="1"/>
  <c r="R140" i="51" s="1"/>
  <c r="L161" i="63" a="1"/>
  <c r="L161" i="63" s="1"/>
  <c r="U105" i="51" s="1" a="1"/>
  <c r="U105" i="51" s="1"/>
  <c r="U140" i="51" s="1" a="1"/>
  <c r="U140" i="51" s="1"/>
  <c r="H158" i="63" a="1"/>
  <c r="H158" i="63" s="1"/>
  <c r="G104" i="51" s="1" a="1"/>
  <c r="G104" i="51" s="1"/>
  <c r="G139" i="51" s="1" a="1"/>
  <c r="G139" i="51" s="1"/>
  <c r="H68" i="63" a="1"/>
  <c r="H68" i="63" s="1"/>
  <c r="I85" i="63" a="1"/>
  <c r="I85" i="63" s="1"/>
  <c r="L91" i="63" a="1"/>
  <c r="L91" i="63" s="1"/>
  <c r="L127" i="63" s="1"/>
  <c r="K67" i="63" a="1"/>
  <c r="K67" i="63" s="1"/>
  <c r="K68" i="63" a="1"/>
  <c r="K68" i="63" s="1"/>
  <c r="I86" i="63" a="1"/>
  <c r="I86" i="63" s="1"/>
  <c r="J144" i="63" a="1"/>
  <c r="J144" i="63" s="1"/>
  <c r="I144" i="63" a="1"/>
  <c r="I144" i="63" s="1"/>
  <c r="K144" i="63" a="1"/>
  <c r="K144" i="63" s="1"/>
  <c r="L144" i="63" a="1"/>
  <c r="L144" i="63" s="1"/>
  <c r="H144" i="63" a="1"/>
  <c r="H144" i="63" s="1"/>
  <c r="H93" i="63" a="1"/>
  <c r="H93" i="63" s="1"/>
  <c r="H129" i="63" s="1"/>
  <c r="K73" i="63" a="1"/>
  <c r="K73" i="63" s="1"/>
  <c r="K109" i="63" s="1"/>
  <c r="I73" i="63" a="1"/>
  <c r="I73" i="63" s="1"/>
  <c r="I109" i="63" s="1"/>
  <c r="K81" i="63" a="1"/>
  <c r="K81" i="63" s="1"/>
  <c r="K117" i="63" s="1"/>
  <c r="H160" i="63" a="1"/>
  <c r="H160" i="63" s="1"/>
  <c r="G105" i="51" s="1" a="1"/>
  <c r="G105" i="51" s="1"/>
  <c r="G140" i="51" s="1" a="1"/>
  <c r="G140" i="51" s="1"/>
  <c r="H161" i="63" a="1"/>
  <c r="H161" i="63" s="1"/>
  <c r="Q105" i="51" s="1" a="1"/>
  <c r="Q105" i="51" s="1"/>
  <c r="Q140" i="51" s="1" a="1"/>
  <c r="Q140" i="51" s="1"/>
  <c r="L159" i="63" a="1"/>
  <c r="L159" i="63" s="1"/>
  <c r="U104" i="51" s="1" a="1"/>
  <c r="U104" i="51" s="1"/>
  <c r="P96" i="84" s="1" a="1"/>
  <c r="P96" i="84" s="1"/>
  <c r="L160" i="63" a="1"/>
  <c r="L160" i="63" s="1"/>
  <c r="K105" i="51" s="1" a="1"/>
  <c r="K105" i="51" s="1"/>
  <c r="K140" i="51" s="1" a="1"/>
  <c r="K140" i="51" s="1"/>
  <c r="J87" i="63" a="1"/>
  <c r="J87" i="63" s="1"/>
  <c r="J123" i="63" s="1"/>
  <c r="I92" i="63" a="1"/>
  <c r="I92" i="63" s="1"/>
  <c r="I128" i="63" s="1"/>
  <c r="I64" i="63" a="1"/>
  <c r="I64" i="63" s="1"/>
  <c r="L69" i="63" a="1"/>
  <c r="L69" i="63" s="1"/>
  <c r="K146" i="63" a="1"/>
  <c r="K146" i="63" s="1"/>
  <c r="I146" i="63" a="1"/>
  <c r="I146" i="63" s="1"/>
  <c r="L146" i="63" a="1"/>
  <c r="L146" i="63" s="1"/>
  <c r="J146" i="63" a="1"/>
  <c r="J146" i="63" s="1"/>
  <c r="H146" i="63" a="1"/>
  <c r="H146" i="63" s="1"/>
  <c r="K85" i="63" a="1"/>
  <c r="K85" i="63" s="1"/>
  <c r="J67" i="63" a="1"/>
  <c r="J67" i="63" s="1"/>
  <c r="L73" i="63" a="1"/>
  <c r="L73" i="63" s="1"/>
  <c r="L109" i="63" s="1"/>
  <c r="J76" i="63" a="1"/>
  <c r="J76" i="63" s="1"/>
  <c r="J112" i="63" s="1"/>
  <c r="O380" i="49"/>
  <c r="L215" i="49"/>
  <c r="L216" i="49" s="1" a="1"/>
  <c r="L216" i="49" s="1"/>
  <c r="I69" i="44"/>
  <c r="D58" i="80"/>
  <c r="P55" i="84"/>
  <c r="M192" i="49"/>
  <c r="M67" i="49" s="1"/>
  <c r="O61" i="52"/>
  <c r="N189" i="49"/>
  <c r="N190" i="49" s="1" a="1"/>
  <c r="N190" i="49" s="1"/>
  <c r="G129" i="44"/>
  <c r="G130" i="44" s="1" a="1"/>
  <c r="G130" i="44" s="1"/>
  <c r="G131" i="44" s="1"/>
  <c r="O58" i="80"/>
  <c r="M59" i="52"/>
  <c r="K107" i="44"/>
  <c r="F60" i="80"/>
  <c r="L189" i="49"/>
  <c r="L190" i="49" s="1" a="1"/>
  <c r="L190" i="49" s="1"/>
  <c r="L191" i="49"/>
  <c r="Q57" i="52"/>
  <c r="M191" i="49"/>
  <c r="N215" i="49"/>
  <c r="N216" i="49" s="1" a="1"/>
  <c r="N216" i="49" s="1"/>
  <c r="O55" i="84"/>
  <c r="M58" i="80"/>
  <c r="N218" i="49"/>
  <c r="N70" i="49" s="1"/>
  <c r="M157" i="49"/>
  <c r="D58" i="84"/>
  <c r="D59" i="52"/>
  <c r="K66" i="44" a="1"/>
  <c r="K66" i="44" s="1"/>
  <c r="K21" i="51"/>
  <c r="S95" i="51"/>
  <c r="I379" i="44" a="1"/>
  <c r="I379" i="44" s="1"/>
  <c r="I66" i="44" a="1"/>
  <c r="I66" i="44" s="1"/>
  <c r="I21" i="51"/>
  <c r="O59" i="52"/>
  <c r="T95" i="51"/>
  <c r="J379" i="44" a="1"/>
  <c r="J379" i="44" s="1"/>
  <c r="T22" i="51"/>
  <c r="J118" i="44" a="1"/>
  <c r="J118" i="44" s="1"/>
  <c r="O357" i="49"/>
  <c r="P56" i="52"/>
  <c r="F96" i="80" a="1"/>
  <c r="F96" i="80" s="1"/>
  <c r="U95" i="51"/>
  <c r="K379" i="44" a="1"/>
  <c r="K379" i="44" s="1"/>
  <c r="Q23" i="51"/>
  <c r="G125" i="44" a="1"/>
  <c r="G125" i="44" s="1"/>
  <c r="M55" i="84"/>
  <c r="H94" i="51"/>
  <c r="H327" i="44" a="1"/>
  <c r="H327" i="44" s="1"/>
  <c r="K244" i="49"/>
  <c r="K245" i="49" s="1"/>
  <c r="K121" i="44"/>
  <c r="K122" i="44" s="1" a="1"/>
  <c r="K122" i="44" s="1"/>
  <c r="K123" i="44" s="1"/>
  <c r="N53" i="49"/>
  <c r="N54" i="49" s="1"/>
  <c r="N12" i="49" s="1"/>
  <c r="J94" i="51"/>
  <c r="J327" i="44" a="1"/>
  <c r="J327" i="44" s="1"/>
  <c r="I95" i="51"/>
  <c r="I334" i="44" a="1"/>
  <c r="I334" i="44" s="1"/>
  <c r="J95" i="49"/>
  <c r="O157" i="49" s="1"/>
  <c r="G96" i="51"/>
  <c r="G341" i="44" a="1"/>
  <c r="G341" i="44" s="1"/>
  <c r="I94" i="51"/>
  <c r="I327" i="44" a="1"/>
  <c r="I327" i="44" s="1"/>
  <c r="T94" i="51"/>
  <c r="J372" i="44" a="1"/>
  <c r="J372" i="44" s="1"/>
  <c r="G107" i="44"/>
  <c r="G108" i="44" s="1" a="1"/>
  <c r="G108" i="44" s="1"/>
  <c r="G109" i="44" s="1"/>
  <c r="I84" i="44"/>
  <c r="I85" i="44" s="1" a="1"/>
  <c r="I85" i="44" s="1"/>
  <c r="I86" i="44" s="1"/>
  <c r="K114" i="44"/>
  <c r="K136" i="44"/>
  <c r="K137" i="44" s="1" a="1"/>
  <c r="K137" i="44" s="1"/>
  <c r="Q85" i="51" a="1"/>
  <c r="Q85" i="51" s="1"/>
  <c r="Q131" i="51" a="1"/>
  <c r="Q131" i="51" s="1"/>
  <c r="G136" i="44"/>
  <c r="G137" i="44" s="1" a="1"/>
  <c r="G137" i="44" s="1"/>
  <c r="G138" i="44" s="1"/>
  <c r="G139" i="44" s="1"/>
  <c r="U83" i="51" a="1"/>
  <c r="U83" i="51" s="1"/>
  <c r="U129" i="51" a="1"/>
  <c r="U129" i="51" s="1"/>
  <c r="G69" i="44"/>
  <c r="G70" i="44" s="1" a="1"/>
  <c r="G70" i="44" s="1"/>
  <c r="G71" i="44" s="1"/>
  <c r="G72" i="44" s="1"/>
  <c r="G22" i="51" s="1"/>
  <c r="J130" i="51" a="1"/>
  <c r="J130" i="51" s="1"/>
  <c r="J84" i="51" a="1"/>
  <c r="J84" i="51" s="1"/>
  <c r="G114" i="44"/>
  <c r="G115" i="44" s="1" a="1"/>
  <c r="G115" i="44" s="1"/>
  <c r="G116" i="44" s="1"/>
  <c r="G117" i="44" s="1"/>
  <c r="H84" i="51" a="1"/>
  <c r="H84" i="51" s="1"/>
  <c r="H130" i="51" a="1"/>
  <c r="H130" i="51" s="1"/>
  <c r="G61" i="80"/>
  <c r="G62" i="80" s="1"/>
  <c r="S11" i="51" a="1"/>
  <c r="S11" i="51" s="1"/>
  <c r="S57" i="51" a="1"/>
  <c r="S57" i="51" s="1"/>
  <c r="K83" i="51" a="1"/>
  <c r="K83" i="51" s="1"/>
  <c r="K129" i="51" a="1"/>
  <c r="K129" i="51" s="1"/>
  <c r="R84" i="51" a="1"/>
  <c r="R84" i="51" s="1"/>
  <c r="R130" i="51" a="1"/>
  <c r="R130" i="51" s="1"/>
  <c r="R83" i="51" a="1"/>
  <c r="R83" i="51" s="1"/>
  <c r="R129" i="51" a="1"/>
  <c r="R129" i="51" s="1"/>
  <c r="K11" i="51" a="1"/>
  <c r="K11" i="51" s="1"/>
  <c r="K57" i="51" a="1"/>
  <c r="K57" i="51" s="1"/>
  <c r="J10" i="51" a="1"/>
  <c r="J10" i="51" s="1"/>
  <c r="J56" i="51" a="1"/>
  <c r="J56" i="51" s="1"/>
  <c r="H352" i="44"/>
  <c r="H353" i="44" s="1" a="1"/>
  <c r="H353" i="44" s="1"/>
  <c r="H354" i="44" s="1"/>
  <c r="H355" i="44" s="1"/>
  <c r="S10" i="51" a="1"/>
  <c r="S10" i="51" s="1"/>
  <c r="S56" i="51" a="1"/>
  <c r="S56" i="51" s="1"/>
  <c r="H11" i="51" a="1"/>
  <c r="H11" i="51" s="1"/>
  <c r="H57" i="51" a="1"/>
  <c r="H57" i="51" s="1"/>
  <c r="G76" i="44"/>
  <c r="I11" i="51" a="1"/>
  <c r="I11" i="51" s="1"/>
  <c r="I57" i="51" a="1"/>
  <c r="I57" i="51" s="1"/>
  <c r="S83" i="51" a="1"/>
  <c r="S83" i="51" s="1"/>
  <c r="S129" i="51" a="1"/>
  <c r="S129" i="51" s="1"/>
  <c r="U11" i="51" a="1"/>
  <c r="U11" i="51" s="1"/>
  <c r="U57" i="51" a="1"/>
  <c r="U57" i="51" s="1"/>
  <c r="J11" i="51" a="1"/>
  <c r="J11" i="51" s="1"/>
  <c r="J57" i="51" a="1"/>
  <c r="J57" i="51" s="1"/>
  <c r="G12" i="51" a="1"/>
  <c r="G12" i="51" s="1"/>
  <c r="G58" i="51" a="1"/>
  <c r="G58" i="51" s="1"/>
  <c r="T10" i="51" a="1"/>
  <c r="T10" i="51" s="1"/>
  <c r="T56" i="51" a="1"/>
  <c r="T56" i="51" s="1"/>
  <c r="R11" i="51" a="1"/>
  <c r="R11" i="51" s="1"/>
  <c r="R57" i="51" a="1"/>
  <c r="R57" i="51" s="1"/>
  <c r="R10" i="51" a="1"/>
  <c r="R10" i="51" s="1"/>
  <c r="R56" i="51" a="1"/>
  <c r="R56" i="51" s="1"/>
  <c r="U10" i="51" a="1"/>
  <c r="U10" i="51" s="1"/>
  <c r="U56" i="51" a="1"/>
  <c r="U56" i="51" s="1"/>
  <c r="G92" i="44" a="1"/>
  <c r="G92" i="44" s="1"/>
  <c r="G93" i="44" s="1"/>
  <c r="G94" i="44" s="1"/>
  <c r="I398" i="44" a="1"/>
  <c r="I398" i="44" s="1"/>
  <c r="I399" i="44" s="1"/>
  <c r="I77" i="44" a="1"/>
  <c r="I77" i="44" s="1"/>
  <c r="I78" i="44" s="1"/>
  <c r="G98" i="44"/>
  <c r="I390" i="44"/>
  <c r="I98" i="44"/>
  <c r="K130" i="44" a="1"/>
  <c r="K130" i="44" s="1"/>
  <c r="K131" i="44" s="1"/>
  <c r="K18" i="44"/>
  <c r="K35" i="44"/>
  <c r="K26" i="44"/>
  <c r="K43" i="44"/>
  <c r="I35" i="44"/>
  <c r="I18" i="44"/>
  <c r="I43" i="44"/>
  <c r="I26" i="44"/>
  <c r="I375" i="44"/>
  <c r="G18" i="44"/>
  <c r="G35" i="44"/>
  <c r="G43" i="44"/>
  <c r="G26" i="44"/>
  <c r="I58" i="52"/>
  <c r="F36" i="52" s="1"/>
  <c r="K91" i="44"/>
  <c r="J43" i="44"/>
  <c r="J35" i="44"/>
  <c r="J26" i="44"/>
  <c r="J18" i="44"/>
  <c r="I279" i="44"/>
  <c r="I304" i="44"/>
  <c r="I296" i="44"/>
  <c r="I287" i="44"/>
  <c r="I368" i="44"/>
  <c r="I382" i="44"/>
  <c r="I57" i="80"/>
  <c r="F36" i="80" s="1"/>
  <c r="H35" i="44"/>
  <c r="H18" i="44"/>
  <c r="H43" i="44"/>
  <c r="H26" i="44"/>
  <c r="I62" i="44"/>
  <c r="G62" i="52"/>
  <c r="G63" i="52" s="1"/>
  <c r="I57" i="84"/>
  <c r="F36" i="84" s="1"/>
  <c r="K84" i="51" a="1"/>
  <c r="K84" i="51" s="1"/>
  <c r="K130" i="51" a="1"/>
  <c r="K130" i="51" s="1"/>
  <c r="G62" i="44"/>
  <c r="F62" i="52"/>
  <c r="F63" i="52" s="1"/>
  <c r="G84" i="44"/>
  <c r="H279" i="44"/>
  <c r="H296" i="44"/>
  <c r="H304" i="44"/>
  <c r="H287" i="44"/>
  <c r="G304" i="44"/>
  <c r="G287" i="44"/>
  <c r="G296" i="44"/>
  <c r="B239" i="44"/>
  <c r="L332" i="49" l="1"/>
  <c r="K370" i="49"/>
  <c r="K283" i="49" s="1"/>
  <c r="H103" i="63"/>
  <c r="G39" i="51" a="1"/>
  <c r="G39" i="51" s="1"/>
  <c r="G68" i="51" a="1"/>
  <c r="G68" i="51" s="1"/>
  <c r="O217" i="49"/>
  <c r="O215" i="49"/>
  <c r="O216" i="49" s="1" a="1"/>
  <c r="O216" i="49" s="1"/>
  <c r="K287" i="44"/>
  <c r="L109" i="49"/>
  <c r="L110" i="49" s="1"/>
  <c r="L111" i="49" s="1" a="1"/>
  <c r="L111" i="49" s="1"/>
  <c r="J323" i="44"/>
  <c r="J359" i="44"/>
  <c r="K76" i="44"/>
  <c r="L61" i="80"/>
  <c r="L62" i="80" s="1"/>
  <c r="I345" i="44"/>
  <c r="I346" i="44" s="1" a="1"/>
  <c r="I346" i="44" s="1"/>
  <c r="I347" i="44" s="1"/>
  <c r="I348" i="44" s="1"/>
  <c r="I98" i="51" s="1"/>
  <c r="I58" i="84"/>
  <c r="L164" i="49"/>
  <c r="K337" i="44"/>
  <c r="K338" i="44" s="1" a="1"/>
  <c r="K338" i="44" s="1"/>
  <c r="K345" i="44"/>
  <c r="K346" i="44" s="1" a="1"/>
  <c r="K346" i="44" s="1"/>
  <c r="K347" i="44" s="1"/>
  <c r="K348" i="44" s="1"/>
  <c r="K98" i="51" s="1"/>
  <c r="Q57" i="80"/>
  <c r="F35" i="80" s="1"/>
  <c r="F40" i="80" s="1"/>
  <c r="I323" i="44"/>
  <c r="J352" i="44"/>
  <c r="J353" i="44" s="1" a="1"/>
  <c r="J353" i="44" s="1"/>
  <c r="J354" i="44" s="1"/>
  <c r="J355" i="44" s="1"/>
  <c r="J99" i="51" s="1"/>
  <c r="I330" i="44"/>
  <c r="K352" i="44"/>
  <c r="K353" i="44" s="1" a="1"/>
  <c r="K353" i="44" s="1"/>
  <c r="K354" i="44" s="1"/>
  <c r="K323" i="44"/>
  <c r="L344" i="49"/>
  <c r="L345" i="49" s="1" a="1"/>
  <c r="L345" i="49" s="1"/>
  <c r="O106" i="49"/>
  <c r="K84" i="44"/>
  <c r="J330" i="44"/>
  <c r="K62" i="44"/>
  <c r="K69" i="44"/>
  <c r="I352" i="44"/>
  <c r="I353" i="44" s="1" a="1"/>
  <c r="I353" i="44" s="1"/>
  <c r="I354" i="44" s="1"/>
  <c r="I355" i="44" s="1"/>
  <c r="J337" i="44"/>
  <c r="I337" i="44"/>
  <c r="I338" i="44" s="1" a="1"/>
  <c r="I338" i="44" s="1"/>
  <c r="I339" i="44" s="1"/>
  <c r="I340" i="44" s="1"/>
  <c r="I341" i="44" s="1" a="1"/>
  <c r="I341" i="44" s="1"/>
  <c r="K359" i="44"/>
  <c r="K360" i="44" s="1" a="1"/>
  <c r="K360" i="44" s="1"/>
  <c r="K361" i="44" s="1"/>
  <c r="N423" i="49"/>
  <c r="M165" i="49"/>
  <c r="M64" i="49" s="1"/>
  <c r="L346" i="49"/>
  <c r="O144" i="49"/>
  <c r="K201" i="49"/>
  <c r="K202" i="49" s="1"/>
  <c r="K203" i="49" s="1" a="1"/>
  <c r="K203" i="49" s="1"/>
  <c r="N201" i="49"/>
  <c r="N205" i="49" s="1"/>
  <c r="N69" i="49" s="1"/>
  <c r="N68" i="49" s="1"/>
  <c r="N73" i="49" s="1"/>
  <c r="K304" i="44"/>
  <c r="L44" i="63"/>
  <c r="J279" i="44"/>
  <c r="J280" i="44" s="1" a="1"/>
  <c r="J280" i="44" s="1"/>
  <c r="J281" i="44" s="1"/>
  <c r="N144" i="49"/>
  <c r="N198" i="49"/>
  <c r="K198" i="49"/>
  <c r="O172" i="49"/>
  <c r="Q57" i="84"/>
  <c r="F35" i="84" s="1"/>
  <c r="F40" i="84" s="1"/>
  <c r="I55" i="80"/>
  <c r="D36" i="80" s="1"/>
  <c r="D40" i="80" s="1"/>
  <c r="M106" i="49"/>
  <c r="L198" i="49"/>
  <c r="N61" i="80"/>
  <c r="N62" i="80" s="1"/>
  <c r="I58" i="80"/>
  <c r="J296" i="44"/>
  <c r="J297" i="44" s="1" a="1"/>
  <c r="J297" i="44" s="1"/>
  <c r="J298" i="44" s="1"/>
  <c r="J287" i="44"/>
  <c r="L106" i="49"/>
  <c r="E62" i="52"/>
  <c r="E63" i="52" s="1"/>
  <c r="L62" i="52"/>
  <c r="L63" i="52" s="1"/>
  <c r="M247" i="49"/>
  <c r="J121" i="44"/>
  <c r="J122" i="44" s="1" a="1"/>
  <c r="J122" i="44" s="1"/>
  <c r="P61" i="80"/>
  <c r="P62" i="80" s="1"/>
  <c r="I59" i="52"/>
  <c r="H397" i="44"/>
  <c r="H398" i="44" s="1" a="1"/>
  <c r="H398" i="44" s="1"/>
  <c r="H399" i="44" s="1"/>
  <c r="E61" i="80"/>
  <c r="E62" i="80" s="1"/>
  <c r="O201" i="49"/>
  <c r="O205" i="49" s="1"/>
  <c r="O69" i="49" s="1"/>
  <c r="O68" i="49" s="1"/>
  <c r="O73" i="49" s="1"/>
  <c r="O109" i="49"/>
  <c r="O113" i="49" s="1"/>
  <c r="O60" i="49" s="1"/>
  <c r="M147" i="49"/>
  <c r="M148" i="49" s="1"/>
  <c r="M149" i="49" s="1" a="1"/>
  <c r="M149" i="49" s="1"/>
  <c r="K172" i="49"/>
  <c r="L144" i="49"/>
  <c r="N61" i="84"/>
  <c r="N62" i="84" s="1"/>
  <c r="K46" i="63"/>
  <c r="J114" i="44"/>
  <c r="H390" i="44"/>
  <c r="H391" i="44" s="1" a="1"/>
  <c r="H391" i="44" s="1"/>
  <c r="H392" i="44" s="1"/>
  <c r="L165" i="49"/>
  <c r="L64" i="49" s="1"/>
  <c r="N109" i="49"/>
  <c r="M172" i="49"/>
  <c r="L147" i="49"/>
  <c r="L150" i="49" s="1"/>
  <c r="J107" i="44"/>
  <c r="H129" i="44"/>
  <c r="H130" i="44" s="1" a="1"/>
  <c r="H130" i="44" s="1"/>
  <c r="H131" i="44" s="1"/>
  <c r="N344" i="49"/>
  <c r="N345" i="49" s="1" a="1"/>
  <c r="N345" i="49" s="1"/>
  <c r="H136" i="44"/>
  <c r="H137" i="44" s="1" a="1"/>
  <c r="H137" i="44" s="1"/>
  <c r="H138" i="44" s="1"/>
  <c r="H139" i="44" s="1"/>
  <c r="K421" i="49"/>
  <c r="K422" i="49" s="1" a="1"/>
  <c r="K422" i="49" s="1"/>
  <c r="L398" i="49"/>
  <c r="L286" i="49" s="1"/>
  <c r="L397" i="49"/>
  <c r="N347" i="49"/>
  <c r="N281" i="49" s="1"/>
  <c r="H121" i="44"/>
  <c r="H122" i="44" s="1" a="1"/>
  <c r="H122" i="44" s="1"/>
  <c r="H123" i="44" s="1"/>
  <c r="H114" i="44"/>
  <c r="K424" i="49"/>
  <c r="K289" i="49" s="1"/>
  <c r="L411" i="49"/>
  <c r="L287" i="49" s="1"/>
  <c r="L175" i="49"/>
  <c r="L179" i="49" s="1"/>
  <c r="L66" i="49" s="1"/>
  <c r="L65" i="49" s="1"/>
  <c r="M109" i="49"/>
  <c r="M112" i="49" s="1"/>
  <c r="M144" i="49"/>
  <c r="L434" i="49"/>
  <c r="L435" i="49" s="1" a="1"/>
  <c r="L435" i="49" s="1"/>
  <c r="K109" i="49"/>
  <c r="K53" i="49"/>
  <c r="K54" i="49" s="1"/>
  <c r="K12" i="49" s="1"/>
  <c r="L437" i="49"/>
  <c r="L290" i="49" s="1"/>
  <c r="L172" i="49"/>
  <c r="K144" i="49"/>
  <c r="M134" i="49"/>
  <c r="M136" i="49" s="1" a="1"/>
  <c r="M136" i="49" s="1"/>
  <c r="M137" i="49"/>
  <c r="M138" i="49"/>
  <c r="N134" i="49"/>
  <c r="N136" i="49" s="1" a="1"/>
  <c r="N136" i="49" s="1"/>
  <c r="N138" i="49"/>
  <c r="N137" i="49"/>
  <c r="L134" i="49"/>
  <c r="L136" i="49" s="1" a="1"/>
  <c r="L136" i="49" s="1"/>
  <c r="L138" i="49"/>
  <c r="L137" i="49"/>
  <c r="M39" i="49"/>
  <c r="M40" i="49" s="1"/>
  <c r="K137" i="49"/>
  <c r="K138" i="49"/>
  <c r="K134" i="49"/>
  <c r="K136" i="49" s="1" a="1"/>
  <c r="K136" i="49" s="1"/>
  <c r="M201" i="49"/>
  <c r="G345" i="44"/>
  <c r="G346" i="44" s="1" a="1"/>
  <c r="G346" i="44" s="1"/>
  <c r="G347" i="44" s="1"/>
  <c r="G348" i="44" s="1"/>
  <c r="G98" i="51" s="1"/>
  <c r="K147" i="49"/>
  <c r="M175" i="49"/>
  <c r="N356" i="49"/>
  <c r="N357" i="49" s="1"/>
  <c r="G390" i="44"/>
  <c r="G391" i="44" s="1" a="1"/>
  <c r="G391" i="44" s="1"/>
  <c r="G392" i="44" s="1"/>
  <c r="G393" i="44" s="1"/>
  <c r="G394" i="44" s="1" a="1"/>
  <c r="G394" i="44" s="1"/>
  <c r="G397" i="44"/>
  <c r="G398" i="44" s="1" a="1"/>
  <c r="G398" i="44" s="1"/>
  <c r="G399" i="44" s="1"/>
  <c r="G359" i="44"/>
  <c r="G360" i="44" s="1" a="1"/>
  <c r="G360" i="44" s="1"/>
  <c r="G361" i="44" s="1"/>
  <c r="G362" i="44" s="1"/>
  <c r="G100" i="51" s="1"/>
  <c r="K106" i="49"/>
  <c r="O175" i="49"/>
  <c r="O147" i="49"/>
  <c r="G352" i="44"/>
  <c r="G353" i="44" s="1" a="1"/>
  <c r="G353" i="44" s="1"/>
  <c r="G323" i="44"/>
  <c r="G324" i="44" s="1" a="1"/>
  <c r="G324" i="44" s="1"/>
  <c r="G325" i="44" s="1"/>
  <c r="G326" i="44" s="1"/>
  <c r="N175" i="49"/>
  <c r="N147" i="49"/>
  <c r="G382" i="44"/>
  <c r="G375" i="44"/>
  <c r="G376" i="44" s="1" a="1"/>
  <c r="G376" i="44" s="1"/>
  <c r="G377" i="44" s="1"/>
  <c r="G330" i="44"/>
  <c r="G331" i="44" s="1" a="1"/>
  <c r="G331" i="44" s="1"/>
  <c r="G332" i="44" s="1"/>
  <c r="N106" i="49"/>
  <c r="O198" i="49"/>
  <c r="N172" i="49"/>
  <c r="K175" i="49"/>
  <c r="L201" i="49"/>
  <c r="F61" i="84"/>
  <c r="I60" i="84"/>
  <c r="H36" i="84" s="1"/>
  <c r="L61" i="84"/>
  <c r="L62" i="84" s="1"/>
  <c r="E40" i="84"/>
  <c r="H97" i="52" a="1"/>
  <c r="H97" i="52" s="1"/>
  <c r="H62" i="44"/>
  <c r="H84" i="44"/>
  <c r="H85" i="44" s="1" a="1"/>
  <c r="H85" i="44" s="1"/>
  <c r="H86" i="44" s="1"/>
  <c r="H87" i="44" s="1"/>
  <c r="H25" i="51" s="1"/>
  <c r="L52" i="49"/>
  <c r="L53" i="49" s="1"/>
  <c r="L54" i="49" s="1"/>
  <c r="L12" i="49" s="1"/>
  <c r="K368" i="44"/>
  <c r="J390" i="44"/>
  <c r="J91" i="44"/>
  <c r="J92" i="44" s="1" a="1"/>
  <c r="J92" i="44" s="1"/>
  <c r="J397" i="44"/>
  <c r="J398" i="44" s="1" a="1"/>
  <c r="J398" i="44" s="1"/>
  <c r="J399" i="44" s="1"/>
  <c r="J62" i="44"/>
  <c r="J139" i="51" a="1"/>
  <c r="J139" i="51" s="1"/>
  <c r="J76" i="44"/>
  <c r="J77" i="44" s="1" a="1"/>
  <c r="J77" i="44" s="1"/>
  <c r="J78" i="44" s="1"/>
  <c r="K296" i="44"/>
  <c r="K297" i="44" s="1" a="1"/>
  <c r="K297" i="44" s="1"/>
  <c r="K298" i="44" s="1"/>
  <c r="K299" i="44" s="1"/>
  <c r="K300" i="44" s="1"/>
  <c r="J382" i="44"/>
  <c r="J383" i="44" s="1" a="1"/>
  <c r="J383" i="44" s="1"/>
  <c r="J384" i="44" s="1"/>
  <c r="J98" i="44"/>
  <c r="J99" i="44" s="1" a="1"/>
  <c r="J99" i="44" s="1"/>
  <c r="J100" i="44" s="1"/>
  <c r="J101" i="44" s="1"/>
  <c r="K375" i="44"/>
  <c r="K279" i="44"/>
  <c r="K280" i="44" s="1" a="1"/>
  <c r="K280" i="44" s="1"/>
  <c r="K281" i="44" s="1"/>
  <c r="K282" i="44" s="1"/>
  <c r="K283" i="44" s="1"/>
  <c r="H98" i="44"/>
  <c r="K382" i="44"/>
  <c r="K383" i="44" s="1" a="1"/>
  <c r="K383" i="44" s="1"/>
  <c r="K384" i="44" s="1"/>
  <c r="K385" i="44" s="1"/>
  <c r="K386" i="44" s="1" a="1"/>
  <c r="K386" i="44" s="1"/>
  <c r="K390" i="44"/>
  <c r="K391" i="44" s="1" a="1"/>
  <c r="K391" i="44" s="1"/>
  <c r="K392" i="44" s="1"/>
  <c r="K393" i="44" s="1"/>
  <c r="K394" i="44" s="1" a="1"/>
  <c r="K394" i="44" s="1"/>
  <c r="J69" i="44"/>
  <c r="H69" i="44"/>
  <c r="H76" i="44"/>
  <c r="J375" i="44"/>
  <c r="M356" i="49"/>
  <c r="M357" i="49" s="1"/>
  <c r="K174" i="63"/>
  <c r="M370" i="49"/>
  <c r="M283" i="49" s="1"/>
  <c r="P283" i="49" s="1"/>
  <c r="Q283" i="49" s="1"/>
  <c r="F97" i="52" a="1"/>
  <c r="F97" i="52" s="1"/>
  <c r="K41" i="49"/>
  <c r="K11" i="49" s="1"/>
  <c r="M398" i="49"/>
  <c r="M286" i="49" s="1"/>
  <c r="G96" i="80" a="1"/>
  <c r="G96" i="80" s="1"/>
  <c r="O126" i="49"/>
  <c r="N369" i="49"/>
  <c r="J176" i="63"/>
  <c r="N367" i="49"/>
  <c r="N368" i="49" s="1" a="1"/>
  <c r="N368" i="49" s="1"/>
  <c r="N397" i="49"/>
  <c r="O127" i="49"/>
  <c r="O61" i="49" s="1"/>
  <c r="P61" i="49" s="1"/>
  <c r="Q61" i="49" s="1"/>
  <c r="L410" i="49"/>
  <c r="K369" i="49"/>
  <c r="H323" i="44"/>
  <c r="I139" i="51" a="1"/>
  <c r="I139" i="51" s="1"/>
  <c r="J45" i="63"/>
  <c r="E40" i="80"/>
  <c r="H345" i="44"/>
  <c r="H346" i="44" s="1" a="1"/>
  <c r="H346" i="44" s="1"/>
  <c r="F96" i="84" a="1"/>
  <c r="F96" i="84" s="1"/>
  <c r="K398" i="49"/>
  <c r="K286" i="49" s="1"/>
  <c r="L269" i="49"/>
  <c r="L270" i="49" s="1"/>
  <c r="L271" i="49" s="1"/>
  <c r="H337" i="44"/>
  <c r="H338" i="44" s="1" a="1"/>
  <c r="H338" i="44" s="1"/>
  <c r="H330" i="44"/>
  <c r="L333" i="49"/>
  <c r="L280" i="49" s="1"/>
  <c r="L279" i="49" s="1"/>
  <c r="J129" i="44"/>
  <c r="J130" i="44" s="1" a="1"/>
  <c r="J130" i="44" s="1"/>
  <c r="J131" i="44" s="1"/>
  <c r="M162" i="49"/>
  <c r="M163" i="49" s="1" a="1"/>
  <c r="M163" i="49" s="1"/>
  <c r="H368" i="44"/>
  <c r="H382" i="44"/>
  <c r="H383" i="44" s="1" a="1"/>
  <c r="H383" i="44" s="1"/>
  <c r="O437" i="49"/>
  <c r="O290" i="49" s="1"/>
  <c r="O434" i="49"/>
  <c r="O435" i="49" s="1" a="1"/>
  <c r="O435" i="49" s="1"/>
  <c r="L247" i="49"/>
  <c r="I184" i="63" s="1"/>
  <c r="H175" i="63"/>
  <c r="K269" i="49"/>
  <c r="K270" i="49" s="1"/>
  <c r="N165" i="49"/>
  <c r="N64" i="49" s="1"/>
  <c r="N162" i="49"/>
  <c r="N163" i="49" s="1" a="1"/>
  <c r="N163" i="49" s="1"/>
  <c r="I47" i="63"/>
  <c r="I61" i="52"/>
  <c r="H36" i="52" s="1"/>
  <c r="I33" i="51" a="1"/>
  <c r="I33" i="51" s="1"/>
  <c r="I68" i="51" s="1" a="1"/>
  <c r="I68" i="51" s="1"/>
  <c r="L356" i="49"/>
  <c r="L357" i="49" s="1"/>
  <c r="G34" i="51" a="1"/>
  <c r="G34" i="51" s="1"/>
  <c r="G69" i="51" s="1" a="1"/>
  <c r="G69" i="51" s="1"/>
  <c r="J177" i="63"/>
  <c r="L46" i="63"/>
  <c r="K434" i="49"/>
  <c r="K435" i="49" s="1" a="1"/>
  <c r="K435" i="49" s="1"/>
  <c r="I60" i="80"/>
  <c r="H36" i="80" s="1"/>
  <c r="K139" i="51" a="1"/>
  <c r="K139" i="51" s="1"/>
  <c r="K437" i="49"/>
  <c r="K290" i="49" s="1"/>
  <c r="O51" i="49"/>
  <c r="O52" i="49" s="1"/>
  <c r="O369" i="49"/>
  <c r="M369" i="49"/>
  <c r="T139" i="51" a="1"/>
  <c r="T139" i="51" s="1"/>
  <c r="O367" i="49"/>
  <c r="O368" i="49" s="1" a="1"/>
  <c r="O368" i="49" s="1"/>
  <c r="J44" i="63"/>
  <c r="N333" i="49"/>
  <c r="N280" i="49" s="1"/>
  <c r="N434" i="49"/>
  <c r="N435" i="49" s="1" a="1"/>
  <c r="N435" i="49" s="1"/>
  <c r="N332" i="49"/>
  <c r="N436" i="49"/>
  <c r="R139" i="51" a="1"/>
  <c r="R139" i="51" s="1"/>
  <c r="M384" i="49"/>
  <c r="M284" i="49" s="1"/>
  <c r="J174" i="63"/>
  <c r="O333" i="49"/>
  <c r="O280" i="49" s="1"/>
  <c r="O424" i="49"/>
  <c r="O289" i="49" s="1"/>
  <c r="O423" i="49"/>
  <c r="O330" i="49"/>
  <c r="O331" i="49" s="1" a="1"/>
  <c r="O331" i="49" s="1"/>
  <c r="H45" i="63"/>
  <c r="U139" i="51" a="1"/>
  <c r="U139" i="51" s="1"/>
  <c r="P96" i="80" a="1"/>
  <c r="P96" i="80" s="1"/>
  <c r="E97" i="52" a="1"/>
  <c r="E97" i="52" s="1"/>
  <c r="H48" i="63"/>
  <c r="Q60" i="84"/>
  <c r="H35" i="84" s="1"/>
  <c r="N421" i="49"/>
  <c r="N422" i="49" s="1" a="1"/>
  <c r="N422" i="49" s="1"/>
  <c r="H44" i="63"/>
  <c r="M126" i="49"/>
  <c r="O61" i="84"/>
  <c r="O62" i="84" s="1"/>
  <c r="Q60" i="80"/>
  <c r="H35" i="80" s="1"/>
  <c r="M124" i="49"/>
  <c r="M125" i="49" s="1" a="1"/>
  <c r="M125" i="49" s="1"/>
  <c r="D97" i="52" a="1"/>
  <c r="D97" i="52" s="1"/>
  <c r="T66" i="51" a="1"/>
  <c r="T66" i="51" s="1"/>
  <c r="M62" i="52"/>
  <c r="M63" i="52" s="1"/>
  <c r="K45" i="63"/>
  <c r="L383" i="49"/>
  <c r="M395" i="49"/>
  <c r="M396" i="49" s="1" a="1"/>
  <c r="M396" i="49" s="1"/>
  <c r="L177" i="63"/>
  <c r="P67" i="49"/>
  <c r="Q67" i="49" s="1"/>
  <c r="M330" i="49"/>
  <c r="M331" i="49" s="1" a="1"/>
  <c r="M331" i="49" s="1"/>
  <c r="M436" i="49"/>
  <c r="M434" i="49"/>
  <c r="M435" i="49" s="1" a="1"/>
  <c r="M435" i="49" s="1"/>
  <c r="J47" i="63"/>
  <c r="K176" i="63"/>
  <c r="M333" i="49"/>
  <c r="M280" i="49" s="1"/>
  <c r="K177" i="63"/>
  <c r="K175" i="63"/>
  <c r="O96" i="84" a="1"/>
  <c r="O96" i="84" s="1"/>
  <c r="K330" i="49"/>
  <c r="K331" i="49" s="1" a="1"/>
  <c r="K331" i="49" s="1"/>
  <c r="E96" i="84" a="1"/>
  <c r="E96" i="84" s="1"/>
  <c r="K333" i="49"/>
  <c r="K280" i="49" s="1"/>
  <c r="L45" i="63"/>
  <c r="U66" i="51" a="1"/>
  <c r="U66" i="51" s="1"/>
  <c r="O61" i="80"/>
  <c r="O62" i="80" s="1"/>
  <c r="N381" i="49"/>
  <c r="N382" i="49" s="1" a="1"/>
  <c r="N382" i="49" s="1"/>
  <c r="H96" i="80" a="1"/>
  <c r="H96" i="80" s="1"/>
  <c r="Q58" i="84"/>
  <c r="N288" i="49"/>
  <c r="N293" i="49" s="1"/>
  <c r="I45" i="63"/>
  <c r="Q38" i="51" a="1"/>
  <c r="Q38" i="51" s="1"/>
  <c r="Q73" i="51" s="1" a="1"/>
  <c r="Q73" i="51" s="1"/>
  <c r="K347" i="49"/>
  <c r="K281" i="49" s="1"/>
  <c r="D96" i="80" a="1"/>
  <c r="D96" i="80" s="1"/>
  <c r="I46" i="63"/>
  <c r="K346" i="49"/>
  <c r="Q66" i="51" a="1"/>
  <c r="Q66" i="51" s="1"/>
  <c r="L367" i="49"/>
  <c r="L368" i="49" s="1" a="1"/>
  <c r="L368" i="49" s="1"/>
  <c r="L174" i="63"/>
  <c r="K33" i="51" a="1"/>
  <c r="K33" i="51" s="1"/>
  <c r="K68" i="51" s="1" a="1"/>
  <c r="K68" i="51" s="1"/>
  <c r="L369" i="49"/>
  <c r="H38" i="51" a="1"/>
  <c r="H38" i="51" s="1"/>
  <c r="G74" i="51" a="1"/>
  <c r="G74" i="51" s="1"/>
  <c r="M381" i="49"/>
  <c r="M382" i="49" s="1" a="1"/>
  <c r="M382" i="49" s="1"/>
  <c r="L424" i="49"/>
  <c r="L289" i="49" s="1"/>
  <c r="E96" i="80" a="1"/>
  <c r="E96" i="80" s="1"/>
  <c r="I44" i="63"/>
  <c r="P61" i="84"/>
  <c r="P62" i="84" s="1"/>
  <c r="Q61" i="52"/>
  <c r="H35" i="52" s="1"/>
  <c r="L423" i="49"/>
  <c r="L175" i="63"/>
  <c r="M423" i="49"/>
  <c r="I48" i="63"/>
  <c r="H33" i="51" a="1"/>
  <c r="H33" i="51" s="1"/>
  <c r="H68" i="51" s="1" a="1"/>
  <c r="H68" i="51" s="1"/>
  <c r="J66" i="51" a="1"/>
  <c r="J66" i="51" s="1"/>
  <c r="H177" i="63"/>
  <c r="M421" i="49"/>
  <c r="M422" i="49" s="1" a="1"/>
  <c r="M422" i="49" s="1"/>
  <c r="K48" i="63"/>
  <c r="J33" i="51" a="1"/>
  <c r="J33" i="51" s="1"/>
  <c r="J68" i="51" s="1" a="1"/>
  <c r="J68" i="51" s="1"/>
  <c r="J46" i="63"/>
  <c r="H47" i="63"/>
  <c r="Q139" i="51" a="1"/>
  <c r="Q139" i="51" s="1"/>
  <c r="I177" i="63"/>
  <c r="L384" i="49"/>
  <c r="L284" i="49" s="1"/>
  <c r="L282" i="49" s="1"/>
  <c r="N411" i="49"/>
  <c r="N287" i="49" s="1"/>
  <c r="N285" i="49" s="1"/>
  <c r="N292" i="49" s="1"/>
  <c r="I136" i="44"/>
  <c r="I137" i="44" s="1" a="1"/>
  <c r="I137" i="44" s="1"/>
  <c r="I138" i="44" s="1"/>
  <c r="I139" i="44" s="1"/>
  <c r="M343" i="49"/>
  <c r="M346" i="49" s="1"/>
  <c r="H37" i="51" a="1"/>
  <c r="H37" i="51" s="1"/>
  <c r="H72" i="51" s="1" a="1"/>
  <c r="H72" i="51" s="1"/>
  <c r="N410" i="49"/>
  <c r="I121" i="44"/>
  <c r="I122" i="44" s="1" a="1"/>
  <c r="I122" i="44" s="1"/>
  <c r="I123" i="44" s="1"/>
  <c r="I124" i="44" s="1"/>
  <c r="I114" i="44"/>
  <c r="I107" i="44"/>
  <c r="K47" i="63"/>
  <c r="R36" i="51" a="1"/>
  <c r="R36" i="51" s="1"/>
  <c r="E101" i="80" s="1" a="1"/>
  <c r="E101" i="80" s="1"/>
  <c r="E63" i="80" s="1"/>
  <c r="H46" i="63"/>
  <c r="L47" i="63"/>
  <c r="K44" i="63"/>
  <c r="N383" i="49"/>
  <c r="L96" i="84" a="1"/>
  <c r="L96" i="84" s="1"/>
  <c r="K282" i="49"/>
  <c r="D62" i="52"/>
  <c r="D63" i="52" s="1"/>
  <c r="F61" i="80"/>
  <c r="F62" i="80" s="1"/>
  <c r="K383" i="49"/>
  <c r="N282" i="49"/>
  <c r="K381" i="49"/>
  <c r="K382" i="49" s="1" a="1"/>
  <c r="K382" i="49" s="1"/>
  <c r="I176" i="63"/>
  <c r="D61" i="84"/>
  <c r="D62" i="84" s="1"/>
  <c r="D61" i="80"/>
  <c r="D62" i="80" s="1"/>
  <c r="Q58" i="80"/>
  <c r="M411" i="49"/>
  <c r="M287" i="49" s="1"/>
  <c r="M408" i="49"/>
  <c r="M409" i="49" s="1" a="1"/>
  <c r="M409" i="49" s="1"/>
  <c r="M410" i="49"/>
  <c r="K106" i="51" a="1"/>
  <c r="K106" i="51" s="1"/>
  <c r="K141" i="51" s="1" a="1"/>
  <c r="K141" i="51" s="1"/>
  <c r="L178" i="63"/>
  <c r="H174" i="63"/>
  <c r="J103" i="63"/>
  <c r="I39" i="51" a="1"/>
  <c r="I39" i="51" s="1"/>
  <c r="I74" i="51" s="1" a="1"/>
  <c r="I74" i="51" s="1"/>
  <c r="I100" i="63"/>
  <c r="H36" i="51" a="1"/>
  <c r="H36" i="51" s="1"/>
  <c r="T36" i="51" a="1"/>
  <c r="T36" i="51" s="1"/>
  <c r="G37" i="51" a="1"/>
  <c r="G37" i="51" s="1"/>
  <c r="G72" i="51" s="1" a="1"/>
  <c r="G72" i="51" s="1"/>
  <c r="H104" i="63"/>
  <c r="H102" i="63"/>
  <c r="G35" i="51" a="1"/>
  <c r="G35" i="51" s="1"/>
  <c r="U38" i="51" a="1"/>
  <c r="U38" i="51" s="1"/>
  <c r="U73" i="51" s="1" a="1"/>
  <c r="U73" i="51" s="1"/>
  <c r="I178" i="63"/>
  <c r="H106" i="51" a="1"/>
  <c r="H106" i="51" s="1"/>
  <c r="H141" i="51" s="1" a="1"/>
  <c r="H141" i="51" s="1"/>
  <c r="J122" i="63"/>
  <c r="S38" i="51" a="1"/>
  <c r="S38" i="51" s="1"/>
  <c r="S73" i="51" s="1" a="1"/>
  <c r="S73" i="51" s="1"/>
  <c r="H120" i="63"/>
  <c r="Q35" i="51" a="1"/>
  <c r="Q35" i="51" s="1"/>
  <c r="L118" i="63"/>
  <c r="U36" i="51" a="1"/>
  <c r="U36" i="51" s="1"/>
  <c r="I121" i="63"/>
  <c r="R37" i="51" a="1"/>
  <c r="R37" i="51" s="1"/>
  <c r="R72" i="51" s="1" a="1"/>
  <c r="R72" i="51" s="1"/>
  <c r="T38" i="51" a="1"/>
  <c r="T38" i="51" s="1"/>
  <c r="T73" i="51" s="1" a="1"/>
  <c r="T73" i="51" s="1"/>
  <c r="K122" i="63"/>
  <c r="N96" i="80" a="1"/>
  <c r="N96" i="80" s="1"/>
  <c r="K121" i="63"/>
  <c r="T37" i="51" a="1"/>
  <c r="T37" i="51" s="1"/>
  <c r="T72" i="51" s="1" a="1"/>
  <c r="T72" i="51" s="1"/>
  <c r="I37" i="51" a="1"/>
  <c r="I37" i="51" s="1"/>
  <c r="I72" i="51" s="1" a="1"/>
  <c r="I72" i="51" s="1"/>
  <c r="H104" i="51" a="1"/>
  <c r="H104" i="51" s="1"/>
  <c r="I174" i="63"/>
  <c r="G106" i="51" a="1"/>
  <c r="G106" i="51" s="1"/>
  <c r="G141" i="51" s="1" a="1"/>
  <c r="G141" i="51" s="1"/>
  <c r="H178" i="63"/>
  <c r="K411" i="49"/>
  <c r="K287" i="49" s="1"/>
  <c r="K408" i="49"/>
  <c r="K409" i="49" s="1" a="1"/>
  <c r="K409" i="49" s="1"/>
  <c r="K410" i="49"/>
  <c r="M339" i="49"/>
  <c r="H121" i="63"/>
  <c r="Q37" i="51" a="1"/>
  <c r="Q37" i="51" s="1"/>
  <c r="Q72" i="51" s="1" a="1"/>
  <c r="Q72" i="51" s="1"/>
  <c r="J175" i="63"/>
  <c r="L97" i="52" a="1"/>
  <c r="L97" i="52" s="1"/>
  <c r="S139" i="51" a="1"/>
  <c r="S139" i="51" s="1"/>
  <c r="K39" i="51" a="1"/>
  <c r="K39" i="51" s="1"/>
  <c r="K74" i="51" s="1" a="1"/>
  <c r="K74" i="51" s="1"/>
  <c r="J106" i="51" a="1"/>
  <c r="J106" i="51" s="1"/>
  <c r="J141" i="51" s="1" a="1"/>
  <c r="J141" i="51" s="1"/>
  <c r="K178" i="63"/>
  <c r="Q34" i="51" a="1"/>
  <c r="Q34" i="51" s="1"/>
  <c r="K100" i="63"/>
  <c r="J36" i="51" a="1"/>
  <c r="J36" i="51" s="1"/>
  <c r="L176" i="63"/>
  <c r="L105" i="63"/>
  <c r="K38" i="51" a="1"/>
  <c r="K38" i="51" s="1"/>
  <c r="K73" i="51" s="1" a="1"/>
  <c r="K73" i="51" s="1"/>
  <c r="M96" i="80" a="1"/>
  <c r="M96" i="80" s="1"/>
  <c r="H176" i="63"/>
  <c r="I122" i="63"/>
  <c r="R38" i="51" a="1"/>
  <c r="R38" i="51" s="1"/>
  <c r="R73" i="51" s="1" a="1"/>
  <c r="R73" i="51" s="1"/>
  <c r="H39" i="51" a="1"/>
  <c r="H39" i="51" s="1"/>
  <c r="H74" i="51" s="1" a="1"/>
  <c r="H74" i="51" s="1"/>
  <c r="J118" i="63"/>
  <c r="S36" i="51" a="1"/>
  <c r="S36" i="51" s="1"/>
  <c r="H105" i="63"/>
  <c r="G38" i="51" a="1"/>
  <c r="G38" i="51" s="1"/>
  <c r="G73" i="51" s="1" a="1"/>
  <c r="G73" i="51" s="1"/>
  <c r="O383" i="49"/>
  <c r="O384" i="49"/>
  <c r="O284" i="49" s="1"/>
  <c r="O282" i="49" s="1"/>
  <c r="O381" i="49"/>
  <c r="O382" i="49" s="1" a="1"/>
  <c r="O382" i="49" s="1"/>
  <c r="K103" i="63"/>
  <c r="J39" i="51" a="1"/>
  <c r="J39" i="51" s="1"/>
  <c r="J74" i="51" s="1" a="1"/>
  <c r="J74" i="51" s="1"/>
  <c r="K36" i="51" a="1"/>
  <c r="K36" i="51" s="1"/>
  <c r="J314" i="49"/>
  <c r="O339" i="49" s="1"/>
  <c r="J100" i="63"/>
  <c r="I36" i="51" a="1"/>
  <c r="I36" i="51" s="1"/>
  <c r="J121" i="63"/>
  <c r="S37" i="51" a="1"/>
  <c r="S37" i="51" s="1"/>
  <c r="S72" i="51" s="1" a="1"/>
  <c r="S72" i="51" s="1"/>
  <c r="L121" i="63"/>
  <c r="U37" i="51" a="1"/>
  <c r="U37" i="51" s="1"/>
  <c r="U72" i="51" s="1" a="1"/>
  <c r="U72" i="51" s="1"/>
  <c r="K105" i="63"/>
  <c r="J38" i="51" a="1"/>
  <c r="J38" i="51" s="1"/>
  <c r="J73" i="51" s="1" a="1"/>
  <c r="J73" i="51" s="1"/>
  <c r="K104" i="63"/>
  <c r="J37" i="51" a="1"/>
  <c r="J37" i="51" s="1"/>
  <c r="J72" i="51" s="1" a="1"/>
  <c r="J72" i="51" s="1"/>
  <c r="L104" i="63"/>
  <c r="K37" i="51" a="1"/>
  <c r="K37" i="51" s="1"/>
  <c r="K72" i="51" s="1" a="1"/>
  <c r="K72" i="51" s="1"/>
  <c r="Q55" i="84"/>
  <c r="D35" i="84" s="1"/>
  <c r="D40" i="84" s="1"/>
  <c r="I175" i="63"/>
  <c r="J178" i="63"/>
  <c r="I106" i="51" a="1"/>
  <c r="I106" i="51" s="1"/>
  <c r="I141" i="51" s="1" a="1"/>
  <c r="I141" i="51" s="1"/>
  <c r="J105" i="63"/>
  <c r="I38" i="51" a="1"/>
  <c r="I38" i="51" s="1"/>
  <c r="I73" i="51" s="1" a="1"/>
  <c r="I73" i="51" s="1"/>
  <c r="P70" i="49"/>
  <c r="Q70" i="49" s="1"/>
  <c r="E35" i="52"/>
  <c r="P62" i="52"/>
  <c r="P63" i="52" s="1"/>
  <c r="M61" i="80"/>
  <c r="M62" i="80" s="1"/>
  <c r="O62" i="52"/>
  <c r="M61" i="84"/>
  <c r="M62" i="84" s="1"/>
  <c r="M41" i="49"/>
  <c r="M11" i="49" s="1"/>
  <c r="N246" i="49"/>
  <c r="N247" i="49" s="1"/>
  <c r="K246" i="49"/>
  <c r="K247" i="49" s="1"/>
  <c r="O161" i="49"/>
  <c r="O162" i="49" s="1"/>
  <c r="O163" i="49" s="1" a="1"/>
  <c r="O163" i="49" s="1"/>
  <c r="K259" i="49"/>
  <c r="K260" i="49" s="1"/>
  <c r="L272" i="49"/>
  <c r="L273" i="49" s="1"/>
  <c r="L231" i="49" s="1"/>
  <c r="M272" i="49"/>
  <c r="M273" i="49" s="1"/>
  <c r="M231" i="49" s="1"/>
  <c r="L260" i="49"/>
  <c r="L27" i="49"/>
  <c r="L28" i="49" s="1"/>
  <c r="L10" i="49" s="1"/>
  <c r="O247" i="49"/>
  <c r="O273" i="49"/>
  <c r="O231" i="49" s="1"/>
  <c r="J184" i="63" a="1"/>
  <c r="J184" i="63" s="1"/>
  <c r="M229" i="49"/>
  <c r="N39" i="49"/>
  <c r="N40" i="49" s="1"/>
  <c r="N41" i="49" s="1"/>
  <c r="N11" i="49" s="1"/>
  <c r="S130" i="51" a="1"/>
  <c r="S130" i="51" s="1"/>
  <c r="S84" i="51" a="1"/>
  <c r="S84" i="51" s="1"/>
  <c r="M260" i="49"/>
  <c r="N26" i="49"/>
  <c r="N27" i="49" s="1"/>
  <c r="N28" i="49" s="1"/>
  <c r="N10" i="49" s="1"/>
  <c r="O26" i="49"/>
  <c r="O27" i="49" s="1"/>
  <c r="O28" i="49" s="1"/>
  <c r="O10" i="49" s="1"/>
  <c r="I56" i="51" a="1"/>
  <c r="I56" i="51" s="1"/>
  <c r="I10" i="51" a="1"/>
  <c r="I10" i="51" s="1"/>
  <c r="G85" i="51" a="1"/>
  <c r="G85" i="51" s="1"/>
  <c r="G131" i="51" a="1"/>
  <c r="G131" i="51" s="1"/>
  <c r="M27" i="49"/>
  <c r="M28" i="49" s="1"/>
  <c r="M10" i="49" s="1"/>
  <c r="O258" i="49"/>
  <c r="O259" i="49" s="1"/>
  <c r="N272" i="49"/>
  <c r="N273" i="49" s="1"/>
  <c r="N231" i="49" s="1"/>
  <c r="O39" i="49"/>
  <c r="K10" i="51" a="1"/>
  <c r="K10" i="51" s="1"/>
  <c r="K56" i="51" a="1"/>
  <c r="K56" i="51" s="1"/>
  <c r="Q56" i="52"/>
  <c r="H83" i="51" a="1"/>
  <c r="H83" i="51" s="1"/>
  <c r="H129" i="51" a="1"/>
  <c r="H129" i="51" s="1"/>
  <c r="U130" i="51" a="1"/>
  <c r="U130" i="51" s="1"/>
  <c r="U84" i="51" a="1"/>
  <c r="U84" i="51" s="1"/>
  <c r="I129" i="51" a="1"/>
  <c r="I129" i="51" s="1"/>
  <c r="I83" i="51" a="1"/>
  <c r="I83" i="51" s="1"/>
  <c r="I84" i="51" a="1"/>
  <c r="I84" i="51" s="1"/>
  <c r="I130" i="51" a="1"/>
  <c r="I130" i="51" s="1"/>
  <c r="M288" i="49"/>
  <c r="M293" i="49" s="1"/>
  <c r="T57" i="51" a="1"/>
  <c r="T57" i="51" s="1"/>
  <c r="T11" i="51" a="1"/>
  <c r="T11" i="51" s="1"/>
  <c r="Q58" i="51" a="1"/>
  <c r="Q58" i="51" s="1"/>
  <c r="Q12" i="51" a="1"/>
  <c r="Q12" i="51" s="1"/>
  <c r="N260" i="49"/>
  <c r="T129" i="51" a="1"/>
  <c r="T129" i="51" s="1"/>
  <c r="T83" i="51" a="1"/>
  <c r="T83" i="51" s="1"/>
  <c r="J83" i="51" a="1"/>
  <c r="J83" i="51" s="1"/>
  <c r="J129" i="51" a="1"/>
  <c r="J129" i="51" s="1"/>
  <c r="T130" i="51" a="1"/>
  <c r="T130" i="51" s="1"/>
  <c r="T84" i="51" a="1"/>
  <c r="T84" i="51" s="1"/>
  <c r="Q59" i="52"/>
  <c r="S46" i="51"/>
  <c r="H119" i="51"/>
  <c r="U118" i="51"/>
  <c r="K118" i="51"/>
  <c r="J119" i="51"/>
  <c r="Q120" i="51"/>
  <c r="F62" i="84"/>
  <c r="K124" i="44"/>
  <c r="U23" i="51" s="1"/>
  <c r="G333" i="44"/>
  <c r="G95" i="51" s="1"/>
  <c r="K132" i="44"/>
  <c r="U25" i="51" s="1"/>
  <c r="T45" i="51"/>
  <c r="S118" i="51"/>
  <c r="R45" i="51"/>
  <c r="S45" i="51"/>
  <c r="U45" i="51"/>
  <c r="K46" i="51"/>
  <c r="K355" i="44"/>
  <c r="K356" i="44" s="1" a="1"/>
  <c r="K356" i="44" s="1"/>
  <c r="H94" i="44"/>
  <c r="H95" i="44" s="1" a="1"/>
  <c r="H95" i="44" s="1"/>
  <c r="R46" i="51"/>
  <c r="I46" i="51"/>
  <c r="J46" i="51"/>
  <c r="R118" i="51"/>
  <c r="K138" i="44"/>
  <c r="K139" i="44" s="1"/>
  <c r="U46" i="51"/>
  <c r="H46" i="51"/>
  <c r="R119" i="51"/>
  <c r="I400" i="44"/>
  <c r="S99" i="51" s="1"/>
  <c r="G47" i="51"/>
  <c r="J87" i="44"/>
  <c r="J25" i="51" s="1"/>
  <c r="J45" i="51"/>
  <c r="G73" i="44" a="1"/>
  <c r="G73" i="44" s="1"/>
  <c r="S25" i="51"/>
  <c r="I133" i="44" a="1"/>
  <c r="I133" i="44" s="1"/>
  <c r="U99" i="51"/>
  <c r="K401" i="44" a="1"/>
  <c r="K401" i="44" s="1"/>
  <c r="I99" i="51"/>
  <c r="I356" i="44" a="1"/>
  <c r="I356" i="44" s="1"/>
  <c r="H100" i="51"/>
  <c r="H363" i="44" a="1"/>
  <c r="H363" i="44" s="1"/>
  <c r="Q22" i="51"/>
  <c r="G118" i="44" a="1"/>
  <c r="G118" i="44" s="1"/>
  <c r="Q26" i="51"/>
  <c r="G140" i="44" a="1"/>
  <c r="G140" i="44" s="1"/>
  <c r="G349" i="44" a="1"/>
  <c r="G349" i="44" s="1"/>
  <c r="H99" i="51"/>
  <c r="H356" i="44" a="1"/>
  <c r="H356" i="44" s="1"/>
  <c r="Q94" i="51"/>
  <c r="G372" i="44" a="1"/>
  <c r="G372" i="44" s="1"/>
  <c r="G26" i="51"/>
  <c r="G95" i="44" a="1"/>
  <c r="G95" i="44" s="1"/>
  <c r="K119" i="51"/>
  <c r="I383" i="44" a="1"/>
  <c r="I383" i="44" s="1"/>
  <c r="K339" i="44"/>
  <c r="K340" i="44" s="1"/>
  <c r="G63" i="44" a="1"/>
  <c r="G63" i="44" s="1"/>
  <c r="K85" i="44" a="1"/>
  <c r="K85" i="44" s="1"/>
  <c r="K305" i="44" a="1"/>
  <c r="K305" i="44" s="1"/>
  <c r="H19" i="44" a="1"/>
  <c r="H19" i="44" s="1"/>
  <c r="H20" i="44" s="1"/>
  <c r="G132" i="44"/>
  <c r="K101" i="44"/>
  <c r="J98" i="51"/>
  <c r="J349" i="44" a="1"/>
  <c r="J349" i="44" s="1"/>
  <c r="H44" i="44" a="1"/>
  <c r="H44" i="44" s="1"/>
  <c r="H45" i="44" s="1"/>
  <c r="H46" i="44" s="1"/>
  <c r="H47" i="44" s="1"/>
  <c r="I280" i="44" a="1"/>
  <c r="I280" i="44" s="1"/>
  <c r="I281" i="44" s="1"/>
  <c r="I282" i="44" s="1"/>
  <c r="I283" i="44" s="1"/>
  <c r="G280" i="44" a="1"/>
  <c r="G280" i="44" s="1"/>
  <c r="G281" i="44" s="1"/>
  <c r="G282" i="44" s="1"/>
  <c r="G283" i="44" s="1"/>
  <c r="H288" i="44" a="1"/>
  <c r="H288" i="44" s="1"/>
  <c r="H289" i="44" s="1"/>
  <c r="F35" i="52"/>
  <c r="H305" i="44" a="1"/>
  <c r="H305" i="44" s="1"/>
  <c r="J305" i="44" a="1"/>
  <c r="J305" i="44" s="1"/>
  <c r="J306" i="44" s="1"/>
  <c r="H36" i="44" a="1"/>
  <c r="H36" i="44" s="1"/>
  <c r="H37" i="44" s="1"/>
  <c r="H38" i="44" s="1"/>
  <c r="H39" i="44" s="1"/>
  <c r="K92" i="44" a="1"/>
  <c r="K92" i="44" s="1"/>
  <c r="K93" i="44" s="1"/>
  <c r="H63" i="52"/>
  <c r="J391" i="44" a="1"/>
  <c r="J391" i="44" s="1"/>
  <c r="J392" i="44" s="1"/>
  <c r="J393" i="44" s="1"/>
  <c r="G19" i="44" a="1"/>
  <c r="G19" i="44" s="1"/>
  <c r="G20" i="44" s="1"/>
  <c r="H297" i="44" a="1"/>
  <c r="H297" i="44" s="1"/>
  <c r="H298" i="44" s="1"/>
  <c r="H299" i="44" s="1"/>
  <c r="H300" i="44" s="1"/>
  <c r="J123" i="44"/>
  <c r="J124" i="44" s="1"/>
  <c r="K288" i="44" a="1"/>
  <c r="K288" i="44" s="1"/>
  <c r="J19" i="44" a="1"/>
  <c r="J19" i="44" s="1"/>
  <c r="J20" i="44" s="1"/>
  <c r="J21" i="44" s="1"/>
  <c r="J22" i="44" s="1"/>
  <c r="K77" i="44" a="1"/>
  <c r="K77" i="44" s="1"/>
  <c r="K78" i="44" s="1"/>
  <c r="I93" i="44"/>
  <c r="I94" i="44" s="1"/>
  <c r="H77" i="44" a="1"/>
  <c r="H77" i="44" s="1"/>
  <c r="H78" i="44" s="1"/>
  <c r="I79" i="44"/>
  <c r="I362" i="44"/>
  <c r="I87" i="44"/>
  <c r="J27" i="44" a="1"/>
  <c r="J27" i="44" s="1"/>
  <c r="I27" i="44" a="1"/>
  <c r="I27" i="44" s="1"/>
  <c r="K44" i="44" a="1"/>
  <c r="K44" i="44" s="1"/>
  <c r="K45" i="44" s="1"/>
  <c r="I99" i="44" a="1"/>
  <c r="I99" i="44" s="1"/>
  <c r="I100" i="44" s="1"/>
  <c r="G305" i="44" a="1"/>
  <c r="G305" i="44" s="1"/>
  <c r="G306" i="44" s="1"/>
  <c r="G307" i="44" s="1"/>
  <c r="G308" i="44" s="1"/>
  <c r="H280" i="44" a="1"/>
  <c r="H280" i="44" s="1"/>
  <c r="J288" i="44" a="1"/>
  <c r="J288" i="44" s="1"/>
  <c r="J289" i="44" s="1"/>
  <c r="I288" i="44" a="1"/>
  <c r="I288" i="44" s="1"/>
  <c r="J36" i="44" a="1"/>
  <c r="J36" i="44" s="1"/>
  <c r="J37" i="44" s="1"/>
  <c r="J38" i="44" s="1"/>
  <c r="J39" i="44" s="1"/>
  <c r="G27" i="44" a="1"/>
  <c r="G27" i="44" s="1"/>
  <c r="G28" i="44" s="1"/>
  <c r="G29" i="44" s="1"/>
  <c r="G30" i="44" s="1"/>
  <c r="I44" i="44" a="1"/>
  <c r="I44" i="44" s="1"/>
  <c r="K27" i="44" a="1"/>
  <c r="K27" i="44" s="1"/>
  <c r="K28" i="44" s="1"/>
  <c r="H99" i="44" a="1"/>
  <c r="H99" i="44" s="1"/>
  <c r="H100" i="44" s="1"/>
  <c r="G297" i="44" a="1"/>
  <c r="G297" i="44" s="1"/>
  <c r="J360" i="44" a="1"/>
  <c r="J360" i="44" s="1"/>
  <c r="G85" i="44" a="1"/>
  <c r="G85" i="44" s="1"/>
  <c r="G86" i="44" s="1"/>
  <c r="I297" i="44" a="1"/>
  <c r="I297" i="44" s="1"/>
  <c r="I298" i="44" s="1"/>
  <c r="I299" i="44" s="1"/>
  <c r="I300" i="44" s="1"/>
  <c r="J44" i="44" a="1"/>
  <c r="J44" i="44" s="1"/>
  <c r="J45" i="44" s="1"/>
  <c r="J46" i="44" s="1"/>
  <c r="J47" i="44" s="1"/>
  <c r="G110" i="44"/>
  <c r="N63" i="52"/>
  <c r="G44" i="44" a="1"/>
  <c r="G44" i="44" s="1"/>
  <c r="I19" i="44" a="1"/>
  <c r="I19" i="44" s="1"/>
  <c r="I20" i="44" s="1"/>
  <c r="K36" i="44" a="1"/>
  <c r="K36" i="44" s="1"/>
  <c r="K37" i="44" s="1"/>
  <c r="J139" i="44"/>
  <c r="G288" i="44" a="1"/>
  <c r="G288" i="44" s="1"/>
  <c r="G289" i="44" s="1"/>
  <c r="H27" i="44" a="1"/>
  <c r="H27" i="44" s="1"/>
  <c r="H28" i="44" s="1"/>
  <c r="H29" i="44" s="1"/>
  <c r="H30" i="44" s="1"/>
  <c r="J338" i="44" a="1"/>
  <c r="J338" i="44" s="1"/>
  <c r="J339" i="44" s="1"/>
  <c r="J340" i="44" s="1"/>
  <c r="I305" i="44" a="1"/>
  <c r="I305" i="44" s="1"/>
  <c r="I306" i="44" s="1"/>
  <c r="I307" i="44" s="1"/>
  <c r="I308" i="44" s="1"/>
  <c r="G36" i="44" a="1"/>
  <c r="G36" i="44" s="1"/>
  <c r="I36" i="44" a="1"/>
  <c r="I36" i="44" s="1"/>
  <c r="K19" i="44" a="1"/>
  <c r="K19" i="44" s="1"/>
  <c r="I391" i="44" a="1"/>
  <c r="I391" i="44" s="1"/>
  <c r="I392" i="44" s="1"/>
  <c r="I393" i="44" s="1"/>
  <c r="G99" i="44" a="1"/>
  <c r="G99" i="44" s="1"/>
  <c r="G100" i="44" s="1"/>
  <c r="G101" i="44" s="1"/>
  <c r="G27" i="51" s="1"/>
  <c r="G16" i="51" s="1" a="1"/>
  <c r="G16" i="51" s="1"/>
  <c r="B268" i="44"/>
  <c r="I349" i="44" l="1" a="1"/>
  <c r="I349" i="44" s="1"/>
  <c r="I96" i="51"/>
  <c r="H73" i="51" a="1"/>
  <c r="H73" i="51" s="1"/>
  <c r="K204" i="49"/>
  <c r="L113" i="49"/>
  <c r="L60" i="49" s="1"/>
  <c r="L59" i="49" s="1"/>
  <c r="K205" i="49"/>
  <c r="K69" i="49" s="1"/>
  <c r="K68" i="49" s="1"/>
  <c r="K73" i="49" s="1"/>
  <c r="L112" i="49"/>
  <c r="N204" i="49"/>
  <c r="K349" i="44" a="1"/>
  <c r="K349" i="44" s="1"/>
  <c r="N202" i="49"/>
  <c r="N203" i="49" s="1" a="1"/>
  <c r="N203" i="49" s="1"/>
  <c r="J356" i="44" a="1"/>
  <c r="J356" i="44" s="1"/>
  <c r="K362" i="44"/>
  <c r="K363" i="44" s="1" a="1"/>
  <c r="K363" i="44" s="1"/>
  <c r="Q98" i="51"/>
  <c r="Q133" i="51" s="1" a="1"/>
  <c r="Q133" i="51" s="1"/>
  <c r="K271" i="49"/>
  <c r="K272" i="49" s="1"/>
  <c r="K273" i="49" s="1"/>
  <c r="K231" i="49" s="1"/>
  <c r="P231" i="49" s="1"/>
  <c r="M151" i="49"/>
  <c r="M63" i="49" s="1"/>
  <c r="M62" i="49" s="1"/>
  <c r="H400" i="44"/>
  <c r="R99" i="51" s="1"/>
  <c r="G400" i="44"/>
  <c r="U96" i="51"/>
  <c r="U131" i="51" s="1" a="1"/>
  <c r="U131" i="51" s="1"/>
  <c r="L288" i="49"/>
  <c r="L293" i="49" s="1"/>
  <c r="N279" i="49"/>
  <c r="H88" i="44" a="1"/>
  <c r="H88" i="44" s="1"/>
  <c r="L151" i="49"/>
  <c r="L63" i="49" s="1"/>
  <c r="L62" i="49" s="1"/>
  <c r="O204" i="49"/>
  <c r="O112" i="49"/>
  <c r="G354" i="44"/>
  <c r="G355" i="44" s="1"/>
  <c r="M150" i="49"/>
  <c r="L148" i="49"/>
  <c r="L149" i="49" s="1" a="1"/>
  <c r="L149" i="49" s="1"/>
  <c r="O110" i="49"/>
  <c r="O111" i="49" s="1" a="1"/>
  <c r="O111" i="49" s="1"/>
  <c r="E64" i="80"/>
  <c r="O202" i="49"/>
  <c r="O203" i="49" s="1" a="1"/>
  <c r="O203" i="49" s="1"/>
  <c r="J132" i="44"/>
  <c r="T25" i="51" s="1"/>
  <c r="M282" i="49"/>
  <c r="P282" i="49" s="1"/>
  <c r="Q282" i="49" s="1"/>
  <c r="L285" i="49"/>
  <c r="L292" i="49" s="1"/>
  <c r="H132" i="44"/>
  <c r="H133" i="44" s="1" a="1"/>
  <c r="H133" i="44" s="1"/>
  <c r="H393" i="44"/>
  <c r="L229" i="49"/>
  <c r="N113" i="49"/>
  <c r="N60" i="49" s="1"/>
  <c r="N59" i="49" s="1"/>
  <c r="N112" i="49"/>
  <c r="N110" i="49"/>
  <c r="N111" i="49" s="1" a="1"/>
  <c r="N111" i="49" s="1"/>
  <c r="P286" i="49"/>
  <c r="Q286" i="49" s="1"/>
  <c r="G363" i="44" a="1"/>
  <c r="G363" i="44" s="1"/>
  <c r="L176" i="49"/>
  <c r="L177" i="49" s="1" a="1"/>
  <c r="L177" i="49" s="1"/>
  <c r="L178" i="49"/>
  <c r="K112" i="49"/>
  <c r="K113" i="49"/>
  <c r="K60" i="49" s="1"/>
  <c r="K110" i="49"/>
  <c r="K111" i="49" s="1" a="1"/>
  <c r="K111" i="49" s="1"/>
  <c r="M285" i="49"/>
  <c r="M292" i="49" s="1"/>
  <c r="M110" i="49"/>
  <c r="M111" i="49" s="1" a="1"/>
  <c r="M111" i="49" s="1"/>
  <c r="M113" i="49"/>
  <c r="M60" i="49" s="1"/>
  <c r="M59" i="49" s="1"/>
  <c r="H384" i="44"/>
  <c r="H385" i="44" s="1"/>
  <c r="R96" i="51" s="1"/>
  <c r="G378" i="44"/>
  <c r="Q95" i="51" s="1"/>
  <c r="M205" i="49"/>
  <c r="M69" i="49" s="1"/>
  <c r="M68" i="49" s="1"/>
  <c r="M73" i="49" s="1"/>
  <c r="M202" i="49"/>
  <c r="M203" i="49" s="1" a="1"/>
  <c r="M203" i="49" s="1"/>
  <c r="M204" i="49"/>
  <c r="O150" i="49"/>
  <c r="O151" i="49"/>
  <c r="O63" i="49" s="1"/>
  <c r="O148" i="49"/>
  <c r="O149" i="49" s="1" a="1"/>
  <c r="O149" i="49" s="1"/>
  <c r="L205" i="49"/>
  <c r="L69" i="49" s="1"/>
  <c r="L204" i="49"/>
  <c r="L202" i="49"/>
  <c r="L203" i="49" s="1" a="1"/>
  <c r="L203" i="49" s="1"/>
  <c r="O178" i="49"/>
  <c r="O179" i="49"/>
  <c r="O66" i="49" s="1"/>
  <c r="O65" i="49" s="1"/>
  <c r="O72" i="49" s="1"/>
  <c r="O176" i="49"/>
  <c r="O177" i="49" s="1" a="1"/>
  <c r="O177" i="49" s="1"/>
  <c r="K179" i="49"/>
  <c r="K66" i="49" s="1"/>
  <c r="K176" i="49"/>
  <c r="K177" i="49" s="1" a="1"/>
  <c r="K177" i="49" s="1"/>
  <c r="K178" i="49"/>
  <c r="N148" i="49"/>
  <c r="N149" i="49" s="1" a="1"/>
  <c r="N149" i="49" s="1"/>
  <c r="N151" i="49"/>
  <c r="N63" i="49" s="1"/>
  <c r="N62" i="49" s="1"/>
  <c r="N150" i="49"/>
  <c r="M176" i="49"/>
  <c r="M177" i="49" s="1" a="1"/>
  <c r="M177" i="49" s="1"/>
  <c r="M179" i="49"/>
  <c r="M66" i="49" s="1"/>
  <c r="M65" i="49" s="1"/>
  <c r="M72" i="49" s="1"/>
  <c r="M178" i="49"/>
  <c r="H40" i="84"/>
  <c r="O288" i="49"/>
  <c r="O293" i="49" s="1"/>
  <c r="N179" i="49"/>
  <c r="N66" i="49" s="1"/>
  <c r="N65" i="49" s="1"/>
  <c r="N72" i="49" s="1"/>
  <c r="N178" i="49"/>
  <c r="N176" i="49"/>
  <c r="N177" i="49" s="1" a="1"/>
  <c r="N177" i="49" s="1"/>
  <c r="K150" i="49"/>
  <c r="K151" i="49"/>
  <c r="K63" i="49" s="1"/>
  <c r="K148" i="49"/>
  <c r="K149" i="49" s="1" a="1"/>
  <c r="K149" i="49" s="1"/>
  <c r="U98" i="51"/>
  <c r="U133" i="51" s="1" a="1"/>
  <c r="U133" i="51" s="1"/>
  <c r="H339" i="44"/>
  <c r="H340" i="44" s="1"/>
  <c r="H96" i="51" s="1"/>
  <c r="H131" i="51" s="1" a="1"/>
  <c r="H131" i="51" s="1"/>
  <c r="O59" i="49"/>
  <c r="H40" i="80"/>
  <c r="P290" i="49"/>
  <c r="Q290" i="49" s="1"/>
  <c r="H347" i="44"/>
  <c r="H348" i="44" s="1"/>
  <c r="H349" i="44" s="1" a="1"/>
  <c r="H349" i="44" s="1"/>
  <c r="K288" i="49"/>
  <c r="K293" i="49" s="1"/>
  <c r="M344" i="49"/>
  <c r="M345" i="49" s="1" a="1"/>
  <c r="M345" i="49" s="1"/>
  <c r="D100" i="52" a="1"/>
  <c r="D100" i="52" s="1"/>
  <c r="K133" i="44" a="1"/>
  <c r="K133" i="44" s="1"/>
  <c r="K125" i="44" a="1"/>
  <c r="K125" i="44" s="1"/>
  <c r="P289" i="49"/>
  <c r="Q289" i="49" s="1"/>
  <c r="H26" i="51"/>
  <c r="H15" i="51" s="1" a="1"/>
  <c r="H15" i="51" s="1"/>
  <c r="O53" i="49"/>
  <c r="O54" i="49" s="1"/>
  <c r="O12" i="49" s="1"/>
  <c r="P12" i="49" s="1"/>
  <c r="K99" i="51"/>
  <c r="K134" i="51" s="1" a="1"/>
  <c r="K134" i="51" s="1"/>
  <c r="M347" i="49"/>
  <c r="M281" i="49" s="1"/>
  <c r="M279" i="49" s="1"/>
  <c r="K279" i="49"/>
  <c r="P280" i="49"/>
  <c r="Q280" i="49" s="1"/>
  <c r="Q62" i="80"/>
  <c r="J35" i="80" s="1"/>
  <c r="P284" i="49"/>
  <c r="Q284" i="49" s="1"/>
  <c r="O165" i="49"/>
  <c r="O64" i="49" s="1"/>
  <c r="I62" i="52"/>
  <c r="I36" i="52" s="1"/>
  <c r="D3" i="63"/>
  <c r="E101" i="84" a="1"/>
  <c r="E101" i="84" s="1"/>
  <c r="E63" i="84" s="1"/>
  <c r="E64" i="84" s="1"/>
  <c r="R71" i="51" a="1"/>
  <c r="R71" i="51" s="1"/>
  <c r="O164" i="49"/>
  <c r="I61" i="84"/>
  <c r="I36" i="84" s="1"/>
  <c r="I61" i="80"/>
  <c r="I36" i="80" s="1"/>
  <c r="Q62" i="84"/>
  <c r="J35" i="84" s="1"/>
  <c r="Q61" i="84"/>
  <c r="I35" i="84" s="1"/>
  <c r="Q62" i="52"/>
  <c r="I35" i="52" s="1"/>
  <c r="T71" i="51" a="1"/>
  <c r="T71" i="51" s="1"/>
  <c r="G101" i="80" a="1"/>
  <c r="G101" i="80" s="1"/>
  <c r="G63" i="80" s="1"/>
  <c r="G64" i="80" s="1"/>
  <c r="G101" i="84" a="1"/>
  <c r="G101" i="84" s="1"/>
  <c r="G63" i="84" s="1"/>
  <c r="G64" i="84" s="1"/>
  <c r="M97" i="52" a="1"/>
  <c r="M97" i="52" s="1"/>
  <c r="H139" i="51" a="1"/>
  <c r="H139" i="51" s="1"/>
  <c r="E102" i="52" a="1"/>
  <c r="E102" i="52" s="1"/>
  <c r="E64" i="52" s="1"/>
  <c r="E65" i="52" s="1"/>
  <c r="H71" i="51" a="1"/>
  <c r="H71" i="51" s="1"/>
  <c r="F101" i="84" a="1"/>
  <c r="F101" i="84" s="1"/>
  <c r="F63" i="84" s="1"/>
  <c r="F64" i="84" s="1"/>
  <c r="F101" i="80" a="1"/>
  <c r="F101" i="80" s="1"/>
  <c r="F63" i="80" s="1"/>
  <c r="F64" i="80" s="1"/>
  <c r="S71" i="51" a="1"/>
  <c r="S71" i="51" s="1"/>
  <c r="F102" i="52" a="1"/>
  <c r="F102" i="52" s="1"/>
  <c r="F64" i="52" s="1"/>
  <c r="F65" i="52" s="1"/>
  <c r="I71" i="51" a="1"/>
  <c r="I71" i="51" s="1"/>
  <c r="D99" i="80" a="1"/>
  <c r="D99" i="80" s="1"/>
  <c r="Q69" i="51" a="1"/>
  <c r="Q69" i="51" s="1"/>
  <c r="D99" i="84" a="1"/>
  <c r="D99" i="84" s="1"/>
  <c r="O407" i="49"/>
  <c r="J71" i="51" a="1"/>
  <c r="J71" i="51" s="1"/>
  <c r="G102" i="52" a="1"/>
  <c r="G102" i="52" s="1"/>
  <c r="G64" i="52" s="1"/>
  <c r="G65" i="52" s="1"/>
  <c r="H101" i="84" a="1"/>
  <c r="H101" i="84" s="1"/>
  <c r="H63" i="84" s="1"/>
  <c r="H64" i="84" s="1"/>
  <c r="U71" i="51" a="1"/>
  <c r="U71" i="51" s="1"/>
  <c r="H101" i="80" a="1"/>
  <c r="H101" i="80" s="1"/>
  <c r="H63" i="80" s="1"/>
  <c r="H64" i="80" s="1"/>
  <c r="I401" i="44" a="1"/>
  <c r="I401" i="44" s="1"/>
  <c r="O343" i="49"/>
  <c r="G70" i="51" a="1"/>
  <c r="G70" i="51" s="1"/>
  <c r="D101" i="52" a="1"/>
  <c r="D101" i="52" s="1"/>
  <c r="K285" i="49"/>
  <c r="D100" i="80" a="1"/>
  <c r="D100" i="80" s="1"/>
  <c r="D100" i="84" a="1"/>
  <c r="D100" i="84" s="1"/>
  <c r="Q70" i="51" a="1"/>
  <c r="Q70" i="51" s="1"/>
  <c r="K71" i="51" a="1"/>
  <c r="K71" i="51" s="1"/>
  <c r="H102" i="52" a="1"/>
  <c r="H102" i="52" s="1"/>
  <c r="H64" i="52" s="1"/>
  <c r="H65" i="52" s="1"/>
  <c r="Q61" i="80"/>
  <c r="I35" i="80" s="1"/>
  <c r="E37" i="52"/>
  <c r="E40" i="52"/>
  <c r="N229" i="49"/>
  <c r="K184" i="63" a="1"/>
  <c r="K184" i="63" s="1"/>
  <c r="K202" i="63" s="1" a="1"/>
  <c r="K202" i="63" s="1"/>
  <c r="O63" i="52"/>
  <c r="H184" i="63" a="1"/>
  <c r="H184" i="63" s="1"/>
  <c r="H201" i="63" s="1" a="1"/>
  <c r="H201" i="63" s="1"/>
  <c r="K229" i="49"/>
  <c r="O40" i="49"/>
  <c r="O41" i="49" s="1"/>
  <c r="O11" i="49" s="1"/>
  <c r="P11" i="49" s="1"/>
  <c r="P10" i="49"/>
  <c r="T118" i="51"/>
  <c r="L72" i="49"/>
  <c r="T46" i="51"/>
  <c r="O260" i="49"/>
  <c r="I45" i="51"/>
  <c r="J185" i="63" a="1"/>
  <c r="J185" i="63" s="1"/>
  <c r="M230" i="49"/>
  <c r="Q47" i="51"/>
  <c r="L184" i="63" a="1"/>
  <c r="L184" i="63" s="1"/>
  <c r="O229" i="49"/>
  <c r="U119" i="51"/>
  <c r="D35" i="52"/>
  <c r="T119" i="51"/>
  <c r="S119" i="51"/>
  <c r="J201" i="63" a="1"/>
  <c r="J201" i="63" s="1"/>
  <c r="J202" i="63" a="1"/>
  <c r="J202" i="63" s="1"/>
  <c r="J194" i="63" a="1"/>
  <c r="J194" i="63" s="1"/>
  <c r="J203" i="63" a="1"/>
  <c r="J203" i="63" s="1"/>
  <c r="J195" i="63" a="1"/>
  <c r="J195" i="63" s="1"/>
  <c r="J204" i="63" a="1"/>
  <c r="J204" i="63" s="1"/>
  <c r="J200" i="63" a="1"/>
  <c r="J200" i="63" s="1"/>
  <c r="J118" i="51"/>
  <c r="K185" i="63" a="1"/>
  <c r="K185" i="63" s="1"/>
  <c r="N230" i="49"/>
  <c r="I119" i="51"/>
  <c r="H185" i="63" a="1"/>
  <c r="H185" i="63" s="1"/>
  <c r="K230" i="49"/>
  <c r="I118" i="51"/>
  <c r="H118" i="51"/>
  <c r="K45" i="51"/>
  <c r="G120" i="51"/>
  <c r="I194" i="63" a="1"/>
  <c r="I194" i="63" s="1"/>
  <c r="I203" i="63" a="1"/>
  <c r="I203" i="63" s="1"/>
  <c r="I195" i="63" a="1"/>
  <c r="I195" i="63" s="1"/>
  <c r="I204" i="63" a="1"/>
  <c r="I204" i="63" s="1"/>
  <c r="I200" i="63" a="1"/>
  <c r="I200" i="63" s="1"/>
  <c r="I201" i="63" a="1"/>
  <c r="I201" i="63" s="1"/>
  <c r="I202" i="63" a="1"/>
  <c r="I202" i="63" s="1"/>
  <c r="I185" i="63" a="1"/>
  <c r="I185" i="63" s="1"/>
  <c r="L230" i="49"/>
  <c r="U26" i="51"/>
  <c r="U15" i="51" s="1" a="1"/>
  <c r="U15" i="51" s="1"/>
  <c r="K140" i="44" a="1"/>
  <c r="K140" i="44" s="1"/>
  <c r="G94" i="51"/>
  <c r="G129" i="51" s="1" a="1"/>
  <c r="G129" i="51" s="1"/>
  <c r="G327" i="44" a="1"/>
  <c r="G327" i="44" s="1"/>
  <c r="I62" i="84"/>
  <c r="J36" i="84" s="1"/>
  <c r="J307" i="44"/>
  <c r="J308" i="44" s="1"/>
  <c r="T97" i="51" s="1"/>
  <c r="J88" i="44" a="1"/>
  <c r="J88" i="44" s="1"/>
  <c r="H21" i="44"/>
  <c r="H22" i="44" s="1"/>
  <c r="H20" i="51" s="1"/>
  <c r="H124" i="44"/>
  <c r="H290" i="44"/>
  <c r="H291" i="44" s="1"/>
  <c r="H292" i="44" s="1" a="1"/>
  <c r="H292" i="44" s="1"/>
  <c r="K86" i="44"/>
  <c r="K87" i="44" s="1"/>
  <c r="I62" i="80"/>
  <c r="J36" i="80" s="1"/>
  <c r="G290" i="44"/>
  <c r="G291" i="44" s="1"/>
  <c r="G97" i="51" s="1"/>
  <c r="K94" i="44"/>
  <c r="K26" i="51" s="1"/>
  <c r="G334" i="44" a="1"/>
  <c r="G334" i="44" s="1"/>
  <c r="G37" i="44"/>
  <c r="G38" i="44" s="1"/>
  <c r="G39" i="44" s="1"/>
  <c r="H101" i="44"/>
  <c r="H27" i="51" s="1"/>
  <c r="I21" i="44"/>
  <c r="I22" i="44" s="1"/>
  <c r="I20" i="51" s="1"/>
  <c r="I384" i="44"/>
  <c r="I385" i="44" s="1"/>
  <c r="K29" i="44"/>
  <c r="K30" i="44" s="1"/>
  <c r="K24" i="51" s="1"/>
  <c r="G45" i="44"/>
  <c r="G46" i="44" s="1"/>
  <c r="G47" i="44" s="1"/>
  <c r="I37" i="44"/>
  <c r="I38" i="44" s="1"/>
  <c r="I39" i="44" s="1"/>
  <c r="J361" i="44"/>
  <c r="J362" i="44" s="1"/>
  <c r="H281" i="44"/>
  <c r="H282" i="44" s="1"/>
  <c r="H283" i="44" s="1"/>
  <c r="T23" i="51"/>
  <c r="J125" i="44" a="1"/>
  <c r="J125" i="44" s="1"/>
  <c r="G102" i="44" a="1"/>
  <c r="G102" i="44" s="1"/>
  <c r="J96" i="51"/>
  <c r="J341" i="44" a="1"/>
  <c r="J341" i="44" s="1"/>
  <c r="S93" i="51"/>
  <c r="I301" i="44" a="1"/>
  <c r="I301" i="44" s="1"/>
  <c r="I26" i="51"/>
  <c r="I95" i="44" a="1"/>
  <c r="I95" i="44" s="1"/>
  <c r="S97" i="51"/>
  <c r="I309" i="44" a="1"/>
  <c r="I309" i="44" s="1"/>
  <c r="H24" i="51"/>
  <c r="H31" i="44" a="1"/>
  <c r="H31" i="44" s="1"/>
  <c r="G99" i="51"/>
  <c r="G356" i="44" a="1"/>
  <c r="G356" i="44" s="1"/>
  <c r="R20" i="51"/>
  <c r="H40" i="44" a="1"/>
  <c r="H40" i="44" s="1"/>
  <c r="K96" i="51"/>
  <c r="K341" i="44" a="1"/>
  <c r="K341" i="44" s="1"/>
  <c r="G24" i="51"/>
  <c r="G31" i="44" a="1"/>
  <c r="G31" i="44" s="1"/>
  <c r="Q97" i="51"/>
  <c r="G309" i="44" a="1"/>
  <c r="G309" i="44" s="1"/>
  <c r="U93" i="51"/>
  <c r="K301" i="44" a="1"/>
  <c r="K301" i="44" s="1"/>
  <c r="G93" i="51"/>
  <c r="G284" i="44" a="1"/>
  <c r="G284" i="44" s="1"/>
  <c r="S98" i="51"/>
  <c r="I394" i="44" a="1"/>
  <c r="I394" i="44" s="1"/>
  <c r="R93" i="51"/>
  <c r="H301" i="44" a="1"/>
  <c r="H301" i="44" s="1"/>
  <c r="T98" i="51"/>
  <c r="J394" i="44" a="1"/>
  <c r="J394" i="44" s="1"/>
  <c r="R24" i="51"/>
  <c r="H48" i="44" a="1"/>
  <c r="H48" i="44" s="1"/>
  <c r="J20" i="51"/>
  <c r="J23" i="44" a="1"/>
  <c r="J23" i="44" s="1"/>
  <c r="S26" i="51"/>
  <c r="I140" i="44" a="1"/>
  <c r="I140" i="44" s="1"/>
  <c r="T24" i="51"/>
  <c r="J48" i="44" a="1"/>
  <c r="J48" i="44" s="1"/>
  <c r="S23" i="51"/>
  <c r="I125" i="44" a="1"/>
  <c r="I125" i="44" s="1"/>
  <c r="I133" i="51" a="1"/>
  <c r="I133" i="51" s="1"/>
  <c r="S134" i="51" a="1"/>
  <c r="S134" i="51" s="1"/>
  <c r="I45" i="44"/>
  <c r="I46" i="44" s="1"/>
  <c r="I47" i="44" s="1"/>
  <c r="I289" i="44"/>
  <c r="I290" i="44" s="1"/>
  <c r="I291" i="44" s="1"/>
  <c r="I101" i="44"/>
  <c r="J28" i="44"/>
  <c r="J29" i="44" s="1"/>
  <c r="J30" i="44" s="1"/>
  <c r="J400" i="44"/>
  <c r="K133" i="51" a="1"/>
  <c r="K133" i="51" s="1"/>
  <c r="I100" i="51"/>
  <c r="I363" i="44" a="1"/>
  <c r="I363" i="44" s="1"/>
  <c r="J27" i="51"/>
  <c r="J102" i="44" a="1"/>
  <c r="J102" i="44" s="1"/>
  <c r="J79" i="44"/>
  <c r="G64" i="44"/>
  <c r="G65" i="44" s="1"/>
  <c r="U14" i="51" a="1"/>
  <c r="U14" i="51" s="1"/>
  <c r="U60" i="51" a="1"/>
  <c r="U60" i="51" s="1"/>
  <c r="S14" i="51" a="1"/>
  <c r="S14" i="51" s="1"/>
  <c r="S60" i="51" a="1"/>
  <c r="S60" i="51" s="1"/>
  <c r="H135" i="51" a="1"/>
  <c r="H135" i="51" s="1"/>
  <c r="T26" i="51"/>
  <c r="J140" i="44" a="1"/>
  <c r="J140" i="44" s="1"/>
  <c r="I28" i="44"/>
  <c r="I29" i="44" s="1"/>
  <c r="I30" i="44" s="1"/>
  <c r="I23" i="51"/>
  <c r="I80" i="44" a="1"/>
  <c r="I80" i="44" s="1"/>
  <c r="J282" i="44"/>
  <c r="J283" i="44" s="1"/>
  <c r="G21" i="44"/>
  <c r="G22" i="44" s="1"/>
  <c r="J93" i="44"/>
  <c r="J94" i="44" s="1"/>
  <c r="R26" i="51"/>
  <c r="H140" i="44" a="1"/>
  <c r="H140" i="44" s="1"/>
  <c r="Q129" i="51" a="1"/>
  <c r="Q129" i="51" s="1"/>
  <c r="Q15" i="51" a="1"/>
  <c r="Q15" i="51" s="1"/>
  <c r="Q61" i="51" a="1"/>
  <c r="Q61" i="51" s="1"/>
  <c r="K38" i="44"/>
  <c r="K39" i="44" s="1"/>
  <c r="J290" i="44"/>
  <c r="J291" i="44" s="1"/>
  <c r="I25" i="51"/>
  <c r="I88" i="44" a="1"/>
  <c r="I88" i="44" s="1"/>
  <c r="H79" i="44"/>
  <c r="K79" i="44"/>
  <c r="F37" i="52"/>
  <c r="R98" i="51"/>
  <c r="H394" i="44" a="1"/>
  <c r="H394" i="44" s="1"/>
  <c r="J385" i="44"/>
  <c r="G133" i="51" a="1"/>
  <c r="G133" i="51" s="1"/>
  <c r="U134" i="51" a="1"/>
  <c r="U134" i="51" s="1"/>
  <c r="G298" i="44"/>
  <c r="G299" i="44" s="1"/>
  <c r="G300" i="44" s="1"/>
  <c r="J299" i="44"/>
  <c r="J300" i="44" s="1"/>
  <c r="J133" i="51" a="1"/>
  <c r="J133" i="51" s="1"/>
  <c r="F40" i="52"/>
  <c r="G130" i="51" a="1"/>
  <c r="G130" i="51" s="1"/>
  <c r="J14" i="51" a="1"/>
  <c r="J14" i="51" s="1"/>
  <c r="J60" i="51" a="1"/>
  <c r="J60" i="51" s="1"/>
  <c r="Q11" i="51" a="1"/>
  <c r="Q11" i="51" s="1"/>
  <c r="Q57" i="51" a="1"/>
  <c r="Q57" i="51" s="1"/>
  <c r="J134" i="51" a="1"/>
  <c r="J134" i="51" s="1"/>
  <c r="K20" i="44"/>
  <c r="K21" i="44" s="1"/>
  <c r="K22" i="44" s="1"/>
  <c r="H37" i="52"/>
  <c r="K100" i="51"/>
  <c r="Q21" i="51"/>
  <c r="G111" i="44" a="1"/>
  <c r="G111" i="44" s="1"/>
  <c r="K46" i="44"/>
  <c r="K47" i="44" s="1"/>
  <c r="I93" i="51"/>
  <c r="I284" i="44" a="1"/>
  <c r="I284" i="44" s="1"/>
  <c r="G135" i="51" a="1"/>
  <c r="G135" i="51" s="1"/>
  <c r="I134" i="51" a="1"/>
  <c r="I134" i="51" s="1"/>
  <c r="G11" i="51" a="1"/>
  <c r="G11" i="51" s="1"/>
  <c r="G57" i="51" a="1"/>
  <c r="G57" i="51" s="1"/>
  <c r="Q99" i="51"/>
  <c r="G401" i="44" a="1"/>
  <c r="G401" i="44" s="1"/>
  <c r="T20" i="51"/>
  <c r="J40" i="44" a="1"/>
  <c r="J40" i="44" s="1"/>
  <c r="K93" i="51"/>
  <c r="K284" i="44" a="1"/>
  <c r="K284" i="44" s="1"/>
  <c r="K289" i="44"/>
  <c r="K290" i="44" s="1"/>
  <c r="K291" i="44" s="1"/>
  <c r="H306" i="44"/>
  <c r="H307" i="44" s="1"/>
  <c r="H308" i="44" s="1"/>
  <c r="K27" i="51"/>
  <c r="K102" i="44" a="1"/>
  <c r="K102" i="44" s="1"/>
  <c r="K306" i="44"/>
  <c r="K307" i="44" s="1"/>
  <c r="K308" i="44" s="1"/>
  <c r="I63" i="52"/>
  <c r="J36" i="52" s="1"/>
  <c r="U12" i="51" a="1"/>
  <c r="U12" i="51" s="1"/>
  <c r="U58" i="51" a="1"/>
  <c r="U58" i="51" s="1"/>
  <c r="I131" i="51" a="1"/>
  <c r="I131" i="51" s="1"/>
  <c r="H40" i="52"/>
  <c r="G87" i="44"/>
  <c r="Q25" i="51"/>
  <c r="G133" i="44" a="1"/>
  <c r="G133" i="44" s="1"/>
  <c r="G15" i="51" a="1"/>
  <c r="G15" i="51" s="1"/>
  <c r="G61" i="51" a="1"/>
  <c r="G61" i="51" s="1"/>
  <c r="H134" i="51" a="1"/>
  <c r="H134" i="51" s="1"/>
  <c r="H14" i="51" a="1"/>
  <c r="H14" i="51" s="1"/>
  <c r="H60" i="51" a="1"/>
  <c r="H60" i="51" s="1"/>
  <c r="B403" i="44"/>
  <c r="B437" i="44" s="1"/>
  <c r="B443" i="44" s="1"/>
  <c r="B462" i="44" s="1"/>
  <c r="B486" i="44" s="1"/>
  <c r="B500" i="44" s="1"/>
  <c r="J133" i="44" l="1" a="1"/>
  <c r="J133" i="44" s="1"/>
  <c r="H401" i="44" a="1"/>
  <c r="H401" i="44" s="1"/>
  <c r="R25" i="51"/>
  <c r="H98" i="51"/>
  <c r="H133" i="51" s="1" a="1"/>
  <c r="H133" i="51" s="1"/>
  <c r="O62" i="49"/>
  <c r="H386" i="44" a="1"/>
  <c r="H386" i="44" s="1"/>
  <c r="G379" i="44" a="1"/>
  <c r="G379" i="44" s="1"/>
  <c r="K59" i="49"/>
  <c r="P59" i="49" s="1"/>
  <c r="Q59" i="49" s="1"/>
  <c r="P60" i="49"/>
  <c r="Q60" i="49" s="1"/>
  <c r="L68" i="49"/>
  <c r="P69" i="49"/>
  <c r="Q69" i="49" s="1"/>
  <c r="K65" i="49"/>
  <c r="P66" i="49"/>
  <c r="Q66" i="49" s="1"/>
  <c r="P63" i="49"/>
  <c r="Q63" i="49" s="1"/>
  <c r="K62" i="49"/>
  <c r="H341" i="44" a="1"/>
  <c r="H341" i="44" s="1"/>
  <c r="I37" i="52"/>
  <c r="P288" i="49"/>
  <c r="Q288" i="49" s="1"/>
  <c r="G292" i="44" a="1"/>
  <c r="G292" i="44" s="1"/>
  <c r="H204" i="63" a="1"/>
  <c r="H204" i="63" s="1"/>
  <c r="H240" i="63" s="1"/>
  <c r="D64" i="52"/>
  <c r="D65" i="52" s="1"/>
  <c r="I65" i="52" s="1"/>
  <c r="H61" i="51" a="1"/>
  <c r="H61" i="51" s="1"/>
  <c r="H102" i="44" a="1"/>
  <c r="H102" i="44" s="1"/>
  <c r="U61" i="51" a="1"/>
  <c r="U61" i="51" s="1"/>
  <c r="H198" i="63" a="1"/>
  <c r="H198" i="63" s="1"/>
  <c r="H234" i="63" s="1"/>
  <c r="H203" i="63" a="1"/>
  <c r="H203" i="63" s="1"/>
  <c r="H239" i="63" s="1"/>
  <c r="H197" i="63" a="1"/>
  <c r="H197" i="63" s="1"/>
  <c r="H233" i="63" s="1"/>
  <c r="H196" i="63" a="1"/>
  <c r="H196" i="63" s="1"/>
  <c r="H232" i="63" s="1"/>
  <c r="H202" i="63" a="1"/>
  <c r="H202" i="63" s="1"/>
  <c r="J309" i="44" a="1"/>
  <c r="J309" i="44" s="1"/>
  <c r="H200" i="63" a="1"/>
  <c r="H200" i="63" s="1"/>
  <c r="H236" i="63" s="1"/>
  <c r="H199" i="63" a="1"/>
  <c r="H199" i="63" s="1"/>
  <c r="H235" i="63" s="1"/>
  <c r="H23" i="44" a="1"/>
  <c r="H23" i="44" s="1"/>
  <c r="J40" i="80"/>
  <c r="H97" i="51"/>
  <c r="H86" i="51" s="1" a="1"/>
  <c r="H86" i="51" s="1"/>
  <c r="P229" i="49"/>
  <c r="P64" i="49"/>
  <c r="Q64" i="49" s="1"/>
  <c r="I40" i="80"/>
  <c r="I40" i="84"/>
  <c r="K31" i="44" a="1"/>
  <c r="K31" i="44" s="1"/>
  <c r="J40" i="84"/>
  <c r="D63" i="80"/>
  <c r="D64" i="80" s="1"/>
  <c r="I64" i="80" s="1"/>
  <c r="D63" i="84"/>
  <c r="D64" i="84" s="1"/>
  <c r="I64" i="84" s="1"/>
  <c r="Q63" i="52"/>
  <c r="J35" i="52" s="1"/>
  <c r="I64" i="52"/>
  <c r="G36" i="52" s="1"/>
  <c r="K292" i="49"/>
  <c r="O347" i="49"/>
  <c r="O281" i="49" s="1"/>
  <c r="O346" i="49"/>
  <c r="O344" i="49"/>
  <c r="O345" i="49" s="1" a="1"/>
  <c r="O345" i="49" s="1"/>
  <c r="O410" i="49"/>
  <c r="O408" i="49"/>
  <c r="O409" i="49" s="1" a="1"/>
  <c r="O409" i="49" s="1"/>
  <c r="O411" i="49"/>
  <c r="O287" i="49" s="1"/>
  <c r="K201" i="63" a="1"/>
  <c r="K201" i="63" s="1"/>
  <c r="K237" i="63" s="1"/>
  <c r="K200" i="63" a="1"/>
  <c r="K200" i="63" s="1"/>
  <c r="K236" i="63" s="1"/>
  <c r="K204" i="63" a="1"/>
  <c r="K204" i="63" s="1"/>
  <c r="K240" i="63" s="1"/>
  <c r="K195" i="63" a="1"/>
  <c r="K195" i="63" s="1"/>
  <c r="K231" i="63" s="1"/>
  <c r="K203" i="63" a="1"/>
  <c r="K203" i="63" s="1"/>
  <c r="K239" i="63" s="1"/>
  <c r="K194" i="63" a="1"/>
  <c r="K194" i="63" s="1"/>
  <c r="K230" i="63" s="1"/>
  <c r="I240" i="63"/>
  <c r="H237" i="63"/>
  <c r="J238" i="63"/>
  <c r="L194" i="63" a="1"/>
  <c r="L194" i="63" s="1"/>
  <c r="L203" i="63" a="1"/>
  <c r="L203" i="63" s="1"/>
  <c r="L195" i="63" a="1"/>
  <c r="L195" i="63" s="1"/>
  <c r="L204" i="63" a="1"/>
  <c r="L204" i="63" s="1"/>
  <c r="L200" i="63" a="1"/>
  <c r="L200" i="63" s="1"/>
  <c r="L201" i="63" a="1"/>
  <c r="L201" i="63" s="1"/>
  <c r="L202" i="63" a="1"/>
  <c r="L202" i="63" s="1"/>
  <c r="I236" i="63"/>
  <c r="I231" i="63"/>
  <c r="J237" i="63"/>
  <c r="I23" i="44" a="1"/>
  <c r="I23" i="44" s="1"/>
  <c r="I239" i="63"/>
  <c r="D40" i="52"/>
  <c r="D37" i="52"/>
  <c r="J211" i="63" a="1"/>
  <c r="J211" i="63" s="1"/>
  <c r="J247" i="63" s="1"/>
  <c r="J212" i="63" a="1"/>
  <c r="J212" i="63" s="1"/>
  <c r="J248" i="63" s="1"/>
  <c r="J213" i="63" a="1"/>
  <c r="J213" i="63" s="1"/>
  <c r="J249" i="63" s="1"/>
  <c r="J205" i="63" a="1"/>
  <c r="J205" i="63" s="1"/>
  <c r="J241" i="63" s="1"/>
  <c r="J214" i="63" a="1"/>
  <c r="J214" i="63" s="1"/>
  <c r="J250" i="63" s="1"/>
  <c r="J215" i="63" a="1"/>
  <c r="J215" i="63" s="1"/>
  <c r="J251" i="63" s="1"/>
  <c r="J206" i="63" a="1"/>
  <c r="J206" i="63" s="1"/>
  <c r="J242" i="63" s="1"/>
  <c r="I230" i="63"/>
  <c r="J236" i="63"/>
  <c r="K238" i="63"/>
  <c r="J240" i="63"/>
  <c r="H212" i="63" a="1"/>
  <c r="H212" i="63" s="1"/>
  <c r="H248" i="63" s="1"/>
  <c r="H207" i="63" a="1"/>
  <c r="H207" i="63" s="1"/>
  <c r="H243" i="63" s="1"/>
  <c r="H210" i="63" a="1"/>
  <c r="H210" i="63" s="1"/>
  <c r="H246" i="63" s="1"/>
  <c r="H213" i="63" a="1"/>
  <c r="H213" i="63" s="1"/>
  <c r="H249" i="63" s="1"/>
  <c r="H214" i="63" a="1"/>
  <c r="H214" i="63" s="1"/>
  <c r="H250" i="63" s="1"/>
  <c r="H215" i="63" a="1"/>
  <c r="H215" i="63" s="1"/>
  <c r="H251" i="63" s="1"/>
  <c r="H208" i="63" a="1"/>
  <c r="H208" i="63" s="1"/>
  <c r="H244" i="63" s="1"/>
  <c r="H209" i="63" a="1"/>
  <c r="H209" i="63" s="1"/>
  <c r="H245" i="63" s="1"/>
  <c r="H211" i="63" a="1"/>
  <c r="H211" i="63" s="1"/>
  <c r="H247" i="63" s="1"/>
  <c r="I205" i="63" a="1"/>
  <c r="I205" i="63" s="1"/>
  <c r="I241" i="63" s="1"/>
  <c r="I214" i="63" a="1"/>
  <c r="I214" i="63" s="1"/>
  <c r="I250" i="63" s="1"/>
  <c r="I212" i="63" a="1"/>
  <c r="I212" i="63" s="1"/>
  <c r="I248" i="63" s="1"/>
  <c r="I213" i="63" a="1"/>
  <c r="I213" i="63" s="1"/>
  <c r="I249" i="63" s="1"/>
  <c r="I215" i="63" a="1"/>
  <c r="I215" i="63" s="1"/>
  <c r="I251" i="63" s="1"/>
  <c r="I206" i="63" a="1"/>
  <c r="I206" i="63" s="1"/>
  <c r="I242" i="63" s="1"/>
  <c r="I211" i="63" a="1"/>
  <c r="I211" i="63" s="1"/>
  <c r="I247" i="63" s="1"/>
  <c r="I238" i="63"/>
  <c r="J231" i="63"/>
  <c r="L185" i="63" a="1"/>
  <c r="L185" i="63" s="1"/>
  <c r="O230" i="49"/>
  <c r="P230" i="49" s="1"/>
  <c r="J230" i="63"/>
  <c r="I237" i="63"/>
  <c r="K211" i="63" a="1"/>
  <c r="K211" i="63" s="1"/>
  <c r="K247" i="63" s="1"/>
  <c r="K212" i="63" a="1"/>
  <c r="K212" i="63" s="1"/>
  <c r="K248" i="63" s="1"/>
  <c r="K213" i="63" a="1"/>
  <c r="K213" i="63" s="1"/>
  <c r="K249" i="63" s="1"/>
  <c r="K205" i="63" a="1"/>
  <c r="K205" i="63" s="1"/>
  <c r="K241" i="63" s="1"/>
  <c r="K214" i="63" a="1"/>
  <c r="K214" i="63" s="1"/>
  <c r="K250" i="63" s="1"/>
  <c r="K206" i="63" a="1"/>
  <c r="K206" i="63" s="1"/>
  <c r="K242" i="63" s="1"/>
  <c r="K215" i="63" a="1"/>
  <c r="K215" i="63" s="1"/>
  <c r="K251" i="63" s="1"/>
  <c r="J239" i="63"/>
  <c r="G48" i="44" a="1"/>
  <c r="G48" i="44" s="1"/>
  <c r="Q24" i="51"/>
  <c r="Q13" i="51" s="1" a="1"/>
  <c r="Q13" i="51" s="1"/>
  <c r="K88" i="44" a="1"/>
  <c r="K88" i="44" s="1"/>
  <c r="K25" i="51"/>
  <c r="K14" i="51" s="1" a="1"/>
  <c r="K14" i="51" s="1"/>
  <c r="R23" i="51"/>
  <c r="H125" i="44" a="1"/>
  <c r="H125" i="44" s="1"/>
  <c r="J100" i="51"/>
  <c r="J135" i="51" s="1" a="1"/>
  <c r="J135" i="51" s="1"/>
  <c r="J363" i="44" a="1"/>
  <c r="J363" i="44" s="1"/>
  <c r="S20" i="51"/>
  <c r="S9" i="51" s="1" a="1"/>
  <c r="S9" i="51" s="1"/>
  <c r="I40" i="44" a="1"/>
  <c r="I40" i="44" s="1"/>
  <c r="Q20" i="51"/>
  <c r="D66" i="84" s="1"/>
  <c r="G40" i="44" a="1"/>
  <c r="G40" i="44" s="1"/>
  <c r="S96" i="51"/>
  <c r="S131" i="51" s="1" a="1"/>
  <c r="S131" i="51" s="1"/>
  <c r="I386" i="44" a="1"/>
  <c r="I386" i="44" s="1"/>
  <c r="H93" i="51"/>
  <c r="H82" i="51" s="1" a="1"/>
  <c r="H82" i="51" s="1"/>
  <c r="H284" i="44" a="1"/>
  <c r="H284" i="44" s="1"/>
  <c r="K95" i="44" a="1"/>
  <c r="K95" i="44" s="1"/>
  <c r="I40" i="52"/>
  <c r="U97" i="51"/>
  <c r="K309" i="44" a="1"/>
  <c r="K309" i="44" s="1"/>
  <c r="R97" i="51"/>
  <c r="H309" i="44" a="1"/>
  <c r="H309" i="44" s="1"/>
  <c r="K97" i="51"/>
  <c r="K292" i="44" a="1"/>
  <c r="K292" i="44" s="1"/>
  <c r="J24" i="51"/>
  <c r="J31" i="44" a="1"/>
  <c r="J31" i="44" s="1"/>
  <c r="I24" i="51"/>
  <c r="I31" i="44" a="1"/>
  <c r="I31" i="44" s="1"/>
  <c r="K20" i="51"/>
  <c r="K23" i="44" a="1"/>
  <c r="K23" i="44" s="1"/>
  <c r="Q93" i="51"/>
  <c r="G301" i="44" a="1"/>
  <c r="G301" i="44" s="1"/>
  <c r="I97" i="51"/>
  <c r="I292" i="44" a="1"/>
  <c r="I292" i="44" s="1"/>
  <c r="J26" i="51"/>
  <c r="J95" i="44" a="1"/>
  <c r="J95" i="44" s="1"/>
  <c r="S24" i="51"/>
  <c r="I48" i="44" a="1"/>
  <c r="I48" i="44" s="1"/>
  <c r="K135" i="51" a="1"/>
  <c r="K135" i="51" s="1"/>
  <c r="K15" i="51" a="1"/>
  <c r="K15" i="51" s="1"/>
  <c r="K61" i="51" a="1"/>
  <c r="K61" i="51" s="1"/>
  <c r="R14" i="51" a="1"/>
  <c r="R14" i="51" s="1"/>
  <c r="R60" i="51" a="1"/>
  <c r="R60" i="51" s="1"/>
  <c r="J97" i="51"/>
  <c r="J292" i="44" a="1"/>
  <c r="J292" i="44" s="1"/>
  <c r="G20" i="51"/>
  <c r="G23" i="44" a="1"/>
  <c r="G23" i="44" s="1"/>
  <c r="T99" i="51"/>
  <c r="J401" i="44" a="1"/>
  <c r="J401" i="44" s="1"/>
  <c r="K131" i="51" a="1"/>
  <c r="K131" i="51" s="1"/>
  <c r="K16" i="51" a="1"/>
  <c r="K16" i="51" s="1"/>
  <c r="K62" i="51" a="1"/>
  <c r="K62" i="51" s="1"/>
  <c r="R133" i="51" a="1"/>
  <c r="R133" i="51" s="1"/>
  <c r="S12" i="51" a="1"/>
  <c r="S12" i="51" s="1"/>
  <c r="S58" i="51" a="1"/>
  <c r="S58" i="51" s="1"/>
  <c r="J9" i="51" a="1"/>
  <c r="J9" i="51" s="1"/>
  <c r="J55" i="51" a="1"/>
  <c r="J55" i="51" s="1"/>
  <c r="G13" i="51" a="1"/>
  <c r="G13" i="51" s="1"/>
  <c r="G59" i="51" a="1"/>
  <c r="G59" i="51" s="1"/>
  <c r="G82" i="51" a="1"/>
  <c r="G82" i="51" s="1"/>
  <c r="G128" i="51" a="1"/>
  <c r="G128" i="51" s="1"/>
  <c r="I15" i="51" a="1"/>
  <c r="I15" i="51" s="1"/>
  <c r="I61" i="51" a="1"/>
  <c r="I61" i="51" s="1"/>
  <c r="K82" i="51" a="1"/>
  <c r="K82" i="51" s="1"/>
  <c r="K128" i="51" a="1"/>
  <c r="K128" i="51" s="1"/>
  <c r="U24" i="51"/>
  <c r="K48" i="44" a="1"/>
  <c r="K48" i="44" s="1"/>
  <c r="Q50" i="51"/>
  <c r="T14" i="51" a="1"/>
  <c r="T14" i="51" s="1"/>
  <c r="T60" i="51" a="1"/>
  <c r="T60" i="51" s="1"/>
  <c r="J93" i="51"/>
  <c r="J284" i="44" a="1"/>
  <c r="J284" i="44" s="1"/>
  <c r="U49" i="51"/>
  <c r="J23" i="51"/>
  <c r="G67" i="52" s="1"/>
  <c r="J80" i="44" a="1"/>
  <c r="J80" i="44" s="1"/>
  <c r="R13" i="51" a="1"/>
  <c r="R13" i="51" s="1"/>
  <c r="R59" i="51" a="1"/>
  <c r="R59" i="51" s="1"/>
  <c r="R82" i="51" a="1"/>
  <c r="R82" i="51" s="1"/>
  <c r="R128" i="51" a="1"/>
  <c r="R128" i="51" s="1"/>
  <c r="U82" i="51" a="1"/>
  <c r="U82" i="51" s="1"/>
  <c r="U128" i="51" a="1"/>
  <c r="U128" i="51" s="1"/>
  <c r="R131" i="51" a="1"/>
  <c r="R131" i="51" s="1"/>
  <c r="T12" i="51" a="1"/>
  <c r="T12" i="51" s="1"/>
  <c r="T58" i="51" a="1"/>
  <c r="T58" i="51" s="1"/>
  <c r="G50" i="51"/>
  <c r="G46" i="51"/>
  <c r="J49" i="51"/>
  <c r="H23" i="51"/>
  <c r="H80" i="44" a="1"/>
  <c r="H80" i="44" s="1"/>
  <c r="T15" i="51" a="1"/>
  <c r="T15" i="51" s="1"/>
  <c r="T61" i="51" a="1"/>
  <c r="T61" i="51" s="1"/>
  <c r="T133" i="51" a="1"/>
  <c r="T133" i="51" s="1"/>
  <c r="G62" i="51" a="1"/>
  <c r="G62" i="51" s="1"/>
  <c r="Q14" i="51" a="1"/>
  <c r="Q14" i="51" s="1"/>
  <c r="Q60" i="51" a="1"/>
  <c r="Q60" i="51" s="1"/>
  <c r="H49" i="51"/>
  <c r="G25" i="51"/>
  <c r="G88" i="44" a="1"/>
  <c r="G88" i="44" s="1"/>
  <c r="T96" i="51"/>
  <c r="J386" i="44" a="1"/>
  <c r="J386" i="44" s="1"/>
  <c r="I14" i="51" a="1"/>
  <c r="I14" i="51" s="1"/>
  <c r="I60" i="51" a="1"/>
  <c r="I60" i="51" s="1"/>
  <c r="R15" i="51" a="1"/>
  <c r="R15" i="51" s="1"/>
  <c r="R61" i="51" a="1"/>
  <c r="R61" i="51" s="1"/>
  <c r="J16" i="51" a="1"/>
  <c r="J16" i="51" s="1"/>
  <c r="J62" i="51" a="1"/>
  <c r="J62" i="51" s="1"/>
  <c r="I27" i="51"/>
  <c r="I102" i="44" a="1"/>
  <c r="I102" i="44" s="1"/>
  <c r="T13" i="51" a="1"/>
  <c r="T13" i="51" s="1"/>
  <c r="T59" i="51" a="1"/>
  <c r="T59" i="51" s="1"/>
  <c r="K13" i="51" a="1"/>
  <c r="K13" i="51" s="1"/>
  <c r="K59" i="51" a="1"/>
  <c r="K59" i="51" s="1"/>
  <c r="H50" i="51"/>
  <c r="U50" i="51"/>
  <c r="G134" i="51" a="1"/>
  <c r="G134" i="51" s="1"/>
  <c r="I82" i="51" a="1"/>
  <c r="I82" i="51" s="1"/>
  <c r="I128" i="51" a="1"/>
  <c r="I128" i="51" s="1"/>
  <c r="Q134" i="51" a="1"/>
  <c r="Q134" i="51" s="1"/>
  <c r="T86" i="51" a="1"/>
  <c r="T86" i="51" s="1"/>
  <c r="T132" i="51" a="1"/>
  <c r="T132" i="51" s="1"/>
  <c r="F67" i="52"/>
  <c r="I9" i="51" a="1"/>
  <c r="I9" i="51" s="1"/>
  <c r="I55" i="51" a="1"/>
  <c r="I55" i="51" s="1"/>
  <c r="R9" i="51" a="1"/>
  <c r="R9" i="51" s="1"/>
  <c r="R55" i="51" a="1"/>
  <c r="R55" i="51" s="1"/>
  <c r="S82" i="51" a="1"/>
  <c r="S82" i="51" s="1"/>
  <c r="S128" i="51" a="1"/>
  <c r="S128" i="51" s="1"/>
  <c r="G66" i="84"/>
  <c r="G66" i="80"/>
  <c r="T9" i="51" a="1"/>
  <c r="T9" i="51" s="1"/>
  <c r="T55" i="51" a="1"/>
  <c r="T55" i="51" s="1"/>
  <c r="K23" i="51"/>
  <c r="K80" i="44" a="1"/>
  <c r="K80" i="44" s="1"/>
  <c r="U20" i="51"/>
  <c r="K40" i="44" a="1"/>
  <c r="K40" i="44" s="1"/>
  <c r="Q10" i="51" a="1"/>
  <c r="Q10" i="51" s="1"/>
  <c r="Q56" i="51" a="1"/>
  <c r="Q56" i="51" s="1"/>
  <c r="H16" i="51" a="1"/>
  <c r="H16" i="51" s="1"/>
  <c r="H62" i="51" a="1"/>
  <c r="H62" i="51" s="1"/>
  <c r="Q46" i="51"/>
  <c r="T93" i="51"/>
  <c r="J301" i="44" a="1"/>
  <c r="J301" i="44" s="1"/>
  <c r="I12" i="51" a="1"/>
  <c r="I12" i="51" s="1"/>
  <c r="I58" i="51" a="1"/>
  <c r="I58" i="51" s="1"/>
  <c r="I135" i="51" a="1"/>
  <c r="I135" i="51" s="1"/>
  <c r="S15" i="51" a="1"/>
  <c r="S15" i="51" s="1"/>
  <c r="S61" i="51" a="1"/>
  <c r="S61" i="51" s="1"/>
  <c r="Q86" i="51" a="1"/>
  <c r="Q86" i="51" s="1"/>
  <c r="Q132" i="51" a="1"/>
  <c r="Q132" i="51" s="1"/>
  <c r="H13" i="51" a="1"/>
  <c r="H13" i="51" s="1"/>
  <c r="H59" i="51" a="1"/>
  <c r="H59" i="51" s="1"/>
  <c r="Q130" i="51" a="1"/>
  <c r="Q130" i="51" s="1"/>
  <c r="G21" i="51"/>
  <c r="G66" i="44" a="1"/>
  <c r="G66" i="44" s="1"/>
  <c r="U47" i="51"/>
  <c r="H9" i="51" a="1"/>
  <c r="H9" i="51" s="1"/>
  <c r="H55" i="51" a="1"/>
  <c r="H55" i="51" s="1"/>
  <c r="R134" i="51" a="1"/>
  <c r="R134" i="51" s="1"/>
  <c r="S49" i="51"/>
  <c r="G86" i="51" a="1"/>
  <c r="G86" i="51" s="1"/>
  <c r="G132" i="51" a="1"/>
  <c r="G132" i="51" s="1"/>
  <c r="S133" i="51" a="1"/>
  <c r="S133" i="51" s="1"/>
  <c r="S86" i="51" a="1"/>
  <c r="S86" i="51" s="1"/>
  <c r="S132" i="51" a="1"/>
  <c r="S132" i="51" s="1"/>
  <c r="J131" i="51" a="1"/>
  <c r="J131" i="51" s="1"/>
  <c r="E67" i="52" l="1"/>
  <c r="H12" i="51" a="1"/>
  <c r="H12" i="51" s="1"/>
  <c r="K60" i="51" a="1"/>
  <c r="K60" i="51" s="1"/>
  <c r="H132" i="51" a="1"/>
  <c r="H132" i="51" s="1"/>
  <c r="P62" i="49"/>
  <c r="Q62" i="49" s="1"/>
  <c r="K72" i="49"/>
  <c r="P65" i="49"/>
  <c r="Q65" i="49" s="1"/>
  <c r="L73" i="49"/>
  <c r="P68" i="49"/>
  <c r="Q68" i="49" s="1"/>
  <c r="Q110" i="51" a="1"/>
  <c r="Q110" i="51" s="1"/>
  <c r="Q87" i="51" s="1" a="1"/>
  <c r="Q87" i="51" s="1"/>
  <c r="H238" i="63"/>
  <c r="H110" i="51" a="1"/>
  <c r="H110" i="51" s="1"/>
  <c r="H145" i="51" s="1" a="1"/>
  <c r="H145" i="51" s="1"/>
  <c r="I63" i="84"/>
  <c r="G36" i="84" s="1"/>
  <c r="F66" i="84"/>
  <c r="F68" i="84" s="1"/>
  <c r="R110" i="51" a="1"/>
  <c r="R110" i="51" s="1"/>
  <c r="R145" i="51" s="1" a="1"/>
  <c r="R145" i="51" s="1"/>
  <c r="I63" i="80"/>
  <c r="G36" i="80" s="1"/>
  <c r="O279" i="49"/>
  <c r="P279" i="49" s="1"/>
  <c r="Q279" i="49" s="1"/>
  <c r="P281" i="49"/>
  <c r="Q281" i="49" s="1"/>
  <c r="O285" i="49"/>
  <c r="P287" i="49"/>
  <c r="Q287" i="49" s="1"/>
  <c r="H128" i="51" a="1"/>
  <c r="H128" i="51" s="1"/>
  <c r="I109" i="51" a="1"/>
  <c r="I109" i="51" s="1"/>
  <c r="N67" i="52" s="1"/>
  <c r="Q55" i="51" a="1"/>
  <c r="Q55" i="51" s="1"/>
  <c r="Q9" i="51" a="1"/>
  <c r="Q9" i="51" s="1"/>
  <c r="Q44" i="51" s="1"/>
  <c r="Q59" i="51" a="1"/>
  <c r="Q59" i="51" s="1"/>
  <c r="D66" i="80"/>
  <c r="D68" i="80" s="1"/>
  <c r="I112" i="51" a="1"/>
  <c r="I112" i="51" s="1"/>
  <c r="S55" i="51" a="1"/>
  <c r="S55" i="51" s="1"/>
  <c r="F66" i="80"/>
  <c r="T110" i="51" a="1"/>
  <c r="T110" i="51" s="1"/>
  <c r="H111" i="51" a="1"/>
  <c r="H111" i="51" s="1"/>
  <c r="H88" i="51" s="1" a="1"/>
  <c r="H88" i="51" s="1"/>
  <c r="I111" i="51" a="1"/>
  <c r="I111" i="51" s="1"/>
  <c r="I88" i="51" s="1" a="1"/>
  <c r="I88" i="51" s="1"/>
  <c r="Q107" i="51" a="1"/>
  <c r="Q107" i="51" s="1"/>
  <c r="L99" i="84" s="1" a="1"/>
  <c r="L99" i="84" s="1"/>
  <c r="R111" i="51" a="1"/>
  <c r="R111" i="51" s="1"/>
  <c r="G111" i="51" a="1"/>
  <c r="G111" i="51" s="1"/>
  <c r="L231" i="63"/>
  <c r="H109" i="51" a="1"/>
  <c r="H109" i="51" s="1"/>
  <c r="T109" i="51" a="1"/>
  <c r="T109" i="51" s="1"/>
  <c r="O66" i="84" s="1"/>
  <c r="L239" i="63"/>
  <c r="G112" i="51" a="1"/>
  <c r="G112" i="51" s="1"/>
  <c r="S109" i="51" a="1"/>
  <c r="S109" i="51" s="1"/>
  <c r="G108" i="51" a="1"/>
  <c r="G108" i="51" s="1"/>
  <c r="L230" i="63"/>
  <c r="T111" i="51" a="1"/>
  <c r="T111" i="51" s="1"/>
  <c r="T146" i="51" s="1" a="1"/>
  <c r="T146" i="51" s="1"/>
  <c r="L211" i="63" a="1"/>
  <c r="L211" i="63" s="1"/>
  <c r="L247" i="63" s="1"/>
  <c r="L212" i="63" a="1"/>
  <c r="L212" i="63" s="1"/>
  <c r="L248" i="63" s="1"/>
  <c r="L213" i="63" a="1"/>
  <c r="L213" i="63" s="1"/>
  <c r="L249" i="63" s="1"/>
  <c r="L205" i="63" a="1"/>
  <c r="L205" i="63" s="1"/>
  <c r="L241" i="63" s="1"/>
  <c r="L206" i="63" a="1"/>
  <c r="L206" i="63" s="1"/>
  <c r="L242" i="63" s="1"/>
  <c r="L215" i="63" a="1"/>
  <c r="L215" i="63" s="1"/>
  <c r="L251" i="63" s="1"/>
  <c r="L214" i="63" a="1"/>
  <c r="L214" i="63" s="1"/>
  <c r="L250" i="63" s="1"/>
  <c r="S111" i="51" a="1"/>
  <c r="S111" i="51" s="1"/>
  <c r="J109" i="51" a="1"/>
  <c r="J109" i="51" s="1"/>
  <c r="O67" i="52" s="1"/>
  <c r="I110" i="51" a="1"/>
  <c r="I110" i="51" s="1"/>
  <c r="H112" i="51" a="1"/>
  <c r="H112" i="51" s="1"/>
  <c r="L238" i="63"/>
  <c r="S110" i="51" a="1"/>
  <c r="S110" i="51" s="1"/>
  <c r="G107" i="51" a="1"/>
  <c r="G107" i="51" s="1"/>
  <c r="Q111" i="51" a="1"/>
  <c r="Q111" i="51" s="1"/>
  <c r="L237" i="63"/>
  <c r="Q108" i="51" a="1"/>
  <c r="Q108" i="51" s="1"/>
  <c r="J110" i="51" a="1"/>
  <c r="J110" i="51" s="1"/>
  <c r="J111" i="51" a="1"/>
  <c r="J111" i="51" s="1"/>
  <c r="L236" i="63"/>
  <c r="G110" i="51" a="1"/>
  <c r="G110" i="51" s="1"/>
  <c r="R109" i="51" a="1"/>
  <c r="R109" i="51" s="1"/>
  <c r="L240" i="63"/>
  <c r="J112" i="51" a="1"/>
  <c r="J112" i="51" s="1"/>
  <c r="E66" i="80"/>
  <c r="E68" i="80" s="1"/>
  <c r="E66" i="84"/>
  <c r="E68" i="84" s="1"/>
  <c r="R12" i="51" a="1"/>
  <c r="R12" i="51" s="1"/>
  <c r="R58" i="51" a="1"/>
  <c r="R58" i="51" s="1"/>
  <c r="D3" i="44"/>
  <c r="E3" i="44"/>
  <c r="Q45" i="51"/>
  <c r="T44" i="51"/>
  <c r="T49" i="51"/>
  <c r="G69" i="52"/>
  <c r="D67" i="52"/>
  <c r="G9" i="51" a="1"/>
  <c r="G9" i="51" s="1"/>
  <c r="G55" i="51" a="1"/>
  <c r="G55" i="51" s="1"/>
  <c r="H44" i="51"/>
  <c r="Q48" i="51"/>
  <c r="M13" i="50"/>
  <c r="M11" i="50"/>
  <c r="M12" i="50"/>
  <c r="G68" i="80"/>
  <c r="F69" i="52"/>
  <c r="T121" i="51"/>
  <c r="I16" i="51" a="1"/>
  <c r="I16" i="51" s="1"/>
  <c r="I62" i="51" a="1"/>
  <c r="I62" i="51" s="1"/>
  <c r="R50" i="51"/>
  <c r="J13" i="51" a="1"/>
  <c r="J13" i="51" s="1"/>
  <c r="J59" i="51" a="1"/>
  <c r="J59" i="51" s="1"/>
  <c r="E69" i="52"/>
  <c r="F11" i="50"/>
  <c r="H48" i="51"/>
  <c r="F12" i="50"/>
  <c r="F13" i="50"/>
  <c r="I47" i="51"/>
  <c r="G68" i="84"/>
  <c r="S117" i="51"/>
  <c r="K48" i="51"/>
  <c r="I12" i="50"/>
  <c r="I13" i="50"/>
  <c r="I11" i="50"/>
  <c r="T131" i="51" a="1"/>
  <c r="T131" i="51" s="1"/>
  <c r="G14" i="51" a="1"/>
  <c r="G14" i="51" s="1"/>
  <c r="E11" i="50" s="1"/>
  <c r="G60" i="51" a="1"/>
  <c r="G60" i="51" s="1"/>
  <c r="G51" i="51"/>
  <c r="K117" i="51"/>
  <c r="S47" i="51"/>
  <c r="T134" i="51" a="1"/>
  <c r="T134" i="51" s="1"/>
  <c r="J86" i="51" a="1"/>
  <c r="J86" i="51" s="1"/>
  <c r="J132" i="51" a="1"/>
  <c r="J132" i="51" s="1"/>
  <c r="K50" i="51"/>
  <c r="J40" i="52"/>
  <c r="I86" i="51" a="1"/>
  <c r="I86" i="51" s="1"/>
  <c r="I132" i="51" a="1"/>
  <c r="I132" i="51" s="1"/>
  <c r="Q49" i="51"/>
  <c r="H66" i="84"/>
  <c r="H66" i="80"/>
  <c r="U9" i="51" a="1"/>
  <c r="U9" i="51" s="1"/>
  <c r="U55" i="51" a="1"/>
  <c r="U55" i="51" s="1"/>
  <c r="K49" i="51"/>
  <c r="H58" i="51" a="1"/>
  <c r="H58" i="51" s="1"/>
  <c r="R117" i="51"/>
  <c r="U13" i="51" a="1"/>
  <c r="U13" i="51" s="1"/>
  <c r="U59" i="51" a="1"/>
  <c r="U59" i="51" s="1"/>
  <c r="G48" i="51"/>
  <c r="J37" i="52"/>
  <c r="K86" i="51" a="1"/>
  <c r="K86" i="51" s="1"/>
  <c r="K132" i="51" a="1"/>
  <c r="K132" i="51" s="1"/>
  <c r="G121" i="51"/>
  <c r="T47" i="51"/>
  <c r="D68" i="84"/>
  <c r="T50" i="51"/>
  <c r="Q121" i="51"/>
  <c r="R44" i="51"/>
  <c r="P11" i="50"/>
  <c r="P13" i="50"/>
  <c r="T48" i="51"/>
  <c r="P12" i="50"/>
  <c r="J51" i="51"/>
  <c r="J12" i="51" a="1"/>
  <c r="J12" i="51" s="1"/>
  <c r="J58" i="51" a="1"/>
  <c r="J58" i="51" s="1"/>
  <c r="Q82" i="51" a="1"/>
  <c r="Q82" i="51" s="1"/>
  <c r="Q128" i="51" a="1"/>
  <c r="Q128" i="51" s="1"/>
  <c r="I13" i="51" a="1"/>
  <c r="I13" i="51" s="1"/>
  <c r="I59" i="51" a="1"/>
  <c r="I59" i="51" s="1"/>
  <c r="R86" i="51" a="1"/>
  <c r="R86" i="51" s="1"/>
  <c r="R132" i="51" a="1"/>
  <c r="R132" i="51" s="1"/>
  <c r="I117" i="51"/>
  <c r="J44" i="51"/>
  <c r="J15" i="51" a="1"/>
  <c r="J15" i="51" s="1"/>
  <c r="J61" i="51" a="1"/>
  <c r="J61" i="51" s="1"/>
  <c r="T82" i="51" a="1"/>
  <c r="T82" i="51" s="1"/>
  <c r="O66" i="80"/>
  <c r="T128" i="51" a="1"/>
  <c r="T128" i="51" s="1"/>
  <c r="I44" i="51"/>
  <c r="G117" i="51"/>
  <c r="G10" i="51" a="1"/>
  <c r="G10" i="51" s="1"/>
  <c r="G56" i="51" a="1"/>
  <c r="G56" i="51" s="1"/>
  <c r="K12" i="51" a="1"/>
  <c r="K12" i="51" s="1"/>
  <c r="K58" i="51" a="1"/>
  <c r="K58" i="51" s="1"/>
  <c r="K51" i="51"/>
  <c r="S13" i="51" a="1"/>
  <c r="S13" i="51" s="1"/>
  <c r="S59" i="51" a="1"/>
  <c r="S59" i="51" s="1"/>
  <c r="S121" i="51"/>
  <c r="S50" i="51"/>
  <c r="H117" i="51"/>
  <c r="H51" i="51"/>
  <c r="I49" i="51"/>
  <c r="U117" i="51"/>
  <c r="N12" i="50"/>
  <c r="N13" i="50"/>
  <c r="R48" i="51"/>
  <c r="N11" i="50"/>
  <c r="J82" i="51" a="1"/>
  <c r="J82" i="51" s="1"/>
  <c r="J128" i="51" a="1"/>
  <c r="J128" i="51" s="1"/>
  <c r="I50" i="51"/>
  <c r="S44" i="51"/>
  <c r="H121" i="51"/>
  <c r="R49" i="51"/>
  <c r="H67" i="52"/>
  <c r="K9" i="51" a="1"/>
  <c r="K9" i="51" s="1"/>
  <c r="K55" i="51" a="1"/>
  <c r="K55" i="51" s="1"/>
  <c r="U86" i="51" a="1"/>
  <c r="U86" i="51" s="1"/>
  <c r="U132" i="51" a="1"/>
  <c r="U132" i="51" s="1"/>
  <c r="I66" i="84" l="1"/>
  <c r="K36" i="84" s="1"/>
  <c r="T85" i="51" a="1"/>
  <c r="T85" i="51" s="1"/>
  <c r="Q145" i="51" a="1"/>
  <c r="Q145" i="51" s="1"/>
  <c r="H87" i="51" a="1"/>
  <c r="H87" i="51" s="1"/>
  <c r="F25" i="50" s="1"/>
  <c r="F29" i="50" s="1" a="1"/>
  <c r="F29" i="50" s="1"/>
  <c r="L66" i="84"/>
  <c r="K112" i="51" a="1"/>
  <c r="K112" i="51" s="1"/>
  <c r="K147" i="51" s="1" a="1"/>
  <c r="K147" i="51" s="1"/>
  <c r="K110" i="51" a="1"/>
  <c r="K110" i="51" s="1"/>
  <c r="K145" i="51" s="1" a="1"/>
  <c r="K145" i="51" s="1"/>
  <c r="N102" i="52" a="1"/>
  <c r="N102" i="52" s="1"/>
  <c r="N64" i="52" s="1"/>
  <c r="N65" i="52" s="1"/>
  <c r="R87" i="51" a="1"/>
  <c r="R87" i="51" s="1"/>
  <c r="R122" i="51" s="1"/>
  <c r="Q83" i="51" a="1"/>
  <c r="Q83" i="51" s="1"/>
  <c r="Q118" i="51" s="1"/>
  <c r="L66" i="80"/>
  <c r="I85" i="51" a="1"/>
  <c r="I85" i="51" s="1"/>
  <c r="I120" i="51" s="1"/>
  <c r="I144" i="51" a="1"/>
  <c r="I144" i="51" s="1"/>
  <c r="Q142" i="51" a="1"/>
  <c r="Q142" i="51" s="1"/>
  <c r="T88" i="51" a="1"/>
  <c r="T88" i="51" s="1"/>
  <c r="T123" i="51" s="1"/>
  <c r="O292" i="49"/>
  <c r="P285" i="49"/>
  <c r="Q285" i="49" s="1"/>
  <c r="U111" i="51" a="1"/>
  <c r="U111" i="51" s="1"/>
  <c r="U146" i="51" s="1" a="1"/>
  <c r="U146" i="51" s="1"/>
  <c r="E13" i="50"/>
  <c r="E17" i="50" s="1" a="1"/>
  <c r="E17" i="50" s="1"/>
  <c r="I66" i="80"/>
  <c r="K36" i="80" s="1"/>
  <c r="D39" i="80" s="1"/>
  <c r="F68" i="80"/>
  <c r="H146" i="51" a="1"/>
  <c r="H146" i="51" s="1"/>
  <c r="U110" i="51" a="1"/>
  <c r="U110" i="51" s="1"/>
  <c r="U87" i="51" s="1" a="1"/>
  <c r="U87" i="51" s="1"/>
  <c r="I146" i="51" a="1"/>
  <c r="I146" i="51" s="1"/>
  <c r="I147" i="51" a="1"/>
  <c r="I147" i="51" s="1"/>
  <c r="I89" i="51" a="1"/>
  <c r="I89" i="51" s="1"/>
  <c r="F27" i="50"/>
  <c r="F31" i="50" s="1" a="1"/>
  <c r="F31" i="50" s="1"/>
  <c r="F26" i="50"/>
  <c r="F30" i="50" s="1" a="1"/>
  <c r="F30" i="50" s="1"/>
  <c r="L99" i="80" a="1"/>
  <c r="L99" i="80" s="1"/>
  <c r="E3" i="63"/>
  <c r="G146" i="51" a="1"/>
  <c r="G146" i="51" s="1"/>
  <c r="G88" i="51" a="1"/>
  <c r="G88" i="51" s="1"/>
  <c r="R146" i="51" a="1"/>
  <c r="R146" i="51" s="1"/>
  <c r="R88" i="51" a="1"/>
  <c r="R88" i="51" s="1"/>
  <c r="T145" i="51" a="1"/>
  <c r="T145" i="51" s="1"/>
  <c r="T87" i="51" a="1"/>
  <c r="T87" i="51" s="1"/>
  <c r="J147" i="51" a="1"/>
  <c r="J147" i="51" s="1"/>
  <c r="J89" i="51" a="1"/>
  <c r="J89" i="51" s="1"/>
  <c r="J145" i="51" a="1"/>
  <c r="J145" i="51" s="1"/>
  <c r="J87" i="51" a="1"/>
  <c r="J87" i="51" s="1"/>
  <c r="H147" i="51" a="1"/>
  <c r="H147" i="51" s="1"/>
  <c r="H89" i="51" a="1"/>
  <c r="H89" i="51" s="1"/>
  <c r="G147" i="51" a="1"/>
  <c r="G147" i="51" s="1"/>
  <c r="G89" i="51" a="1"/>
  <c r="G89" i="51" s="1"/>
  <c r="I145" i="51" a="1"/>
  <c r="I145" i="51" s="1"/>
  <c r="I87" i="51" a="1"/>
  <c r="I87" i="51" s="1"/>
  <c r="G27" i="50" s="1"/>
  <c r="G31" i="50" s="1" a="1"/>
  <c r="G31" i="50" s="1"/>
  <c r="H123" i="51"/>
  <c r="J144" i="51" a="1"/>
  <c r="J144" i="51" s="1"/>
  <c r="O102" i="52" a="1"/>
  <c r="O102" i="52" s="1"/>
  <c r="O64" i="52" s="1"/>
  <c r="J85" i="51" a="1"/>
  <c r="J85" i="51" s="1"/>
  <c r="K111" i="51" a="1"/>
  <c r="K111" i="51" s="1"/>
  <c r="M101" i="84" a="1"/>
  <c r="M101" i="84" s="1"/>
  <c r="M63" i="84" s="1"/>
  <c r="M64" i="84" s="1"/>
  <c r="M101" i="80" a="1"/>
  <c r="M101" i="80" s="1"/>
  <c r="M63" i="80" s="1"/>
  <c r="M64" i="80" s="1"/>
  <c r="R144" i="51" a="1"/>
  <c r="R144" i="51" s="1"/>
  <c r="M66" i="80"/>
  <c r="R85" i="51" a="1"/>
  <c r="R85" i="51" s="1"/>
  <c r="M66" i="84"/>
  <c r="S146" i="51" a="1"/>
  <c r="S146" i="51" s="1"/>
  <c r="S88" i="51" a="1"/>
  <c r="S88" i="51" s="1"/>
  <c r="O101" i="80" a="1"/>
  <c r="O101" i="80" s="1"/>
  <c r="O63" i="80" s="1"/>
  <c r="O64" i="80" s="1"/>
  <c r="O68" i="80" s="1"/>
  <c r="O101" i="84" a="1"/>
  <c r="O101" i="84" s="1"/>
  <c r="O63" i="84" s="1"/>
  <c r="T144" i="51" a="1"/>
  <c r="T144" i="51" s="1"/>
  <c r="G145" i="51" a="1"/>
  <c r="G145" i="51" s="1"/>
  <c r="G87" i="51" a="1"/>
  <c r="G87" i="51" s="1"/>
  <c r="L100" i="80" a="1"/>
  <c r="L100" i="80" s="1"/>
  <c r="L100" i="84" a="1"/>
  <c r="L100" i="84" s="1"/>
  <c r="L63" i="84" s="1"/>
  <c r="L64" i="84" s="1"/>
  <c r="Q143" i="51" a="1"/>
  <c r="Q143" i="51" s="1"/>
  <c r="Q84" i="51" a="1"/>
  <c r="Q84" i="51" s="1"/>
  <c r="Q122" i="51"/>
  <c r="M102" i="52" a="1"/>
  <c r="M102" i="52" s="1"/>
  <c r="M64" i="52" s="1"/>
  <c r="H144" i="51" a="1"/>
  <c r="H144" i="51" s="1"/>
  <c r="H85" i="51" a="1"/>
  <c r="H85" i="51" s="1"/>
  <c r="M67" i="52"/>
  <c r="U109" i="51" a="1"/>
  <c r="U109" i="51" s="1"/>
  <c r="E12" i="50"/>
  <c r="E16" i="50" s="1" a="1"/>
  <c r="E16" i="50" s="1"/>
  <c r="L100" i="52" a="1"/>
  <c r="L100" i="52" s="1"/>
  <c r="G142" i="51" a="1"/>
  <c r="G142" i="51" s="1"/>
  <c r="G83" i="51" a="1"/>
  <c r="G83" i="51" s="1"/>
  <c r="L67" i="52"/>
  <c r="K109" i="51" a="1"/>
  <c r="K109" i="51" s="1"/>
  <c r="H122" i="51"/>
  <c r="G143" i="51" a="1"/>
  <c r="G143" i="51" s="1"/>
  <c r="L101" i="52" a="1"/>
  <c r="L101" i="52" s="1"/>
  <c r="G84" i="51" a="1"/>
  <c r="G84" i="51" s="1"/>
  <c r="I123" i="51"/>
  <c r="J146" i="51" a="1"/>
  <c r="J146" i="51" s="1"/>
  <c r="J88" i="51" a="1"/>
  <c r="J88" i="51" s="1"/>
  <c r="Q146" i="51" a="1"/>
  <c r="Q146" i="51" s="1"/>
  <c r="Q88" i="51" a="1"/>
  <c r="Q88" i="51" s="1"/>
  <c r="S145" i="51" a="1"/>
  <c r="S145" i="51" s="1"/>
  <c r="S87" i="51" a="1"/>
  <c r="S87" i="51" s="1"/>
  <c r="N101" i="80" a="1"/>
  <c r="N101" i="80" s="1"/>
  <c r="N63" i="80" s="1"/>
  <c r="N64" i="80" s="1"/>
  <c r="N101" i="84" a="1"/>
  <c r="N101" i="84" s="1"/>
  <c r="N63" i="84" s="1"/>
  <c r="N64" i="84" s="1"/>
  <c r="S144" i="51" a="1"/>
  <c r="S144" i="51" s="1"/>
  <c r="N66" i="80"/>
  <c r="N66" i="84"/>
  <c r="S85" i="51" a="1"/>
  <c r="S85" i="51" s="1"/>
  <c r="R47" i="51"/>
  <c r="N17" i="50" a="1"/>
  <c r="N17" i="50" s="1"/>
  <c r="H69" i="52"/>
  <c r="R121" i="51"/>
  <c r="P15" i="50" a="1"/>
  <c r="P15" i="50" s="1"/>
  <c r="M17" i="50" a="1"/>
  <c r="M17" i="50" s="1"/>
  <c r="I67" i="52"/>
  <c r="D69" i="52"/>
  <c r="G12" i="50"/>
  <c r="I48" i="51"/>
  <c r="G13" i="50"/>
  <c r="G11" i="50"/>
  <c r="K121" i="51"/>
  <c r="G49" i="51"/>
  <c r="F17" i="50" a="1"/>
  <c r="F17" i="50" s="1"/>
  <c r="O11" i="50"/>
  <c r="O12" i="50"/>
  <c r="S48" i="51"/>
  <c r="O13" i="50"/>
  <c r="K47" i="51"/>
  <c r="E15" i="50" a="1"/>
  <c r="E15" i="50" s="1"/>
  <c r="U44" i="51"/>
  <c r="F16" i="50" a="1"/>
  <c r="F16" i="50" s="1"/>
  <c r="J47" i="51"/>
  <c r="J50" i="51"/>
  <c r="U121" i="51"/>
  <c r="H47" i="51"/>
  <c r="H68" i="80"/>
  <c r="T120" i="51"/>
  <c r="I51" i="51"/>
  <c r="K44" i="51"/>
  <c r="G44" i="51"/>
  <c r="H68" i="84"/>
  <c r="I15" i="50" a="1"/>
  <c r="I15" i="50" s="1"/>
  <c r="M16" i="50" a="1"/>
  <c r="M16" i="50" s="1"/>
  <c r="N16" i="50" a="1"/>
  <c r="N16" i="50" s="1"/>
  <c r="G45" i="51"/>
  <c r="N15" i="50" a="1"/>
  <c r="N15" i="50" s="1"/>
  <c r="P16" i="50" a="1"/>
  <c r="P16" i="50" s="1"/>
  <c r="T117" i="51"/>
  <c r="Q117" i="51"/>
  <c r="U48" i="51"/>
  <c r="Q12" i="50"/>
  <c r="Q13" i="50"/>
  <c r="Q11" i="50"/>
  <c r="J121" i="51"/>
  <c r="I17" i="50" a="1"/>
  <c r="I17" i="50" s="1"/>
  <c r="F15" i="50" a="1"/>
  <c r="F15" i="50" s="1"/>
  <c r="H13" i="50"/>
  <c r="J48" i="51"/>
  <c r="H12" i="50"/>
  <c r="H11" i="50"/>
  <c r="J117" i="51"/>
  <c r="P17" i="50" a="1"/>
  <c r="P17" i="50" s="1"/>
  <c r="I121" i="51"/>
  <c r="I16" i="50" a="1"/>
  <c r="I16" i="50" s="1"/>
  <c r="M15" i="50" a="1"/>
  <c r="M15" i="50" s="1"/>
  <c r="K87" i="51" l="1" a="1"/>
  <c r="K87" i="51" s="1"/>
  <c r="K89" i="51" a="1"/>
  <c r="K89" i="51" s="1"/>
  <c r="K124" i="51" s="1"/>
  <c r="U145" i="51" a="1"/>
  <c r="U145" i="51" s="1"/>
  <c r="N27" i="50"/>
  <c r="N31" i="50" s="1" a="1"/>
  <c r="N31" i="50" s="1"/>
  <c r="L63" i="80"/>
  <c r="L64" i="80" s="1"/>
  <c r="P27" i="50"/>
  <c r="P31" i="50" s="1" a="1"/>
  <c r="P31" i="50" s="1"/>
  <c r="U88" i="51" a="1"/>
  <c r="U88" i="51" s="1"/>
  <c r="Q25" i="50" s="1"/>
  <c r="Q29" i="50" s="1" a="1"/>
  <c r="Q29" i="50" s="1"/>
  <c r="H26" i="50"/>
  <c r="H30" i="50" s="1" a="1"/>
  <c r="H30" i="50" s="1"/>
  <c r="G25" i="50"/>
  <c r="G29" i="50" s="1" a="1"/>
  <c r="G29" i="50" s="1"/>
  <c r="G26" i="50"/>
  <c r="G30" i="50" s="1" a="1"/>
  <c r="G30" i="50" s="1"/>
  <c r="I68" i="84"/>
  <c r="I68" i="80"/>
  <c r="H25" i="50"/>
  <c r="H29" i="50" s="1" a="1"/>
  <c r="H29" i="50" s="1"/>
  <c r="H27" i="50"/>
  <c r="H31" i="50" s="1" a="1"/>
  <c r="H31" i="50" s="1"/>
  <c r="P26" i="50"/>
  <c r="P30" i="50" s="1" a="1"/>
  <c r="P30" i="50" s="1"/>
  <c r="P25" i="50"/>
  <c r="P29" i="50" s="1" a="1"/>
  <c r="P29" i="50" s="1"/>
  <c r="N26" i="50"/>
  <c r="N30" i="50" s="1" a="1"/>
  <c r="N30" i="50" s="1"/>
  <c r="F37" i="50"/>
  <c r="F38" i="50"/>
  <c r="N25" i="50"/>
  <c r="F36" i="50"/>
  <c r="I124" i="51"/>
  <c r="G123" i="51"/>
  <c r="T122" i="51"/>
  <c r="R123" i="51"/>
  <c r="L68" i="84"/>
  <c r="G119" i="51"/>
  <c r="K122" i="51"/>
  <c r="P102" i="52" a="1"/>
  <c r="P102" i="52" s="1"/>
  <c r="P64" i="52" s="1"/>
  <c r="K144" i="51" a="1"/>
  <c r="K144" i="51" s="1"/>
  <c r="P67" i="52"/>
  <c r="K85" i="51" a="1"/>
  <c r="K85" i="51" s="1"/>
  <c r="L64" i="52"/>
  <c r="M68" i="80"/>
  <c r="K146" i="51" a="1"/>
  <c r="K146" i="51" s="1"/>
  <c r="K88" i="51" a="1"/>
  <c r="K88" i="51" s="1"/>
  <c r="U122" i="51"/>
  <c r="S120" i="51"/>
  <c r="S122" i="51"/>
  <c r="O27" i="50"/>
  <c r="O31" i="50" s="1" a="1"/>
  <c r="O31" i="50" s="1"/>
  <c r="O25" i="50"/>
  <c r="O29" i="50" s="1" a="1"/>
  <c r="O29" i="50" s="1"/>
  <c r="O26" i="50"/>
  <c r="O30" i="50" s="1" a="1"/>
  <c r="O30" i="50" s="1"/>
  <c r="O64" i="84"/>
  <c r="O68" i="84" s="1"/>
  <c r="J120" i="51"/>
  <c r="N68" i="84"/>
  <c r="G118" i="51"/>
  <c r="P101" i="84" a="1"/>
  <c r="P101" i="84" s="1"/>
  <c r="P63" i="84" s="1"/>
  <c r="P64" i="84" s="1"/>
  <c r="P101" i="80" a="1"/>
  <c r="P101" i="80" s="1"/>
  <c r="P63" i="80" s="1"/>
  <c r="P64" i="80" s="1"/>
  <c r="U144" i="51" a="1"/>
  <c r="U144" i="51" s="1"/>
  <c r="U85" i="51" a="1"/>
  <c r="U85" i="51" s="1"/>
  <c r="P66" i="84"/>
  <c r="P66" i="80"/>
  <c r="M65" i="52"/>
  <c r="M69" i="52" s="1"/>
  <c r="J122" i="51"/>
  <c r="M25" i="50"/>
  <c r="Q123" i="51"/>
  <c r="M27" i="50"/>
  <c r="M26" i="50"/>
  <c r="G122" i="51"/>
  <c r="E26" i="50"/>
  <c r="E27" i="50"/>
  <c r="E25" i="50"/>
  <c r="S123" i="51"/>
  <c r="O65" i="52"/>
  <c r="O69" i="52" s="1"/>
  <c r="N68" i="80"/>
  <c r="G124" i="51"/>
  <c r="J124" i="51"/>
  <c r="J123" i="51"/>
  <c r="H120" i="51"/>
  <c r="M68" i="84"/>
  <c r="Q119" i="51"/>
  <c r="R120" i="51"/>
  <c r="N69" i="52"/>
  <c r="I122" i="51"/>
  <c r="H124" i="51"/>
  <c r="F3" i="51"/>
  <c r="O16" i="50" a="1"/>
  <c r="O16" i="50" s="1"/>
  <c r="G15" i="50" a="1"/>
  <c r="G15" i="50" s="1"/>
  <c r="O15" i="50" a="1"/>
  <c r="O15" i="50" s="1"/>
  <c r="K36" i="52"/>
  <c r="I69" i="52"/>
  <c r="H15" i="50" a="1"/>
  <c r="H15" i="50" s="1"/>
  <c r="K39" i="84"/>
  <c r="M36" i="84"/>
  <c r="E39" i="84"/>
  <c r="D39" i="84"/>
  <c r="G39" i="84"/>
  <c r="H39" i="84"/>
  <c r="F39" i="84"/>
  <c r="I39" i="84"/>
  <c r="J39" i="84"/>
  <c r="G38" i="50"/>
  <c r="G17" i="50" a="1"/>
  <c r="G17" i="50" s="1"/>
  <c r="Q15" i="50" a="1"/>
  <c r="Q15" i="50" s="1"/>
  <c r="H16" i="50" a="1"/>
  <c r="H16" i="50" s="1"/>
  <c r="Q17" i="50" a="1"/>
  <c r="Q17" i="50" s="1"/>
  <c r="O17" i="50" a="1"/>
  <c r="O17" i="50" s="1"/>
  <c r="H17" i="50" a="1"/>
  <c r="H17" i="50" s="1"/>
  <c r="Q16" i="50" a="1"/>
  <c r="Q16" i="50" s="1"/>
  <c r="E39" i="80"/>
  <c r="M36" i="80"/>
  <c r="K39" i="80"/>
  <c r="G39" i="80"/>
  <c r="J39" i="80"/>
  <c r="H39" i="80"/>
  <c r="F39" i="80"/>
  <c r="I39" i="80"/>
  <c r="G16" i="50" a="1"/>
  <c r="G16" i="50" s="1"/>
  <c r="H38" i="50" l="1"/>
  <c r="P38" i="50"/>
  <c r="N38" i="50"/>
  <c r="U123" i="51"/>
  <c r="Q27" i="50"/>
  <c r="Q31" i="50" s="1" a="1"/>
  <c r="Q31" i="50" s="1"/>
  <c r="Q26" i="50"/>
  <c r="Q30" i="50" s="1" a="1"/>
  <c r="Q30" i="50" s="1"/>
  <c r="P36" i="50"/>
  <c r="G36" i="50"/>
  <c r="G37" i="50"/>
  <c r="H37" i="50"/>
  <c r="N37" i="50"/>
  <c r="H36" i="50"/>
  <c r="P37" i="50"/>
  <c r="O38" i="50"/>
  <c r="Q36" i="50"/>
  <c r="O36" i="50"/>
  <c r="O37" i="50"/>
  <c r="N29" i="50" a="1"/>
  <c r="N29" i="50" s="1"/>
  <c r="N36" i="50"/>
  <c r="M29" i="50" a="1"/>
  <c r="M29" i="50" s="1"/>
  <c r="M36" i="50"/>
  <c r="K120" i="51"/>
  <c r="K123" i="51"/>
  <c r="I26" i="50"/>
  <c r="I27" i="50"/>
  <c r="I25" i="50"/>
  <c r="Q67" i="52"/>
  <c r="E29" i="50" a="1"/>
  <c r="E29" i="50" s="1"/>
  <c r="E36" i="50"/>
  <c r="E31" i="50" a="1"/>
  <c r="E31" i="50" s="1"/>
  <c r="E38" i="50"/>
  <c r="E30" i="50" a="1"/>
  <c r="E30" i="50" s="1"/>
  <c r="E37" i="50"/>
  <c r="M30" i="50" a="1"/>
  <c r="M30" i="50" s="1"/>
  <c r="M37" i="50"/>
  <c r="P68" i="80"/>
  <c r="Q66" i="80"/>
  <c r="Q64" i="80"/>
  <c r="L68" i="80"/>
  <c r="M31" i="50" a="1"/>
  <c r="M31" i="50" s="1"/>
  <c r="M38" i="50"/>
  <c r="Q63" i="84"/>
  <c r="G35" i="84" s="1"/>
  <c r="G40" i="84" s="1"/>
  <c r="Q63" i="80"/>
  <c r="G35" i="80" s="1"/>
  <c r="G40" i="80" s="1"/>
  <c r="P68" i="84"/>
  <c r="G3" i="84" s="1"/>
  <c r="Q66" i="84"/>
  <c r="Q64" i="52"/>
  <c r="L65" i="52"/>
  <c r="P65" i="52"/>
  <c r="P69" i="52" s="1"/>
  <c r="U120" i="51"/>
  <c r="Q64" i="84"/>
  <c r="G3" i="50"/>
  <c r="M36" i="52"/>
  <c r="K39" i="52"/>
  <c r="D39" i="52"/>
  <c r="E39" i="52"/>
  <c r="G39" i="52"/>
  <c r="F39" i="52"/>
  <c r="H39" i="52"/>
  <c r="I39" i="52"/>
  <c r="J39" i="52"/>
  <c r="Q38" i="50" l="1"/>
  <c r="Q37" i="50"/>
  <c r="G3" i="80"/>
  <c r="K35" i="84"/>
  <c r="Q68" i="84"/>
  <c r="I31" i="50" a="1"/>
  <c r="I31" i="50" s="1"/>
  <c r="I38" i="50"/>
  <c r="G3" i="51"/>
  <c r="I30" i="50" a="1"/>
  <c r="I30" i="50" s="1"/>
  <c r="I37" i="50"/>
  <c r="Q68" i="80"/>
  <c r="K35" i="80"/>
  <c r="D38" i="80" s="1"/>
  <c r="K35" i="52"/>
  <c r="K40" i="52" s="1"/>
  <c r="L69" i="52"/>
  <c r="G3" i="52" s="1"/>
  <c r="Q65" i="52"/>
  <c r="Q69" i="52" s="1"/>
  <c r="G35" i="52"/>
  <c r="I29" i="50" a="1"/>
  <c r="I29" i="50" s="1"/>
  <c r="I36" i="50"/>
  <c r="H3" i="50" l="1"/>
  <c r="G38" i="84"/>
  <c r="G41" i="84" s="1"/>
  <c r="K40" i="84"/>
  <c r="H38" i="84"/>
  <c r="H41" i="84" s="1"/>
  <c r="F38" i="84"/>
  <c r="F41" i="84" s="1"/>
  <c r="I38" i="84"/>
  <c r="I41" i="84" s="1"/>
  <c r="M35" i="84"/>
  <c r="F3" i="84" s="1"/>
  <c r="K38" i="84"/>
  <c r="J38" i="84"/>
  <c r="J41" i="84" s="1"/>
  <c r="E38" i="84"/>
  <c r="E41" i="84" s="1"/>
  <c r="D38" i="84"/>
  <c r="D41" i="84" s="1"/>
  <c r="G38" i="52"/>
  <c r="E38" i="52"/>
  <c r="E41" i="52" s="1"/>
  <c r="D38" i="52"/>
  <c r="D41" i="52" s="1"/>
  <c r="F38" i="52"/>
  <c r="F41" i="52" s="1"/>
  <c r="I38" i="52"/>
  <c r="I41" i="52" s="1"/>
  <c r="H38" i="52"/>
  <c r="H41" i="52" s="1"/>
  <c r="K38" i="52"/>
  <c r="J38" i="52"/>
  <c r="J41" i="52" s="1"/>
  <c r="K37" i="52"/>
  <c r="G37" i="52"/>
  <c r="G40" i="52"/>
  <c r="M35" i="52"/>
  <c r="F3" i="52" s="1"/>
  <c r="K40" i="80"/>
  <c r="D41" i="80"/>
  <c r="G38" i="80"/>
  <c r="G41" i="80" s="1"/>
  <c r="I38" i="80"/>
  <c r="I41" i="80" s="1"/>
  <c r="M35" i="80"/>
  <c r="F3" i="80" s="1"/>
  <c r="H38" i="80"/>
  <c r="H41" i="80" s="1"/>
  <c r="F38" i="80"/>
  <c r="F41" i="80" s="1"/>
  <c r="E38" i="80"/>
  <c r="E41" i="80" s="1"/>
  <c r="K38" i="80"/>
  <c r="J38" i="80"/>
  <c r="J41" i="80" s="1"/>
  <c r="K41" i="80" l="1"/>
  <c r="M41" i="80" s="1"/>
  <c r="G41" i="52"/>
  <c r="K41" i="52" s="1"/>
  <c r="M41" i="52" s="1"/>
  <c r="K41" i="84"/>
  <c r="M41" i="8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F9785F8-8E6C-42C1-8B54-7D2A2D9AD5A4}" keepAlive="1" name="Query - VDOdecisions" description="Connection to the 'VDOdecisions' query in the workbook." type="5" refreshedVersion="6" background="1" saveData="1">
    <dbPr connection="Provider=Microsoft.Mashup.OleDb.1;Data Source=$Workbook$;Location=VDOdecisions;Extended Properties=&quot;&quot;" command="SELECT * FROM [VDOdecision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<sst xmlns="http://schemas.openxmlformats.org/spreadsheetml/2006/main" count="7291" uniqueCount="563">
  <si>
    <t>Victorian Default Offer (VDO)</t>
  </si>
  <si>
    <t>2024-25</t>
  </si>
  <si>
    <t>VDO calculation model</t>
  </si>
  <si>
    <t>Essential Services Commission</t>
  </si>
  <si>
    <t>Disclaimer, copyright &amp; terms and conditions of use
The VDO Price Determination model (model) does not constitute a decision or determination by the Essential Services Commission (commission). The model has been designed by the commission to enable it to calculate the tariffs a retailer may charge prescribed customers under a standing offer.
Limited access to this model is made available to third parties (users) for information purposes only and for the sole purpose of illustrating the modelling framework used by the commission to calculate the VDO tariffs.  The commission gives no warranty and makes no representation as to the accuracy, reliability, timeliness or other features of the data contained in the model for use other than calculation by the commission of the VDO tariffs.
Copyright and all other intellectual property rights in the model vests with the commission.  The commission hereby permits a user to view the model, download and use the model, and display and print the model from the commission’s website only in unaltered form, for the purposes of internal study, research, criticism or review by the user only, provided the user acknowledges the source of the model or any parts of the model.
A user must not disrupt, modify or interfere with the model, or alter or tamper with any information or material in or associated with the model, or gain or attempt to gain unauthorized access to secure parts of the model.  A user must not make the model available to a third party and must direct a third party to access the model directly from the commission’s website.
By viewing, downloading, using, displaying or printing the model or parts of the model, you agree to be bound by the disclaimer, copyright provisions and these terms and conditions of use. 
Note:  If you have obtained the model otherwise than by downloading it from the commission’s website, the model may have been modified by a previous user. The commission accepts no liability in relation to modifications made by any user.</t>
  </si>
  <si>
    <t>Contents</t>
  </si>
  <si>
    <t>Confidentiality</t>
  </si>
  <si>
    <t>Name</t>
  </si>
  <si>
    <t>Link</t>
  </si>
  <si>
    <t>Description</t>
  </si>
  <si>
    <t>Public</t>
  </si>
  <si>
    <t>Disclaimer</t>
  </si>
  <si>
    <t>This page contains a declaration regarding the limitations and use of this model.</t>
  </si>
  <si>
    <t>User guide</t>
  </si>
  <si>
    <t>Instructions for model operation.</t>
  </si>
  <si>
    <t>Information</t>
  </si>
  <si>
    <t>Checks</t>
  </si>
  <si>
    <t>Calc_Rates</t>
  </si>
  <si>
    <t>Calculations for cost stack rates.</t>
  </si>
  <si>
    <t>Calc_TU_values</t>
  </si>
  <si>
    <t>Calculations for total true up amounts to be recovered.</t>
  </si>
  <si>
    <t>Calc_TU_rates</t>
  </si>
  <si>
    <t>Calculations for true up rates to be applied over the determination period.</t>
  </si>
  <si>
    <t>Inputs</t>
  </si>
  <si>
    <t>All cost and non-cost inputs used in the model.</t>
  </si>
  <si>
    <t>General assumptions</t>
  </si>
  <si>
    <t>Assumptions and constants used in the model.</t>
  </si>
  <si>
    <t>CPI</t>
  </si>
  <si>
    <t>Contains CPI indices used in the model.</t>
  </si>
  <si>
    <t>CH_CostStack_RES</t>
  </si>
  <si>
    <t>Creates the cost stack in the VDO paper for typical residential customer bill</t>
  </si>
  <si>
    <t>CH_CostStack_SME</t>
  </si>
  <si>
    <t>Worksheet description:</t>
  </si>
  <si>
    <t>[Please provide a description of what this sheet does and any specific details or other notes the user needs to know]</t>
  </si>
  <si>
    <t>User Guide</t>
  </si>
  <si>
    <t>Section/Item notes (where necessary)</t>
  </si>
  <si>
    <t>Model Structure</t>
  </si>
  <si>
    <t>Calculation methodology</t>
  </si>
  <si>
    <t>Calculated rates and prices</t>
  </si>
  <si>
    <t>True up costs and rates</t>
  </si>
  <si>
    <t>Annual bills</t>
  </si>
  <si>
    <t>Worksheets</t>
  </si>
  <si>
    <t>Inupts and assumptions</t>
  </si>
  <si>
    <t>Cost calculations</t>
  </si>
  <si>
    <t>Output and summary</t>
  </si>
  <si>
    <t>Supporting information</t>
  </si>
  <si>
    <t>Year</t>
  </si>
  <si>
    <t>VDO decision</t>
  </si>
  <si>
    <t>Cost element</t>
  </si>
  <si>
    <t>Cost item</t>
  </si>
  <si>
    <t>F-NextVDO_Input</t>
  </si>
  <si>
    <t>NA</t>
  </si>
  <si>
    <t>Checks:</t>
  </si>
  <si>
    <t>VDO residential rates</t>
  </si>
  <si>
    <t>VDO small business rates</t>
  </si>
  <si>
    <t>Rate name</t>
  </si>
  <si>
    <t>Unit</t>
  </si>
  <si>
    <t>Customer type</t>
  </si>
  <si>
    <t>-</t>
  </si>
  <si>
    <t>Ausnet</t>
  </si>
  <si>
    <t>Citipower</t>
  </si>
  <si>
    <t>Jemena</t>
  </si>
  <si>
    <t>Powercor</t>
  </si>
  <si>
    <t>United Energy</t>
  </si>
  <si>
    <t>Anytime - supply</t>
  </si>
  <si>
    <t>$</t>
  </si>
  <si>
    <t>Residential</t>
  </si>
  <si>
    <t>Small business</t>
  </si>
  <si>
    <t>Block 1</t>
  </si>
  <si>
    <t>$/kWh</t>
  </si>
  <si>
    <t>Balance</t>
  </si>
  <si>
    <t>Single rate</t>
  </si>
  <si>
    <t>TOU - supply</t>
  </si>
  <si>
    <t>Peak</t>
  </si>
  <si>
    <t>Off peak</t>
  </si>
  <si>
    <t>Controlled load</t>
  </si>
  <si>
    <t>Residential calculated rate</t>
  </si>
  <si>
    <t>Small business calculated rate</t>
  </si>
  <si>
    <t>Residential True Up</t>
  </si>
  <si>
    <t>Small business True Up</t>
  </si>
  <si>
    <t>Anytime</t>
  </si>
  <si>
    <t>Network</t>
  </si>
  <si>
    <t>TOU</t>
  </si>
  <si>
    <t>Environmental</t>
  </si>
  <si>
    <t>Compliant Maximum Annual Bill (CMAB)</t>
  </si>
  <si>
    <t>Usage profile</t>
  </si>
  <si>
    <t>Residential - small</t>
  </si>
  <si>
    <t>Small business - small</t>
  </si>
  <si>
    <t>Residential - medium</t>
  </si>
  <si>
    <t>Small business - medium</t>
  </si>
  <si>
    <t>Residential - large</t>
  </si>
  <si>
    <t>Small business - large</t>
  </si>
  <si>
    <t>Percentage change</t>
  </si>
  <si>
    <t>This worksheet contains all inputs used for calculating the VDO cost stacks.</t>
  </si>
  <si>
    <t>Year selection</t>
  </si>
  <si>
    <t>Period type</t>
  </si>
  <si>
    <t>Decision</t>
  </si>
  <si>
    <t>Start date</t>
  </si>
  <si>
    <t>End date</t>
  </si>
  <si>
    <t>Next regulatory period</t>
  </si>
  <si>
    <t>Financial year</t>
  </si>
  <si>
    <t>VDO 2024-25 - Draft</t>
  </si>
  <si>
    <t>Current regulatory period</t>
  </si>
  <si>
    <t>VDO 2023-24 - Final</t>
  </si>
  <si>
    <t>Cost stack inputs</t>
  </si>
  <si>
    <t>2022-23</t>
  </si>
  <si>
    <t>2023-24</t>
  </si>
  <si>
    <t>Input_ForRateCalc</t>
  </si>
  <si>
    <t>Fixed/Variable</t>
  </si>
  <si>
    <t>F-PreviousVDO_InputDate</t>
  </si>
  <si>
    <t>F-PreviousVDO_Input</t>
  </si>
  <si>
    <t>VD-PreviousVDO_InputDate</t>
  </si>
  <si>
    <t>VD-PreviousVDO_Input</t>
  </si>
  <si>
    <t>VF-PreviousVDO_InputDate</t>
  </si>
  <si>
    <t>VF-PreviousVDO_Input</t>
  </si>
  <si>
    <t>D-PreviousVDO_InputDate</t>
  </si>
  <si>
    <t>D-PreviousVDO_Input</t>
  </si>
  <si>
    <t>F-PreviousVDO_InputDate2</t>
  </si>
  <si>
    <t>F-PreviousVDO_Input2</t>
  </si>
  <si>
    <t>D-PreviousVDO_InputDate2</t>
  </si>
  <si>
    <t>D-PreviousVDO_Input2</t>
  </si>
  <si>
    <t>F-PreviousVDO_InputDate3</t>
  </si>
  <si>
    <t>F-PreviousVDO_Input3</t>
  </si>
  <si>
    <t>D-CurrentVDO_InputDate</t>
  </si>
  <si>
    <t>D-CurrentVDO_Input</t>
  </si>
  <si>
    <t>F-CurrentVDO_InputDate</t>
  </si>
  <si>
    <t>F-CurrentVDO_Input</t>
  </si>
  <si>
    <t>D-NextVDO_InputDate</t>
  </si>
  <si>
    <t>D-NextVDO_Input</t>
  </si>
  <si>
    <t>F-NextVDO_InputDate</t>
  </si>
  <si>
    <t>Retail</t>
  </si>
  <si>
    <t>Retail operating cost - base</t>
  </si>
  <si>
    <t>Fixed</t>
  </si>
  <si>
    <t>All</t>
  </si>
  <si>
    <t>Retail operating cost - regulatory cost allowance</t>
  </si>
  <si>
    <t>Retail operating cost - 5 min settlement allowance</t>
  </si>
  <si>
    <t>Retail operating cost - bad debt allowance</t>
  </si>
  <si>
    <t>Retail operating cost - consumer data right allowance</t>
  </si>
  <si>
    <t>Customer acquisition and retention cost</t>
  </si>
  <si>
    <t>Solar</t>
  </si>
  <si>
    <t>Feed-in tariff (FiT)</t>
  </si>
  <si>
    <t>Other</t>
  </si>
  <si>
    <t>ESC licence fees</t>
  </si>
  <si>
    <t>Reliability and emergency reserve trader (RERT)</t>
  </si>
  <si>
    <t>Energy Consumers Australia</t>
  </si>
  <si>
    <t>$/week</t>
  </si>
  <si>
    <t>Full retail competition (FRC) operations</t>
  </si>
  <si>
    <t>General NEM fees - fixed</t>
  </si>
  <si>
    <t>Distributed Energy Resources Integration Program (DER) - fixed</t>
  </si>
  <si>
    <t>IT upgrade and 5MS/GS compliance - fixed</t>
  </si>
  <si>
    <t>Metering - Ausnet</t>
  </si>
  <si>
    <t>$/year</t>
  </si>
  <si>
    <t>Metering - Citipower</t>
  </si>
  <si>
    <t>Metering - Jemena</t>
  </si>
  <si>
    <t>Metering - Powercor</t>
  </si>
  <si>
    <t>Metering - United Energy</t>
  </si>
  <si>
    <t>Anytime - supply charge - RES - Ausnet</t>
  </si>
  <si>
    <t>Anytime - supply charge - RES - Citipower</t>
  </si>
  <si>
    <t>Anytime - supply charge - RES - Jemena</t>
  </si>
  <si>
    <t>Anytime - supply charge - RES - Powercor</t>
  </si>
  <si>
    <t>Anytime - supply charge - RES - United Energy</t>
  </si>
  <si>
    <t>Anytime - supply charge - SME - Ausnet</t>
  </si>
  <si>
    <t>Anytime - supply charge - SME - Citipower</t>
  </si>
  <si>
    <t>Anytime - supply charge - SME - Jemena</t>
  </si>
  <si>
    <t>Anytime - supply charge - SME - Powercor</t>
  </si>
  <si>
    <t>Anytime - supply charge - SME - United Energy</t>
  </si>
  <si>
    <t>TOU - supply charge - RES - Ausnet</t>
  </si>
  <si>
    <t>TOU - supply charge - RES - Citipower</t>
  </si>
  <si>
    <t>TOU - supply charge - RES - Jemena</t>
  </si>
  <si>
    <t>TOU - supply charge - RES - Powercor</t>
  </si>
  <si>
    <t>TOU - supply charge - RES - United Energy</t>
  </si>
  <si>
    <t>TOU - supply charge - SME - Ausnet</t>
  </si>
  <si>
    <t>TOU - supply charge - SME - Citipower</t>
  </si>
  <si>
    <t>TOU - supply charge - SME - Jemena</t>
  </si>
  <si>
    <t>TOU - supply charge - SME - Powercor</t>
  </si>
  <si>
    <t>TOU - supply charge - SME - United Energy</t>
  </si>
  <si>
    <t>Wholesale</t>
  </si>
  <si>
    <t>Price - RES - Ausnet</t>
  </si>
  <si>
    <t>Variable</t>
  </si>
  <si>
    <t>$/MWh</t>
  </si>
  <si>
    <t>Price - RES - Citipower</t>
  </si>
  <si>
    <t>Price - RES - Jemena</t>
  </si>
  <si>
    <t>Price - RES - Powercor</t>
  </si>
  <si>
    <t>Price - RES - United Energy</t>
  </si>
  <si>
    <t>Volatility - RES - Ausnet</t>
  </si>
  <si>
    <t>Volatility - RES - Citipower</t>
  </si>
  <si>
    <t>Volatility - RES - Jemena</t>
  </si>
  <si>
    <t>Volatility - RES - Powercor</t>
  </si>
  <si>
    <t>Volatility - RES - United Energy</t>
  </si>
  <si>
    <t>Price - SME - Ausnet</t>
  </si>
  <si>
    <t>Price - SME - Citipower</t>
  </si>
  <si>
    <t>Price - SME - Jemena</t>
  </si>
  <si>
    <t>Price - SME - Powercor</t>
  </si>
  <si>
    <t>Price - SME - United Energy</t>
  </si>
  <si>
    <t>Volatility - SME - Ausnet</t>
  </si>
  <si>
    <t>Volatility - SME - Citipower</t>
  </si>
  <si>
    <t>Volatility - SME - Jemena</t>
  </si>
  <si>
    <t>Volatility - SME - Powercor</t>
  </si>
  <si>
    <t>Volatility - SME - United Energy</t>
  </si>
  <si>
    <t>Victorian energy upgrades (VEU) - Price</t>
  </si>
  <si>
    <t>$/certificate</t>
  </si>
  <si>
    <t>Large-scale renewable energy target (LRET) - Price</t>
  </si>
  <si>
    <t>Small-scale renewable energy scheme (SRES) - Price</t>
  </si>
  <si>
    <t>Victorian energy upgrades (VEU) - Liability</t>
  </si>
  <si>
    <t>%/year</t>
  </si>
  <si>
    <t>Large-scale renewable energy target (LRET) - Liability</t>
  </si>
  <si>
    <t>Large-scale renewable energy target (LRET) - Liability true up (2021 only)</t>
  </si>
  <si>
    <t>Small-scale renewable energy scheme (SRES) - Liability</t>
  </si>
  <si>
    <t>Small-scale renewable energy scheme (SRES) - Liability true up (2021 only)</t>
  </si>
  <si>
    <t>General NEM fees</t>
  </si>
  <si>
    <t>Full retail competition (FRC) operations (OBSOLETE)</t>
  </si>
  <si>
    <t>National transmission planner</t>
  </si>
  <si>
    <t>Ancillary services</t>
  </si>
  <si>
    <t>IT upgrade and 5MS/GS compliance</t>
  </si>
  <si>
    <t>Distributed Energy Resources Integration Program (DER)</t>
  </si>
  <si>
    <t>NEW</t>
  </si>
  <si>
    <t>Market suspension - usage</t>
  </si>
  <si>
    <t>Directions - usage</t>
  </si>
  <si>
    <t>Administered price cap - usage</t>
  </si>
  <si>
    <t>Anytime - Block 1 - RES - Ausnet</t>
  </si>
  <si>
    <t>c/kWh</t>
  </si>
  <si>
    <t>Anytime - Balance - RES - Ausnet</t>
  </si>
  <si>
    <t>Anytime - Single rate - RES - Citipower</t>
  </si>
  <si>
    <t>Anytime - Single rate - RES - Jemena</t>
  </si>
  <si>
    <t>Anytime - Single rate - RES - Powercor</t>
  </si>
  <si>
    <t>Anytime - Single rate - RES - United Energy</t>
  </si>
  <si>
    <t>Anytime - Block 1 - SME - Ausnet</t>
  </si>
  <si>
    <t>Anytime - Balance - SME - Ausnet</t>
  </si>
  <si>
    <t>Anytime - Single rate - SME - Citipower</t>
  </si>
  <si>
    <t>Anytime - Single rate - SME - Jemena</t>
  </si>
  <si>
    <t>Anytime - Single rate - SME - Powercor</t>
  </si>
  <si>
    <t>Anytime - Single rate - SME - United Energy</t>
  </si>
  <si>
    <t>TOU - Peak - RES - Ausnet</t>
  </si>
  <si>
    <t>TOU - Peak - RES - Citipower</t>
  </si>
  <si>
    <t>TOU - Peak - RES - Jemena</t>
  </si>
  <si>
    <t>TOU - Peak - RES - Powercor</t>
  </si>
  <si>
    <t>TOU - Peak - RES - United Energy</t>
  </si>
  <si>
    <t>TOU - Off peak - RES - Ausnet</t>
  </si>
  <si>
    <t>TOU - Off peak - RES - Citipower</t>
  </si>
  <si>
    <t>TOU - Off peak - RES - Jemena</t>
  </si>
  <si>
    <t>TOU - Off peak - RES - Powercor</t>
  </si>
  <si>
    <t>TOU - Off peak - RES - United Energy</t>
  </si>
  <si>
    <t>TOU - Peak - SME - Ausnet</t>
  </si>
  <si>
    <t>TOU - Peak - SME - Citipower</t>
  </si>
  <si>
    <t>TOU - Peak - SME - Jemena</t>
  </si>
  <si>
    <t>TOU - Peak - SME - Powercor</t>
  </si>
  <si>
    <t>TOU - Peak - SME - United Energy</t>
  </si>
  <si>
    <t>TOU - Off peak - SME - Ausnet</t>
  </si>
  <si>
    <t>TOU - Off peak - SME - Citipower</t>
  </si>
  <si>
    <t>TOU - Off peak - SME - Jemena</t>
  </si>
  <si>
    <t>TOU - Off peak - SME - Powercor</t>
  </si>
  <si>
    <t>TOU - Off peak - SME - United Energy</t>
  </si>
  <si>
    <t>Controlled load - RES - Ausnet</t>
  </si>
  <si>
    <t>Controlled load - RES - Citipower</t>
  </si>
  <si>
    <t>Controlled load - RES - Jemena</t>
  </si>
  <si>
    <t>Controlled load - RES - Powercor</t>
  </si>
  <si>
    <t>Controlled load - RES - United Energy</t>
  </si>
  <si>
    <t>Retail margin</t>
  </si>
  <si>
    <t>Retail operating margin</t>
  </si>
  <si>
    <t>%</t>
  </si>
  <si>
    <t>Marginal loss factors</t>
  </si>
  <si>
    <t>Marginal loss factor - Ausnet</t>
  </si>
  <si>
    <t>Marginal loss factor - Citipower</t>
  </si>
  <si>
    <t>Marginal loss factor - Jemena</t>
  </si>
  <si>
    <t>Marginal loss factor - Powercor</t>
  </si>
  <si>
    <t>Marginal loss factor - United Energy</t>
  </si>
  <si>
    <t>Distribution loss factors</t>
  </si>
  <si>
    <t>Distribution loss factor - Ausnet</t>
  </si>
  <si>
    <t>Distribution loss factor - Citipower</t>
  </si>
  <si>
    <t>Distribution loss factor - Jemena</t>
  </si>
  <si>
    <t>Distribution loss factor - Powercor</t>
  </si>
  <si>
    <t>Distribution loss factor - United Energy</t>
  </si>
  <si>
    <t>Usage profile inputs</t>
  </si>
  <si>
    <t>Input_Usage</t>
  </si>
  <si>
    <t>Profile name</t>
  </si>
  <si>
    <t>Usage type</t>
  </si>
  <si>
    <t>Ref</t>
  </si>
  <si>
    <t>Tariff type</t>
  </si>
  <si>
    <t>[blank]</t>
  </si>
  <si>
    <t>[blank]2</t>
  </si>
  <si>
    <t>[blank]3</t>
  </si>
  <si>
    <t>[blank]4</t>
  </si>
  <si>
    <t>[blank]5</t>
  </si>
  <si>
    <t>[blank]6</t>
  </si>
  <si>
    <t>[blank]7</t>
  </si>
  <si>
    <t>[blank]8</t>
  </si>
  <si>
    <t>[blank]9</t>
  </si>
  <si>
    <t>[blank]10</t>
  </si>
  <si>
    <t>[blank]11</t>
  </si>
  <si>
    <t>Annual</t>
  </si>
  <si>
    <t>True up inputs</t>
  </si>
  <si>
    <t>Input_TUEnv_Actual</t>
  </si>
  <si>
    <t>kWh/year</t>
  </si>
  <si>
    <t>Input_TU_Periods</t>
  </si>
  <si>
    <t>Item</t>
  </si>
  <si>
    <t>Item2</t>
  </si>
  <si>
    <t>[blank]12</t>
  </si>
  <si>
    <t>[blank]13</t>
  </si>
  <si>
    <t>Decision period</t>
  </si>
  <si>
    <t>Standard regulatory period</t>
  </si>
  <si>
    <t>Days</t>
  </si>
  <si>
    <t>Modified regulatory period</t>
  </si>
  <si>
    <t>Input_TU_YesNo</t>
  </si>
  <si>
    <t>Component</t>
  </si>
  <si>
    <t>[blank]14</t>
  </si>
  <si>
    <t>Large-scale renewable energy target (LRET)</t>
  </si>
  <si>
    <t>No</t>
  </si>
  <si>
    <t>Yes</t>
  </si>
  <si>
    <t>Small-scale renewable energy scheme (SRES)</t>
  </si>
  <si>
    <t>Victorian energy upgrades (VEU)</t>
  </si>
  <si>
    <t>Anytime - Residential</t>
  </si>
  <si>
    <t>Anytime - Small business</t>
  </si>
  <si>
    <t>TOU - Residential</t>
  </si>
  <si>
    <t>TOU - Small business</t>
  </si>
  <si>
    <t>Input_DecisionActual</t>
  </si>
  <si>
    <t>VDO period</t>
  </si>
  <si>
    <t>Actual</t>
  </si>
  <si>
    <t>VDO 2021 - Final</t>
  </si>
  <si>
    <t>VDO 2021 - Variation draft</t>
  </si>
  <si>
    <t>VDO 2021 - Variation final</t>
  </si>
  <si>
    <t>VDO 2022 - Draft</t>
  </si>
  <si>
    <t>VDO 2022 - Final</t>
  </si>
  <si>
    <t>VDO 2022-23 - Draft</t>
  </si>
  <si>
    <t>VDO 2022-23 - Final</t>
  </si>
  <si>
    <t>VDO 2023-24 - Draft</t>
  </si>
  <si>
    <t>VDO 2024-25 - Final</t>
  </si>
  <si>
    <t>N/A</t>
  </si>
  <si>
    <t>General Assumptions</t>
  </si>
  <si>
    <t>Constants</t>
  </si>
  <si>
    <t>Assumption</t>
  </si>
  <si>
    <t>Value</t>
  </si>
  <si>
    <t>Number of days</t>
  </si>
  <si>
    <t>[DiY]</t>
  </si>
  <si>
    <t>[DiPY]</t>
  </si>
  <si>
    <t>Number of months</t>
  </si>
  <si>
    <t>Number of months in a year</t>
  </si>
  <si>
    <t>[MiY]</t>
  </si>
  <si>
    <t>Number of months in a quarter year</t>
  </si>
  <si>
    <t>[MiQ]</t>
  </si>
  <si>
    <t>Number of weeks</t>
  </si>
  <si>
    <t>[WiY]</t>
  </si>
  <si>
    <t>[WiPY]</t>
  </si>
  <si>
    <t>Financial units</t>
  </si>
  <si>
    <t>AUD</t>
  </si>
  <si>
    <t>[AUD]</t>
  </si>
  <si>
    <t>Financial year end month</t>
  </si>
  <si>
    <t>Goods &amp; Services Tax (GST)</t>
  </si>
  <si>
    <t>[GST]</t>
  </si>
  <si>
    <t>VDO decisions</t>
  </si>
  <si>
    <t>Index</t>
  </si>
  <si>
    <t>VD-CurrentVDO_Input</t>
  </si>
  <si>
    <t>VF-CurrentVDO_Input</t>
  </si>
  <si>
    <t>Rate checks:</t>
  </si>
  <si>
    <t>Calculation</t>
  </si>
  <si>
    <t>Rates</t>
  </si>
  <si>
    <t>Fixed costs</t>
  </si>
  <si>
    <t>Solar (FiT)</t>
  </si>
  <si>
    <t>Metering</t>
  </si>
  <si>
    <t>Residential charges - daily supply</t>
  </si>
  <si>
    <t>Network charge</t>
  </si>
  <si>
    <t>GST</t>
  </si>
  <si>
    <t>Total fixed costs</t>
  </si>
  <si>
    <t>Small business charges - daily supply</t>
  </si>
  <si>
    <t>Variable costs</t>
  </si>
  <si>
    <t>Environmental programs</t>
  </si>
  <si>
    <t>Wholesale cost</t>
  </si>
  <si>
    <t>Network losses</t>
  </si>
  <si>
    <t>Residential charges - usage</t>
  </si>
  <si>
    <t>Anytime usage</t>
  </si>
  <si>
    <t>TOU usage</t>
  </si>
  <si>
    <t>Small business charges - usage</t>
  </si>
  <si>
    <t>Non cost items</t>
  </si>
  <si>
    <t>Indice at VDO decision</t>
  </si>
  <si>
    <t>Adjust?</t>
  </si>
  <si>
    <t>CPI increase</t>
  </si>
  <si>
    <t>CPI uplift factor</t>
  </si>
  <si>
    <t xml:space="preserve"> </t>
  </si>
  <si>
    <t>Marginal loss factor</t>
  </si>
  <si>
    <t>Distribution loss factor</t>
  </si>
  <si>
    <t>Total loss factor</t>
  </si>
  <si>
    <t>Retail costs</t>
  </si>
  <si>
    <t>Retail operating cost</t>
  </si>
  <si>
    <t>Fixed network charges</t>
  </si>
  <si>
    <t>Variable network charges</t>
  </si>
  <si>
    <t>Residential wholesale</t>
  </si>
  <si>
    <t>Price - RES</t>
  </si>
  <si>
    <t>Volatility - RES</t>
  </si>
  <si>
    <t>Small business wholesale</t>
  </si>
  <si>
    <t>Price - SME</t>
  </si>
  <si>
    <t>Volatility - SME</t>
  </si>
  <si>
    <t>Environmental &amp; Solar</t>
  </si>
  <si>
    <t>Victorian Energy Upgrades (VEU)</t>
  </si>
  <si>
    <t>VEU cost</t>
  </si>
  <si>
    <t>Large-scale Renewable Energy Target (LRET)</t>
  </si>
  <si>
    <t>LRET cost</t>
  </si>
  <si>
    <t>Small-scale Renewable Energy Scheme (SRES)</t>
  </si>
  <si>
    <t>SRES cost</t>
  </si>
  <si>
    <t>Feed-in Tariff (FiT)</t>
  </si>
  <si>
    <t>True up</t>
  </si>
  <si>
    <t>Environmental costs</t>
  </si>
  <si>
    <t>Actual time period, months</t>
  </si>
  <si>
    <t>VIC avg</t>
  </si>
  <si>
    <t>Proportion of annual</t>
  </si>
  <si>
    <t>LRET True up</t>
  </si>
  <si>
    <t>WACC adjustment</t>
  </si>
  <si>
    <t>SRES True up</t>
  </si>
  <si>
    <t>VEU True up</t>
  </si>
  <si>
    <t>Calc_TUV_Env_1</t>
  </si>
  <si>
    <t>Decision/Actual</t>
  </si>
  <si>
    <t>Decision ref</t>
  </si>
  <si>
    <t>Pass through (Yes/No)</t>
  </si>
  <si>
    <t>Cost</t>
  </si>
  <si>
    <t>Difference</t>
  </si>
  <si>
    <t>Network loss adjustment</t>
  </si>
  <si>
    <t>Profit margin adjustment</t>
  </si>
  <si>
    <t>GST adjustment</t>
  </si>
  <si>
    <t>Network costs</t>
  </si>
  <si>
    <t>Time period, decision/actual</t>
  </si>
  <si>
    <t>AVG per month</t>
  </si>
  <si>
    <t>1 month impact (TOU)</t>
  </si>
  <si>
    <t>Network true up cost start date</t>
  </si>
  <si>
    <t>Network true up cost end date</t>
  </si>
  <si>
    <t>Cost recovery days</t>
  </si>
  <si>
    <t>TUNet_Usage_Actual_1</t>
  </si>
  <si>
    <t>Total usage</t>
  </si>
  <si>
    <t>Total customers</t>
  </si>
  <si>
    <t>Usage per customer</t>
  </si>
  <si>
    <t>CL usage - True up proportion</t>
  </si>
  <si>
    <t>TUNet_Usage_PerRate_1</t>
  </si>
  <si>
    <t>Usage per customer - Block 1</t>
  </si>
  <si>
    <t>Usage per customer - Balance</t>
  </si>
  <si>
    <t>Usage per customer - Single rate</t>
  </si>
  <si>
    <t>Calc_TUV_Net_1</t>
  </si>
  <si>
    <t>Anytime - supply cost - residential</t>
  </si>
  <si>
    <t>Anytime - supply charge - RES</t>
  </si>
  <si>
    <t>Anytime - supply cost true up</t>
  </si>
  <si>
    <t>Anytime - usage cost - residential</t>
  </si>
  <si>
    <t>Anytime - Block 1 - RES</t>
  </si>
  <si>
    <t>Anytime - Balance - RES</t>
  </si>
  <si>
    <t>Anytime - Single rate - RES</t>
  </si>
  <si>
    <t>Anytime - usage cost true up</t>
  </si>
  <si>
    <t>Controlled load cost - residential</t>
  </si>
  <si>
    <t>Controlled load - RES</t>
  </si>
  <si>
    <t>Controlled load - usage cost true up</t>
  </si>
  <si>
    <t>Anytime - supply cost - small business</t>
  </si>
  <si>
    <t>Anytime - supply charge - SME</t>
  </si>
  <si>
    <t>Anytime - usage cost - small business</t>
  </si>
  <si>
    <t>Anytime - Block 1 - SME</t>
  </si>
  <si>
    <t>Anytime - Balance - SME</t>
  </si>
  <si>
    <t>Anytime - Single rate - SME</t>
  </si>
  <si>
    <t>TOU - supply cost - residential</t>
  </si>
  <si>
    <t>TOU - supply charge - RES</t>
  </si>
  <si>
    <t>TOU - supply cost true up</t>
  </si>
  <si>
    <t>TOU - usage cost - residential</t>
  </si>
  <si>
    <t>TOU - Peak - RES</t>
  </si>
  <si>
    <t>TOU - Off peak - RES</t>
  </si>
  <si>
    <t>TOU - usage cost true up</t>
  </si>
  <si>
    <t>TOU - supply cost - small business</t>
  </si>
  <si>
    <t>TOU - supply charge - SME</t>
  </si>
  <si>
    <t>TOU - usage cost - small business</t>
  </si>
  <si>
    <t>TOU - Peak - SME</t>
  </si>
  <si>
    <t>TOU - Off peak - SME</t>
  </si>
  <si>
    <t>Calc_TUV_Env_2</t>
  </si>
  <si>
    <t>TUNet_Usage_Actual_2</t>
  </si>
  <si>
    <t>TUNet_Usage_PerRate_2</t>
  </si>
  <si>
    <t>Calc_TUV_Net_2</t>
  </si>
  <si>
    <t>True up rate calculation</t>
  </si>
  <si>
    <t>Network true up rates</t>
  </si>
  <si>
    <t>Network true up values per customers - Calc_TUV_NetGroup_1</t>
  </si>
  <si>
    <t>Network true up rate start date</t>
  </si>
  <si>
    <t>Network true up rate end date</t>
  </si>
  <si>
    <t>Network true up rates per customer per day - Calc_TUR_Net_1</t>
  </si>
  <si>
    <t>Rate type</t>
  </si>
  <si>
    <t>Porportion of annual usage</t>
  </si>
  <si>
    <t>Cost recovery kWh</t>
  </si>
  <si>
    <t>Proportion of CL usage</t>
  </si>
  <si>
    <t>Cost recovery CL kWh</t>
  </si>
  <si>
    <t>Network true up rates per customer per kWh - Calc_TUR_NetCL_2</t>
  </si>
  <si>
    <t>Environmental true up rates</t>
  </si>
  <si>
    <t>Calc_TUV_EnvGroup_1</t>
  </si>
  <si>
    <t>Period (days)</t>
  </si>
  <si>
    <t>Decision period multiplier</t>
  </si>
  <si>
    <t>Calc_TUR_Env_1</t>
  </si>
  <si>
    <t>LRET true up</t>
  </si>
  <si>
    <t>SRES true up</t>
  </si>
  <si>
    <t>VEU true up</t>
  </si>
  <si>
    <t>Network true up values per customers - Calc_TUV_NetGroup_2</t>
  </si>
  <si>
    <t>Network true up rates per customer per day - Calc_TUR_Net_2</t>
  </si>
  <si>
    <t>Network true ups - checks</t>
  </si>
  <si>
    <t>Environmental true up values</t>
  </si>
  <si>
    <t>Environmental variable rate true ups</t>
  </si>
  <si>
    <t>Environmental true ups - checks</t>
  </si>
  <si>
    <t>This worksheet contains indices used to adjust cost stack elements by CPI (where necessary).</t>
  </si>
  <si>
    <t>Indices "as at" for previous VDO decisions</t>
  </si>
  <si>
    <t>Decision paper</t>
  </si>
  <si>
    <t>Date</t>
  </si>
  <si>
    <t>Indice</t>
  </si>
  <si>
    <t>VDO 2019</t>
  </si>
  <si>
    <t>VDO 2020</t>
  </si>
  <si>
    <t>VDO 2021 - Draft</t>
  </si>
  <si>
    <t>CPI indices</t>
  </si>
  <si>
    <t>ABS All groups CPI, Australia</t>
  </si>
  <si>
    <t>Series ID A2325846C</t>
  </si>
  <si>
    <t>Latest extract</t>
  </si>
  <si>
    <t>Source ref</t>
  </si>
  <si>
    <t>C/24/2075</t>
  </si>
  <si>
    <t>Period</t>
  </si>
  <si>
    <t>Cost items for CPI adjustment</t>
  </si>
  <si>
    <t>Cost stacks - estimated annual bill</t>
  </si>
  <si>
    <t>Zone</t>
  </si>
  <si>
    <t>Average</t>
  </si>
  <si>
    <t>Customer</t>
  </si>
  <si>
    <t>X axis labels</t>
  </si>
  <si>
    <t>Total</t>
  </si>
  <si>
    <t>change</t>
  </si>
  <si>
    <t>contribution</t>
  </si>
  <si>
    <t>kWh/yr</t>
  </si>
  <si>
    <t>Labels</t>
  </si>
  <si>
    <t>Environmental schemes</t>
  </si>
  <si>
    <t>FiT</t>
  </si>
  <si>
    <t>Environmental true up</t>
  </si>
  <si>
    <t>Cost element total</t>
  </si>
  <si>
    <t>Annual costs</t>
  </si>
  <si>
    <t>Retail cost</t>
  </si>
  <si>
    <t>Network fixed cost</t>
  </si>
  <si>
    <t>Environmental (FiT)</t>
  </si>
  <si>
    <t>Per kWh costs</t>
  </si>
  <si>
    <t>Network usage charge</t>
  </si>
  <si>
    <t>Network true up rate</t>
  </si>
  <si>
    <t>Environmental  true up rate</t>
  </si>
  <si>
    <t>Lookup references</t>
  </si>
  <si>
    <t>Units</t>
  </si>
  <si>
    <t>Usage profiles</t>
  </si>
  <si>
    <t>Change log review</t>
  </si>
  <si>
    <t>Cost Item CPI</t>
  </si>
  <si>
    <t>Decisions</t>
  </si>
  <si>
    <t>ERROR</t>
  </si>
  <si>
    <t>No.</t>
  </si>
  <si>
    <t>$/day</t>
  </si>
  <si>
    <t>[sheet title]</t>
  </si>
  <si>
    <t>[ SECTION HEADING]</t>
  </si>
  <si>
    <t>[EXAMPLE TABLE HEADING]</t>
  </si>
  <si>
    <t>[EXAMPLE COL HEADING]</t>
  </si>
  <si>
    <t>Calculation model (Draft Version)</t>
  </si>
  <si>
    <t>KWh/year</t>
  </si>
  <si>
    <t>Customer Type</t>
  </si>
  <si>
    <t>* The flat tariffs annual bill for each distribution region has been constructed using the indicative network tariffs for 2024-25.</t>
  </si>
  <si>
    <t>Usage - 10,000 KWh/year</t>
  </si>
  <si>
    <t>Usage - 20,000 KWh/year</t>
  </si>
  <si>
    <t>Disclaimer!A1</t>
  </si>
  <si>
    <t>Contents!A1</t>
  </si>
  <si>
    <t>User Guide'!</t>
  </si>
  <si>
    <t>Calc_Rates!A1</t>
  </si>
  <si>
    <t>Calc_TU_values!A1</t>
  </si>
  <si>
    <t>Calc_TU_rates!A1</t>
  </si>
  <si>
    <t>General Assumptions'!A1</t>
  </si>
  <si>
    <t>CPI'!A1</t>
  </si>
  <si>
    <t>CH_CostStack_RES!A1</t>
  </si>
  <si>
    <t>CH_CostStack_SME 10k</t>
  </si>
  <si>
    <t>Creates the cost stack in the VDO paper for small business customer bill for 10,000 KWh/year Usage</t>
  </si>
  <si>
    <t>Creates the cost stack in the VDO paper for small business customer bill for 20,000 KWh/year Usage</t>
  </si>
  <si>
    <t>CH_CostStack_SME 10k'!A1</t>
  </si>
  <si>
    <t>CH_CostStack_SME!A1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</si>
</sst>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8" formatCode="&quot;$&quot;#,##0.00;[Red]\-&quot;$&quot;#,##0.00"/>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Green][=0]&quot;OK&quot;;[Red]&quot;Err&quot;"/>
    <numFmt numFmtId="169" formatCode="0.0000"/>
    <numFmt numFmtId="170" formatCode="&quot;$&quot;#,##0.0000;[Red]\-&quot;$&quot;#,##0.0000"/>
    <numFmt numFmtId="171" formatCode="&quot;$&quot;#,##0.00000;[Red]\-&quot;$&quot;#,##0.00000"/>
    <numFmt numFmtId="172" formatCode="#&quot;.&quot;##"/>
    <numFmt numFmtId="173" formatCode="[Green][=0]&quot;OK&quot;;[Red]&quot;Error&quot;"/>
    <numFmt numFmtId="174" formatCode="0.00000"/>
    <numFmt numFmtId="175" formatCode="0.00000000"/>
    <numFmt numFmtId="176" formatCode="0.0%"/>
    <numFmt numFmtId="177" formatCode="0.0"/>
    <numFmt numFmtId="178" formatCode="&quot;$&quot;#,##0.0;[Red]\-&quot;$&quot;#,##0.0"/>
    <numFmt numFmtId="179" formatCode="&quot;$&quot;#,##0.000000;[Red]\-&quot;$&quot;#,##0.000000"/>
    <numFmt numFmtId="180" formatCode="&quot;$&quot;#,##0.0000000;[Red]\-&quot;$&quot;#,##0.0000000"/>
    <numFmt numFmtId="181" formatCode="&quot;$&quot;#,##0.00000000;[Red]\-&quot;$&quot;#,##0.00000000"/>
    <numFmt numFmtId="182" formatCode="&quot;$&quot;#,##0.00;[Red]&quot;$&quot;#,##0.00"/>
    <numFmt numFmtId="183" formatCode="&quot;$&quot;#,##0.0_);[Red]\(&quot;$&quot;#,##0.0\)"/>
    <numFmt numFmtId="184" formatCode="&quot;$&quot;#,##0.0000;[Red]&quot;$&quot;#,##0.0000"/>
    <numFmt numFmtId="185" formatCode="0.000000"/>
    <numFmt numFmtId="186" formatCode="&quot;$&quot;#,##0.0000_);[Red]\(&quot;$&quot;#,##0.0000\)"/>
    <numFmt numFmtId="187" formatCode="0.000%"/>
    <numFmt numFmtId="188" formatCode="_(#,##0_);\(#,##0\);_(&quot;-&quot;_)"/>
    <numFmt numFmtId="189" formatCode="_(&quot;$&quot;* #,##0.0000_);_(&quot;$&quot;* \(#,##0.0000\);_(&quot;$&quot;* &quot;-&quot;??_);_(@_)"/>
  </numFmts>
  <fonts count="48" x14ac:knownFonts="1">
    <font>
      <sz val="11"/>
      <color theme="1"/>
      <name val="Calibri"/>
      <family val="2"/>
      <scheme val="minor"/>
    </font>
    <font>
      <b/>
      <sz val="14"/>
      <color theme="0"/>
      <name val="Calibri"/>
      <family val="2"/>
      <scheme val="minor"/>
    </font>
    <font>
      <b/>
      <sz val="12"/>
      <color theme="1"/>
      <name val="Calibri"/>
      <family val="2"/>
      <scheme val="minor"/>
    </font>
    <font>
      <b/>
      <sz val="12"/>
      <color rgb="FF4986A0"/>
      <name val="Calibri"/>
      <family val="2"/>
      <scheme val="minor"/>
    </font>
    <font>
      <b/>
      <sz val="12"/>
      <name val="Calibri"/>
      <family val="2"/>
      <scheme val="minor"/>
    </font>
    <font>
      <b/>
      <sz val="12"/>
      <color rgb="FFCE0058"/>
      <name val="Calibri"/>
      <family val="2"/>
      <scheme val="minor"/>
    </font>
    <font>
      <sz val="11"/>
      <color theme="0"/>
      <name val="Calibri"/>
      <family val="2"/>
      <scheme val="minor"/>
    </font>
    <font>
      <sz val="11"/>
      <name val="Calibri"/>
      <family val="2"/>
      <scheme val="minor"/>
    </font>
    <font>
      <sz val="11"/>
      <color rgb="FF236192"/>
      <name val="Calibri"/>
      <family val="2"/>
      <scheme val="minor"/>
    </font>
    <font>
      <b/>
      <sz val="12"/>
      <color theme="0"/>
      <name val="Calibri"/>
      <family val="2"/>
      <scheme val="minor"/>
    </font>
    <font>
      <b/>
      <sz val="18"/>
      <color theme="0"/>
      <name val="Calibri"/>
      <family val="2"/>
      <scheme val="minor"/>
    </font>
    <font>
      <b/>
      <sz val="12"/>
      <color rgb="FF236192"/>
      <name val="Calibri"/>
      <family val="2"/>
      <scheme val="minor"/>
    </font>
    <font>
      <sz val="10"/>
      <color indexed="9"/>
      <name val="Verdana"/>
      <family val="2"/>
    </font>
    <font>
      <sz val="11"/>
      <color rgb="FF7F7F7F"/>
      <name val="Calibri"/>
      <family val="2"/>
      <scheme val="minor"/>
    </font>
    <font>
      <b/>
      <sz val="22"/>
      <color theme="0"/>
      <name val="Calibri"/>
      <family val="2"/>
      <scheme val="minor"/>
    </font>
    <font>
      <sz val="11"/>
      <color rgb="FFED8B00"/>
      <name val="Calibri"/>
      <family val="2"/>
      <scheme val="minor"/>
    </font>
    <font>
      <sz val="11"/>
      <color theme="1" tint="0.24994659260841701"/>
      <name val="Calibri"/>
      <family val="2"/>
      <scheme val="minor"/>
    </font>
    <font>
      <b/>
      <sz val="11"/>
      <name val="Calibri"/>
      <family val="2"/>
      <scheme val="minor"/>
    </font>
    <font>
      <sz val="11"/>
      <color theme="1"/>
      <name val="Calibri"/>
      <family val="2"/>
      <scheme val="minor"/>
    </font>
    <font>
      <i/>
      <sz val="11"/>
      <color rgb="FF7F7F7F"/>
      <name val="Calibri"/>
      <family val="2"/>
      <scheme val="minor"/>
    </font>
    <font>
      <sz val="12"/>
      <color rgb="FFCE0058"/>
      <name val="Calibri"/>
      <family val="2"/>
      <scheme val="minor"/>
    </font>
    <font>
      <sz val="11"/>
      <color rgb="FF4986A0"/>
      <name val="Calibri"/>
      <family val="2"/>
      <scheme val="minor"/>
    </font>
    <font>
      <sz val="12"/>
      <color rgb="FF4986A0"/>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1"/>
      <color rgb="FFCE0058"/>
      <name val="Calibri"/>
      <family val="2"/>
      <scheme val="minor"/>
    </font>
    <font>
      <sz val="11"/>
      <color rgb="FFFA7D00"/>
      <name val="Calibri"/>
      <family val="2"/>
      <scheme val="minor"/>
    </font>
    <font>
      <sz val="22"/>
      <color theme="0"/>
      <name val="Calibri"/>
      <family val="2"/>
      <scheme val="minor"/>
    </font>
    <font>
      <b/>
      <sz val="11"/>
      <color theme="1"/>
      <name val="Calibri"/>
      <family val="2"/>
      <scheme val="minor"/>
    </font>
    <font>
      <sz val="8"/>
      <name val="Calibri"/>
      <family val="2"/>
      <scheme val="minor"/>
    </font>
    <font>
      <b/>
      <sz val="10"/>
      <color theme="1"/>
      <name val="Verdana"/>
      <family val="2"/>
    </font>
    <font>
      <b/>
      <sz val="10"/>
      <color theme="0"/>
      <name val="Verdana"/>
      <family val="2"/>
    </font>
    <font>
      <b/>
      <sz val="11"/>
      <color theme="0"/>
      <name val="Verdana"/>
      <family val="2"/>
    </font>
    <font>
      <i/>
      <sz val="11"/>
      <color theme="1" tint="0.499984740745262"/>
      <name val="Calibri"/>
      <family val="2"/>
      <scheme val="minor"/>
    </font>
    <font>
      <sz val="11"/>
      <color rgb="FF3F3F76"/>
      <name val="Calibri"/>
      <family val="2"/>
      <scheme val="minor"/>
    </font>
    <font>
      <b/>
      <sz val="11"/>
      <color theme="0"/>
      <name val="Calibri"/>
      <family val="2"/>
      <scheme val="minor"/>
    </font>
    <font>
      <u/>
      <sz val="11"/>
      <color theme="10"/>
      <name val="Calibri"/>
      <family val="2"/>
      <scheme val="minor"/>
    </font>
    <font>
      <sz val="18"/>
      <color theme="1" tint="0.499984740745262"/>
      <name val="Calibri"/>
      <family val="2"/>
      <scheme val="minor"/>
    </font>
    <font>
      <sz val="24"/>
      <color theme="4"/>
      <name val="Calibri"/>
      <family val="2"/>
      <scheme val="minor"/>
    </font>
    <font>
      <sz val="40"/>
      <color theme="1"/>
      <name val="Tahoma"/>
      <family val="2"/>
    </font>
    <font>
      <sz val="11"/>
      <color rgb="FFFF0000"/>
      <name val="Calibri"/>
      <family val="2"/>
      <scheme val="minor"/>
    </font>
    <font>
      <sz val="11"/>
      <color theme="1"/>
      <name val="Calibri"/>
      <family val="2"/>
    </font>
    <font>
      <sz val="8"/>
      <color theme="1"/>
      <name val="Arial"/>
      <family val="2"/>
    </font>
    <font>
      <sz val="20"/>
      <color theme="0"/>
      <name val="Calibri"/>
      <family val="2"/>
      <scheme val="minor"/>
    </font>
    <font>
      <sz val="8"/>
      <name val="Arial"/>
      <family val="2"/>
    </font>
    <font>
      <u/>
      <sz val="8"/>
      <color theme="10"/>
      <name val="Arial"/>
      <family val="2"/>
    </font>
    <font>
      <i/>
      <sz val="11"/>
      <color rgb="FFFF0000"/>
      <name val="Calibri"/>
      <family val="2"/>
      <scheme val="minor"/>
    </font>
  </fonts>
  <fills count="19">
    <fill>
      <patternFill patternType="none"/>
    </fill>
    <fill>
      <patternFill patternType="gray125"/>
    </fill>
    <fill>
      <patternFill patternType="solid">
        <fgColor rgb="FF236192"/>
        <bgColor indexed="64"/>
      </patternFill>
    </fill>
    <fill>
      <patternFill patternType="solid">
        <fgColor theme="0" tint="-0.14999847407452621"/>
        <bgColor indexed="64"/>
      </patternFill>
    </fill>
    <fill>
      <patternFill patternType="solid">
        <fgColor rgb="FF236192"/>
        <bgColor rgb="FF00A1DE"/>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rgb="FF4986A0"/>
        <bgColor indexed="64"/>
      </patternFill>
    </fill>
    <fill>
      <patternFill patternType="solid">
        <fgColor rgb="FFAFCDDB"/>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E0058"/>
        <bgColor indexed="64"/>
      </patternFill>
    </fill>
    <fill>
      <patternFill patternType="solid">
        <fgColor rgb="FFD3DFE9"/>
        <bgColor indexed="64"/>
      </patternFill>
    </fill>
    <fill>
      <patternFill patternType="solid">
        <fgColor rgb="FF67A0B9"/>
        <bgColor indexed="64"/>
      </patternFill>
    </fill>
    <fill>
      <patternFill patternType="solid">
        <fgColor rgb="FFFFCC99"/>
      </patternFill>
    </fill>
    <fill>
      <patternFill patternType="solid">
        <fgColor rgb="FFA5A5A5"/>
      </patternFill>
    </fill>
    <fill>
      <patternFill patternType="solid">
        <fgColor rgb="FF99FFCC"/>
        <bgColor indexed="64"/>
      </patternFill>
    </fill>
    <fill>
      <patternFill patternType="solid">
        <fgColor theme="7" tint="0.59999389629810485"/>
        <bgColor indexed="64"/>
      </patternFill>
    </fill>
  </fills>
  <borders count="31">
    <border>
      <left/>
      <right/>
      <top/>
      <bottom/>
      <diagonal/>
    </border>
    <border>
      <left/>
      <right/>
      <top/>
      <bottom style="thin">
        <color theme="0"/>
      </bottom>
      <diagonal/>
    </border>
    <border>
      <left/>
      <right/>
      <top/>
      <bottom style="medium">
        <color rgb="FFCE0058"/>
      </bottom>
      <diagonal/>
    </border>
    <border>
      <left style="hair">
        <color rgb="FF7F7F7F"/>
      </left>
      <right style="hair">
        <color rgb="FF7F7F7F"/>
      </right>
      <top style="hair">
        <color rgb="FF7F7F7F"/>
      </top>
      <bottom style="hair">
        <color rgb="FF7F7F7F"/>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rgb="FFCE0058"/>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rgb="FFFF8001"/>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diagonal/>
    </border>
    <border>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right/>
      <top style="thin">
        <color rgb="FF4986A0"/>
      </top>
      <bottom style="double">
        <color rgb="FF4986A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rgb="FFFFFFFF"/>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left>
      <right/>
      <top style="thin">
        <color theme="0"/>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theme="0"/>
      </left>
      <right/>
      <top/>
      <bottom/>
      <diagonal/>
    </border>
    <border>
      <left style="medium">
        <color indexed="18"/>
      </left>
      <right style="medium">
        <color indexed="18"/>
      </right>
      <top style="medium">
        <color indexed="18"/>
      </top>
      <bottom style="medium">
        <color indexed="18"/>
      </bottom>
      <diagonal/>
    </border>
  </borders>
  <cellStyleXfs count="55">
    <xf numFmtId="0" fontId="0"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14" fillId="2" borderId="0" applyProtection="0">
      <alignment horizontal="left" vertical="center"/>
    </xf>
    <xf numFmtId="0" fontId="5" fillId="0" borderId="0" applyFill="0" applyProtection="0">
      <alignment horizontal="left" vertical="center"/>
    </xf>
    <xf numFmtId="0" fontId="7" fillId="9" borderId="7" applyNumberFormat="0">
      <alignment horizontal="center" vertical="center"/>
      <protection locked="0"/>
    </xf>
    <xf numFmtId="0" fontId="8" fillId="0" borderId="3" applyNumberFormat="0" applyProtection="0">
      <alignment horizontal="center" vertical="center"/>
    </xf>
    <xf numFmtId="0" fontId="9" fillId="2" borderId="0" applyProtection="0">
      <alignment horizontal="left" vertical="center"/>
    </xf>
    <xf numFmtId="0" fontId="6" fillId="2" borderId="0">
      <alignment horizontal="left" vertical="center"/>
    </xf>
    <xf numFmtId="0" fontId="10" fillId="2" borderId="1" applyProtection="0">
      <alignment horizontal="left" vertical="center"/>
    </xf>
    <xf numFmtId="0" fontId="11" fillId="0" borderId="0">
      <alignment horizontal="center" vertical="center"/>
    </xf>
    <xf numFmtId="0" fontId="12" fillId="4" borderId="4" applyBorder="0">
      <alignment horizontal="left" vertical="center"/>
    </xf>
    <xf numFmtId="0" fontId="13" fillId="0" borderId="0">
      <alignment horizontal="center" vertical="top"/>
    </xf>
    <xf numFmtId="0" fontId="16" fillId="6" borderId="7">
      <alignment horizontal="center" vertical="center"/>
    </xf>
    <xf numFmtId="0" fontId="15" fillId="5" borderId="7">
      <alignment vertical="top"/>
    </xf>
    <xf numFmtId="0" fontId="21" fillId="5" borderId="7">
      <alignment vertical="top"/>
    </xf>
    <xf numFmtId="0" fontId="2" fillId="0" borderId="2" applyFill="0" applyProtection="0">
      <alignment horizontal="left" vertical="center"/>
    </xf>
    <xf numFmtId="168" fontId="26" fillId="5" borderId="7" applyAlignment="0" applyProtection="0"/>
    <xf numFmtId="0" fontId="18" fillId="10" borderId="5" applyNumberFormat="0" applyFont="0" applyAlignment="0" applyProtection="0"/>
    <xf numFmtId="0" fontId="19" fillId="0" borderId="0" applyNumberFormat="0" applyFill="0" applyBorder="0" applyProtection="0">
      <alignment vertical="top"/>
    </xf>
    <xf numFmtId="173" fontId="20" fillId="5" borderId="7" applyProtection="0">
      <alignment horizontal="center" vertical="top"/>
    </xf>
    <xf numFmtId="0" fontId="2" fillId="0" borderId="6" applyFill="0" applyProtection="0">
      <alignment horizontal="left" vertical="center"/>
    </xf>
    <xf numFmtId="0" fontId="23" fillId="8" borderId="7">
      <alignment horizontal="center" vertical="top"/>
    </xf>
    <xf numFmtId="0" fontId="18" fillId="0" borderId="8">
      <alignment vertical="top"/>
    </xf>
    <xf numFmtId="0" fontId="22"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4" fillId="0" borderId="0" applyFill="0" applyProtection="0">
      <alignment horizontal="left" vertical="center"/>
    </xf>
    <xf numFmtId="0" fontId="5" fillId="0" borderId="0" applyFill="0" applyProtection="0">
      <alignment horizontal="left" vertical="center"/>
    </xf>
    <xf numFmtId="0" fontId="7" fillId="0" borderId="8" applyAlignment="0" applyProtection="0">
      <alignment horizontal="left" vertical="center"/>
    </xf>
    <xf numFmtId="0" fontId="1" fillId="2" borderId="0">
      <alignment horizontal="center" vertical="center"/>
    </xf>
    <xf numFmtId="0" fontId="6" fillId="7" borderId="7">
      <alignment horizontal="center" vertical="center"/>
    </xf>
    <xf numFmtId="0" fontId="27" fillId="0" borderId="9" applyNumberFormat="0" applyFill="0" applyAlignment="0" applyProtection="0"/>
    <xf numFmtId="172" fontId="33" fillId="2" borderId="0">
      <alignment horizontal="left" vertical="center"/>
    </xf>
    <xf numFmtId="9" fontId="18" fillId="0" borderId="0" applyFont="0" applyFill="0" applyBorder="0" applyAlignment="0" applyProtection="0"/>
    <xf numFmtId="0" fontId="8" fillId="0" borderId="0">
      <alignment horizontal="left" vertical="center"/>
    </xf>
    <xf numFmtId="0" fontId="29" fillId="0" borderId="17" applyNumberFormat="0" applyFill="0" applyAlignment="0" applyProtection="0"/>
    <xf numFmtId="0" fontId="34" fillId="0" borderId="18">
      <alignment horizontal="left" vertical="center"/>
    </xf>
    <xf numFmtId="0" fontId="7" fillId="0" borderId="24" applyAlignment="0" applyProtection="0">
      <alignment horizontal="left" vertical="center"/>
    </xf>
    <xf numFmtId="0" fontId="18" fillId="0" borderId="0"/>
    <xf numFmtId="0" fontId="35" fillId="15" borderId="27" applyNumberFormat="0" applyAlignment="0" applyProtection="0"/>
    <xf numFmtId="0" fontId="36" fillId="16" borderId="28" applyNumberFormat="0" applyAlignment="0" applyProtection="0"/>
    <xf numFmtId="0" fontId="37" fillId="0" borderId="0" applyNumberForma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43" fillId="0" borderId="0"/>
    <xf numFmtId="188" fontId="45" fillId="0" borderId="30">
      <alignment horizontal="right" vertical="center"/>
      <protection locked="0"/>
    </xf>
    <xf numFmtId="0" fontId="46" fillId="0" borderId="0" applyNumberFormat="0" applyFill="0" applyBorder="0" applyAlignment="0" applyProtection="0"/>
  </cellStyleXfs>
  <cellXfs count="237">
    <xf numFmtId="0" fontId="0" fillId="0" borderId="0" xfId="0">
      <alignment vertical="top"/>
    </xf>
    <xf numFmtId="0" fontId="5" fillId="0" borderId="0" xfId="6">
      <alignment horizontal="left" vertical="center"/>
    </xf>
    <xf numFmtId="0" fontId="7" fillId="9" borderId="7" xfId="7">
      <alignment horizontal="center" vertical="center"/>
      <protection locked="0"/>
    </xf>
    <xf numFmtId="0" fontId="0" fillId="3" borderId="0" xfId="0" applyFill="1">
      <alignment vertical="top"/>
    </xf>
    <xf numFmtId="0" fontId="0" fillId="3" borderId="0" xfId="0" applyFill="1" applyAlignment="1">
      <alignment wrapText="1"/>
    </xf>
    <xf numFmtId="0" fontId="0" fillId="0" borderId="0" xfId="0" applyAlignment="1">
      <alignment horizontal="center"/>
    </xf>
    <xf numFmtId="0" fontId="11" fillId="0" borderId="0" xfId="12">
      <alignment horizontal="center" vertical="center"/>
    </xf>
    <xf numFmtId="0" fontId="0" fillId="0" borderId="0" xfId="0" applyAlignment="1">
      <alignment vertical="top" wrapText="1"/>
    </xf>
    <xf numFmtId="0" fontId="6" fillId="2" borderId="0" xfId="10" applyAlignment="1">
      <alignment horizontal="left" vertical="top" wrapText="1"/>
    </xf>
    <xf numFmtId="0" fontId="0" fillId="3" borderId="0" xfId="0" applyFill="1" applyAlignment="1">
      <alignment vertical="top" wrapText="1"/>
    </xf>
    <xf numFmtId="0" fontId="8" fillId="2" borderId="0" xfId="39" applyFill="1" applyAlignment="1">
      <alignment horizontal="left" vertical="top"/>
    </xf>
    <xf numFmtId="15" fontId="7" fillId="9" borderId="7" xfId="7" applyNumberFormat="1">
      <alignment horizontal="center" vertical="center"/>
      <protection locked="0"/>
    </xf>
    <xf numFmtId="0" fontId="13" fillId="0" borderId="0" xfId="14">
      <alignment horizontal="center" vertical="top"/>
    </xf>
    <xf numFmtId="0" fontId="16" fillId="6" borderId="7" xfId="15">
      <alignment horizontal="center" vertical="center"/>
    </xf>
    <xf numFmtId="0" fontId="8" fillId="2" borderId="0" xfId="39" quotePrefix="1" applyFill="1" applyAlignment="1">
      <alignment horizontal="left" vertical="top"/>
    </xf>
    <xf numFmtId="0" fontId="0" fillId="3" borderId="0" xfId="0" applyFill="1" applyAlignment="1">
      <alignment horizontal="center" vertical="top"/>
    </xf>
    <xf numFmtId="0" fontId="0" fillId="2" borderId="0" xfId="0" applyFill="1" applyAlignment="1">
      <alignment horizontal="center"/>
    </xf>
    <xf numFmtId="0" fontId="0" fillId="2" borderId="0" xfId="0" applyFill="1">
      <alignment vertical="top"/>
    </xf>
    <xf numFmtId="0" fontId="18" fillId="0" borderId="8" xfId="25">
      <alignment vertical="top"/>
    </xf>
    <xf numFmtId="173" fontId="20" fillId="5" borderId="7" xfId="22">
      <alignment horizontal="center" vertical="top"/>
    </xf>
    <xf numFmtId="0" fontId="14" fillId="2" borderId="0" xfId="5">
      <alignment horizontal="left" vertical="center"/>
    </xf>
    <xf numFmtId="0" fontId="10" fillId="2" borderId="1" xfId="11">
      <alignment horizontal="left" vertical="center"/>
    </xf>
    <xf numFmtId="0" fontId="10" fillId="2" borderId="1" xfId="11" applyAlignment="1">
      <alignment horizontal="center" vertical="center"/>
    </xf>
    <xf numFmtId="0" fontId="2" fillId="0" borderId="2" xfId="18">
      <alignment horizontal="left" vertical="center"/>
    </xf>
    <xf numFmtId="0" fontId="22" fillId="0" borderId="0" xfId="26">
      <alignment vertical="top"/>
    </xf>
    <xf numFmtId="0" fontId="6" fillId="2" borderId="0" xfId="10" applyAlignment="1">
      <alignment horizontal="center" vertical="top"/>
    </xf>
    <xf numFmtId="0" fontId="2" fillId="0" borderId="2" xfId="18" applyFill="1">
      <alignment horizontal="left" vertical="center"/>
    </xf>
    <xf numFmtId="0" fontId="0" fillId="0" borderId="0" xfId="0" applyAlignment="1">
      <alignment horizontal="center" vertical="top" wrapText="1"/>
    </xf>
    <xf numFmtId="0" fontId="28" fillId="2" borderId="0" xfId="5" applyFont="1" applyAlignment="1">
      <alignment horizontal="center" vertical="center"/>
    </xf>
    <xf numFmtId="0" fontId="22" fillId="0" borderId="0" xfId="26" applyAlignment="1">
      <alignment horizontal="right" vertical="center"/>
    </xf>
    <xf numFmtId="0" fontId="6" fillId="7" borderId="7" xfId="35">
      <alignment horizontal="center" vertical="center"/>
    </xf>
    <xf numFmtId="0" fontId="23" fillId="8" borderId="7" xfId="24">
      <alignment horizontal="center" vertical="top"/>
    </xf>
    <xf numFmtId="0" fontId="23" fillId="8" borderId="10" xfId="24" applyBorder="1">
      <alignment horizontal="center" vertical="top"/>
    </xf>
    <xf numFmtId="0" fontId="18" fillId="0" borderId="11" xfId="25" applyBorder="1">
      <alignment vertical="top"/>
    </xf>
    <xf numFmtId="0" fontId="23" fillId="8" borderId="14" xfId="24" applyBorder="1">
      <alignment horizontal="center" vertical="top"/>
    </xf>
    <xf numFmtId="0" fontId="23" fillId="8" borderId="7" xfId="24" applyAlignment="1">
      <alignment horizontal="right" vertical="top"/>
    </xf>
    <xf numFmtId="0" fontId="16" fillId="6" borderId="15" xfId="15" applyBorder="1" applyAlignment="1">
      <alignment horizontal="left" vertical="center"/>
    </xf>
    <xf numFmtId="0" fontId="23" fillId="8" borderId="1" xfId="24" applyBorder="1">
      <alignment horizontal="center" vertical="top"/>
    </xf>
    <xf numFmtId="0" fontId="16" fillId="6" borderId="12" xfId="15" applyBorder="1" applyAlignment="1">
      <alignment horizontal="left" vertical="center"/>
    </xf>
    <xf numFmtId="0" fontId="23" fillId="8" borderId="7" xfId="24" applyAlignment="1">
      <alignment horizontal="left" vertical="top"/>
    </xf>
    <xf numFmtId="0" fontId="29" fillId="0" borderId="8" xfId="25" applyFont="1">
      <alignment vertical="top"/>
    </xf>
    <xf numFmtId="0" fontId="0" fillId="0" borderId="8" xfId="0" applyBorder="1">
      <alignment vertical="top"/>
    </xf>
    <xf numFmtId="0" fontId="0" fillId="0" borderId="8" xfId="25" applyFont="1">
      <alignment vertical="top"/>
    </xf>
    <xf numFmtId="0" fontId="23" fillId="8" borderId="10" xfId="24" applyBorder="1" applyAlignment="1">
      <alignment horizontal="right" vertical="top"/>
    </xf>
    <xf numFmtId="170" fontId="7" fillId="0" borderId="8" xfId="33" applyNumberFormat="1" applyAlignment="1">
      <alignment vertical="top"/>
    </xf>
    <xf numFmtId="169" fontId="18" fillId="0" borderId="8" xfId="25" applyNumberFormat="1">
      <alignment vertical="top"/>
    </xf>
    <xf numFmtId="2" fontId="18" fillId="0" borderId="8" xfId="25" applyNumberFormat="1">
      <alignment vertical="top"/>
    </xf>
    <xf numFmtId="2" fontId="0" fillId="0" borderId="8" xfId="25" applyNumberFormat="1" applyFont="1">
      <alignment vertical="top"/>
    </xf>
    <xf numFmtId="169" fontId="0" fillId="0" borderId="8" xfId="25" applyNumberFormat="1" applyFont="1">
      <alignment vertical="top"/>
    </xf>
    <xf numFmtId="0" fontId="29" fillId="0" borderId="8" xfId="0" applyFont="1" applyBorder="1">
      <alignment vertical="top"/>
    </xf>
    <xf numFmtId="0" fontId="0" fillId="0" borderId="11" xfId="0" applyBorder="1">
      <alignment vertical="top"/>
    </xf>
    <xf numFmtId="170" fontId="7" fillId="0" borderId="11" xfId="33" applyNumberFormat="1" applyBorder="1" applyAlignment="1">
      <alignment vertical="top"/>
    </xf>
    <xf numFmtId="165" fontId="7" fillId="0" borderId="8" xfId="33" applyNumberFormat="1" applyAlignment="1">
      <alignment vertical="top" wrapText="1"/>
    </xf>
    <xf numFmtId="170" fontId="17" fillId="0" borderId="8" xfId="33" applyNumberFormat="1" applyFont="1" applyAlignment="1">
      <alignment vertical="top" wrapText="1"/>
    </xf>
    <xf numFmtId="0" fontId="15" fillId="5" borderId="7" xfId="16">
      <alignment vertical="top"/>
    </xf>
    <xf numFmtId="170" fontId="7" fillId="0" borderId="8" xfId="33" applyNumberFormat="1" applyAlignment="1">
      <alignment vertical="top" wrapText="1"/>
    </xf>
    <xf numFmtId="170" fontId="0" fillId="0" borderId="0" xfId="0" applyNumberFormat="1">
      <alignment vertical="top"/>
    </xf>
    <xf numFmtId="171" fontId="0" fillId="0" borderId="0" xfId="0" applyNumberFormat="1">
      <alignment vertical="top"/>
    </xf>
    <xf numFmtId="171" fontId="7" fillId="0" borderId="8" xfId="33" applyNumberFormat="1" applyAlignment="1">
      <alignment vertical="top" wrapText="1"/>
    </xf>
    <xf numFmtId="0" fontId="4" fillId="0" borderId="0" xfId="31">
      <alignment horizontal="left" vertical="center"/>
    </xf>
    <xf numFmtId="0" fontId="6" fillId="7" borderId="7" xfId="35" applyAlignment="1">
      <alignment horizontal="left" vertical="center"/>
    </xf>
    <xf numFmtId="169" fontId="7" fillId="0" borderId="8" xfId="33" applyNumberFormat="1" applyAlignment="1">
      <alignment vertical="top"/>
    </xf>
    <xf numFmtId="165" fontId="0" fillId="0" borderId="0" xfId="0" applyNumberFormat="1">
      <alignment vertical="top"/>
    </xf>
    <xf numFmtId="0" fontId="31" fillId="13" borderId="4" xfId="0" applyFont="1" applyFill="1" applyBorder="1" applyAlignment="1">
      <alignment horizontal="center" vertical="center"/>
    </xf>
    <xf numFmtId="0" fontId="32" fillId="11" borderId="4" xfId="0" applyFont="1" applyFill="1" applyBorder="1" applyAlignment="1">
      <alignment horizontal="center" vertical="center"/>
    </xf>
    <xf numFmtId="0" fontId="32" fillId="2" borderId="4" xfId="0" applyFont="1" applyFill="1" applyBorder="1" applyAlignment="1">
      <alignment horizontal="center" vertical="center"/>
    </xf>
    <xf numFmtId="0" fontId="32" fillId="12" borderId="4" xfId="0" applyFont="1" applyFill="1" applyBorder="1" applyAlignment="1">
      <alignment horizontal="center" vertical="center"/>
    </xf>
    <xf numFmtId="0" fontId="32" fillId="14" borderId="4" xfId="0" applyFont="1" applyFill="1" applyBorder="1" applyAlignment="1">
      <alignment horizontal="center" vertical="center"/>
    </xf>
    <xf numFmtId="173" fontId="20" fillId="5" borderId="7" xfId="22" applyAlignment="1">
      <alignment horizontal="right" vertical="top"/>
    </xf>
    <xf numFmtId="173" fontId="20" fillId="5" borderId="7" xfId="22" applyAlignment="1">
      <alignment horizontal="center" vertical="center"/>
    </xf>
    <xf numFmtId="0" fontId="23" fillId="2" borderId="0" xfId="9" applyFont="1" applyAlignment="1">
      <alignment horizontal="center"/>
    </xf>
    <xf numFmtId="0" fontId="18" fillId="0" borderId="8" xfId="25" applyAlignment="1">
      <alignment horizontal="left" vertical="top"/>
    </xf>
    <xf numFmtId="10" fontId="15" fillId="5" borderId="7" xfId="16" applyNumberFormat="1">
      <alignment vertical="top"/>
    </xf>
    <xf numFmtId="169" fontId="15" fillId="5" borderId="7" xfId="16" applyNumberFormat="1">
      <alignment vertical="top"/>
    </xf>
    <xf numFmtId="164" fontId="18" fillId="0" borderId="8" xfId="25" applyNumberFormat="1" applyAlignment="1">
      <alignment vertical="top" wrapText="1"/>
    </xf>
    <xf numFmtId="164" fontId="18" fillId="0" borderId="8" xfId="25" applyNumberFormat="1">
      <alignment vertical="top"/>
    </xf>
    <xf numFmtId="0" fontId="18" fillId="0" borderId="8" xfId="25" applyAlignment="1">
      <alignment horizontal="center" vertical="top"/>
    </xf>
    <xf numFmtId="164" fontId="15" fillId="5" borderId="7" xfId="16" applyNumberFormat="1">
      <alignment vertical="top"/>
    </xf>
    <xf numFmtId="0" fontId="22" fillId="0" borderId="0" xfId="26" applyAlignment="1">
      <alignment horizontal="right" vertical="top"/>
    </xf>
    <xf numFmtId="174" fontId="0" fillId="0" borderId="0" xfId="0" applyNumberFormat="1">
      <alignment vertical="top"/>
    </xf>
    <xf numFmtId="175" fontId="0" fillId="0" borderId="0" xfId="0" applyNumberFormat="1">
      <alignment vertical="top"/>
    </xf>
    <xf numFmtId="168" fontId="26" fillId="5" borderId="7" xfId="19" applyAlignment="1">
      <alignment vertical="top" wrapText="1"/>
    </xf>
    <xf numFmtId="10" fontId="0" fillId="0" borderId="0" xfId="0" applyNumberFormat="1">
      <alignment vertical="top"/>
    </xf>
    <xf numFmtId="0" fontId="23" fillId="8" borderId="16" xfId="24" applyBorder="1">
      <alignment horizontal="center" vertical="top"/>
    </xf>
    <xf numFmtId="9" fontId="0" fillId="0" borderId="0" xfId="0" applyNumberFormat="1">
      <alignment vertical="top"/>
    </xf>
    <xf numFmtId="164" fontId="0" fillId="0" borderId="0" xfId="0" applyNumberFormat="1">
      <alignment vertical="top"/>
    </xf>
    <xf numFmtId="176" fontId="0" fillId="0" borderId="0" xfId="0" applyNumberFormat="1">
      <alignment vertical="top"/>
    </xf>
    <xf numFmtId="0" fontId="23" fillId="2" borderId="0" xfId="9" applyFont="1" applyAlignment="1">
      <alignment horizontal="left"/>
    </xf>
    <xf numFmtId="3" fontId="7" fillId="9" borderId="7" xfId="7" applyNumberFormat="1" applyAlignment="1">
      <alignment horizontal="right" vertical="center"/>
      <protection locked="0"/>
    </xf>
    <xf numFmtId="174" fontId="18" fillId="0" borderId="8" xfId="25" applyNumberFormat="1">
      <alignment vertical="top"/>
    </xf>
    <xf numFmtId="174" fontId="0" fillId="0" borderId="8" xfId="25" applyNumberFormat="1" applyFont="1">
      <alignment vertical="top"/>
    </xf>
    <xf numFmtId="0" fontId="16" fillId="6" borderId="7" xfId="15" applyAlignment="1">
      <alignment horizontal="left" vertical="center"/>
    </xf>
    <xf numFmtId="164" fontId="0" fillId="0" borderId="8" xfId="25" applyNumberFormat="1" applyFont="1" applyAlignment="1">
      <alignment vertical="top" wrapText="1"/>
    </xf>
    <xf numFmtId="0" fontId="23" fillId="8" borderId="7" xfId="24" applyAlignment="1">
      <alignment vertical="top"/>
    </xf>
    <xf numFmtId="0" fontId="23" fillId="8" borderId="10" xfId="24" applyBorder="1" applyAlignment="1">
      <alignment vertical="top"/>
    </xf>
    <xf numFmtId="165" fontId="7" fillId="0" borderId="8" xfId="33" applyNumberFormat="1" applyAlignment="1">
      <alignment vertical="top"/>
    </xf>
    <xf numFmtId="2" fontId="0" fillId="0" borderId="0" xfId="0" applyNumberFormat="1">
      <alignment vertical="top"/>
    </xf>
    <xf numFmtId="0" fontId="18" fillId="0" borderId="0" xfId="25" applyBorder="1">
      <alignment vertical="top"/>
    </xf>
    <xf numFmtId="0" fontId="0" fillId="0" borderId="0" xfId="25" applyFont="1" applyBorder="1">
      <alignment vertical="top"/>
    </xf>
    <xf numFmtId="0" fontId="0" fillId="0" borderId="8" xfId="25" applyFont="1" applyAlignment="1">
      <alignment horizontal="left" vertical="top" indent="1"/>
    </xf>
    <xf numFmtId="2" fontId="29" fillId="0" borderId="8" xfId="25" applyNumberFormat="1" applyFont="1">
      <alignment vertical="top"/>
    </xf>
    <xf numFmtId="0" fontId="5" fillId="0" borderId="0" xfId="32">
      <alignment horizontal="left" vertical="center"/>
    </xf>
    <xf numFmtId="165" fontId="15" fillId="5" borderId="7" xfId="16" applyNumberFormat="1">
      <alignment vertical="top"/>
    </xf>
    <xf numFmtId="170" fontId="0" fillId="0" borderId="8" xfId="25" applyNumberFormat="1" applyFont="1">
      <alignment vertical="top"/>
    </xf>
    <xf numFmtId="169" fontId="18" fillId="0" borderId="8" xfId="25" applyNumberFormat="1" applyAlignment="1">
      <alignment horizontal="right" vertical="top"/>
    </xf>
    <xf numFmtId="10" fontId="18" fillId="0" borderId="8" xfId="25" applyNumberFormat="1" applyAlignment="1">
      <alignment horizontal="right" vertical="top"/>
    </xf>
    <xf numFmtId="9" fontId="7" fillId="0" borderId="8" xfId="33" applyNumberFormat="1" applyAlignment="1">
      <alignment vertical="top"/>
    </xf>
    <xf numFmtId="0" fontId="23" fillId="8" borderId="19" xfId="24" applyBorder="1" applyAlignment="1">
      <alignment vertical="top"/>
    </xf>
    <xf numFmtId="0" fontId="23" fillId="8" borderId="19" xfId="24" applyBorder="1">
      <alignment horizontal="center" vertical="top"/>
    </xf>
    <xf numFmtId="179" fontId="15" fillId="5" borderId="7" xfId="16" applyNumberFormat="1">
      <alignment vertical="top"/>
    </xf>
    <xf numFmtId="180" fontId="15" fillId="5" borderId="7" xfId="16" applyNumberFormat="1">
      <alignment vertical="top"/>
    </xf>
    <xf numFmtId="179" fontId="0" fillId="0" borderId="8" xfId="25" applyNumberFormat="1" applyFont="1">
      <alignment vertical="top"/>
    </xf>
    <xf numFmtId="181" fontId="0" fillId="0" borderId="8" xfId="25" applyNumberFormat="1" applyFont="1">
      <alignment vertical="top"/>
    </xf>
    <xf numFmtId="165" fontId="17" fillId="0" borderId="8" xfId="33" applyNumberFormat="1" applyFont="1" applyAlignment="1">
      <alignment vertical="top"/>
    </xf>
    <xf numFmtId="165" fontId="29" fillId="0" borderId="8" xfId="25" applyNumberFormat="1" applyFont="1">
      <alignment vertical="top"/>
    </xf>
    <xf numFmtId="165" fontId="0" fillId="0" borderId="8" xfId="25" applyNumberFormat="1" applyFont="1">
      <alignment vertical="top"/>
    </xf>
    <xf numFmtId="0" fontId="16" fillId="6" borderId="21" xfId="15" applyBorder="1" applyAlignment="1">
      <alignment horizontal="left" vertical="center"/>
    </xf>
    <xf numFmtId="0" fontId="16" fillId="6" borderId="13" xfId="15" applyBorder="1" applyAlignment="1">
      <alignment horizontal="left" vertical="center"/>
    </xf>
    <xf numFmtId="0" fontId="23" fillId="8" borderId="22" xfId="24" applyBorder="1">
      <alignment horizontal="center" vertical="top"/>
    </xf>
    <xf numFmtId="0" fontId="16" fillId="6" borderId="20" xfId="15" applyBorder="1" applyAlignment="1">
      <alignment horizontal="left" vertical="center"/>
    </xf>
    <xf numFmtId="0" fontId="16" fillId="6" borderId="23" xfId="15" applyBorder="1" applyAlignment="1">
      <alignment horizontal="left" vertical="center"/>
    </xf>
    <xf numFmtId="168" fontId="26" fillId="5" borderId="7" xfId="19" applyAlignment="1">
      <alignment vertical="top"/>
    </xf>
    <xf numFmtId="3" fontId="0" fillId="0" borderId="8" xfId="25" applyNumberFormat="1" applyFont="1">
      <alignment vertical="top"/>
    </xf>
    <xf numFmtId="1" fontId="0" fillId="0" borderId="8" xfId="25" applyNumberFormat="1" applyFont="1">
      <alignment vertical="top"/>
    </xf>
    <xf numFmtId="0" fontId="0" fillId="0" borderId="11" xfId="25" applyFont="1" applyBorder="1">
      <alignment vertical="top"/>
    </xf>
    <xf numFmtId="0" fontId="6" fillId="7" borderId="23" xfId="35" applyBorder="1" applyAlignment="1">
      <alignment horizontal="left" vertical="center"/>
    </xf>
    <xf numFmtId="3" fontId="0" fillId="0" borderId="11" xfId="25" applyNumberFormat="1" applyFont="1" applyBorder="1">
      <alignment vertical="top"/>
    </xf>
    <xf numFmtId="15" fontId="15" fillId="5" borderId="7" xfId="16" applyNumberFormat="1">
      <alignment vertical="top"/>
    </xf>
    <xf numFmtId="3" fontId="0" fillId="0" borderId="0" xfId="25" applyNumberFormat="1" applyFont="1" applyBorder="1">
      <alignment vertical="top"/>
    </xf>
    <xf numFmtId="0" fontId="6" fillId="7" borderId="7" xfId="35" applyAlignment="1">
      <alignment horizontal="center" vertical="top" wrapText="1"/>
    </xf>
    <xf numFmtId="169" fontId="7" fillId="0" borderId="11" xfId="33" applyNumberFormat="1" applyBorder="1" applyAlignment="1">
      <alignment vertical="top"/>
    </xf>
    <xf numFmtId="0" fontId="29" fillId="0" borderId="0" xfId="0" applyFont="1">
      <alignment vertical="top"/>
    </xf>
    <xf numFmtId="165" fontId="18" fillId="0" borderId="8" xfId="25" applyNumberFormat="1">
      <alignment vertical="top"/>
    </xf>
    <xf numFmtId="9" fontId="0" fillId="0" borderId="0" xfId="38" applyFont="1" applyAlignment="1">
      <alignment vertical="top"/>
    </xf>
    <xf numFmtId="9" fontId="18" fillId="0" borderId="0" xfId="38" applyFont="1" applyAlignment="1">
      <alignment vertical="top"/>
    </xf>
    <xf numFmtId="0" fontId="7" fillId="0" borderId="8" xfId="33" applyAlignment="1">
      <alignment vertical="top"/>
    </xf>
    <xf numFmtId="164" fontId="18" fillId="0" borderId="11" xfId="25" applyNumberFormat="1" applyBorder="1">
      <alignment vertical="top"/>
    </xf>
    <xf numFmtId="169" fontId="0" fillId="0" borderId="0" xfId="0" applyNumberFormat="1">
      <alignment vertical="top"/>
    </xf>
    <xf numFmtId="178" fontId="0" fillId="0" borderId="0" xfId="0" applyNumberFormat="1">
      <alignment vertical="top"/>
    </xf>
    <xf numFmtId="182" fontId="0" fillId="0" borderId="0" xfId="0" applyNumberFormat="1">
      <alignment vertical="top"/>
    </xf>
    <xf numFmtId="3" fontId="7" fillId="0" borderId="8" xfId="33" applyNumberFormat="1" applyAlignment="1">
      <alignment vertical="top"/>
    </xf>
    <xf numFmtId="4" fontId="0" fillId="0" borderId="8" xfId="25" applyNumberFormat="1" applyFont="1">
      <alignment vertical="top"/>
    </xf>
    <xf numFmtId="165" fontId="17" fillId="0" borderId="8" xfId="33" applyNumberFormat="1" applyFont="1" applyAlignment="1">
      <alignment horizontal="right" vertical="top"/>
    </xf>
    <xf numFmtId="183" fontId="0" fillId="0" borderId="0" xfId="0" applyNumberFormat="1">
      <alignment vertical="top"/>
    </xf>
    <xf numFmtId="184" fontId="0" fillId="0" borderId="0" xfId="0" applyNumberFormat="1">
      <alignment vertical="top"/>
    </xf>
    <xf numFmtId="186" fontId="7" fillId="0" borderId="8" xfId="33" applyNumberFormat="1" applyAlignment="1">
      <alignment vertical="top" wrapText="1"/>
    </xf>
    <xf numFmtId="0" fontId="16" fillId="6" borderId="25" xfId="15" applyBorder="1" applyAlignment="1">
      <alignment horizontal="left" vertical="center"/>
    </xf>
    <xf numFmtId="0" fontId="7" fillId="9" borderId="23" xfId="7" applyBorder="1">
      <alignment horizontal="center" vertical="center"/>
      <protection locked="0"/>
    </xf>
    <xf numFmtId="0" fontId="0" fillId="10" borderId="0" xfId="0" applyFill="1">
      <alignment vertical="top"/>
    </xf>
    <xf numFmtId="10" fontId="18" fillId="0" borderId="8" xfId="25" applyNumberFormat="1" applyAlignment="1">
      <alignment horizontal="left" vertical="top"/>
    </xf>
    <xf numFmtId="3" fontId="16" fillId="6" borderId="7" xfId="15" applyNumberFormat="1" applyAlignment="1">
      <alignment horizontal="right" vertical="center"/>
    </xf>
    <xf numFmtId="3" fontId="15" fillId="5" borderId="7" xfId="16" applyNumberFormat="1">
      <alignment vertical="top"/>
    </xf>
    <xf numFmtId="0" fontId="7" fillId="0" borderId="8" xfId="33" applyAlignment="1">
      <alignment horizontal="left" vertical="center"/>
    </xf>
    <xf numFmtId="0" fontId="38" fillId="0" borderId="0" xfId="0" applyFont="1">
      <alignment vertical="top"/>
    </xf>
    <xf numFmtId="0" fontId="39" fillId="0" borderId="0" xfId="0" applyFont="1">
      <alignment vertical="top"/>
    </xf>
    <xf numFmtId="0" fontId="40" fillId="0" borderId="0" xfId="0" applyFont="1" applyAlignment="1">
      <alignment vertical="top" wrapText="1"/>
    </xf>
    <xf numFmtId="169" fontId="0" fillId="17" borderId="8" xfId="25" applyNumberFormat="1" applyFont="1" applyFill="1">
      <alignment vertical="top"/>
    </xf>
    <xf numFmtId="15" fontId="0" fillId="0" borderId="0" xfId="0" applyNumberFormat="1">
      <alignment vertical="top"/>
    </xf>
    <xf numFmtId="10" fontId="7" fillId="0" borderId="8" xfId="33" applyNumberFormat="1" applyAlignment="1">
      <alignment vertical="top"/>
    </xf>
    <xf numFmtId="10" fontId="7" fillId="0" borderId="11" xfId="33" applyNumberFormat="1" applyBorder="1" applyAlignment="1">
      <alignment vertical="top"/>
    </xf>
    <xf numFmtId="187" fontId="0" fillId="0" borderId="0" xfId="38" applyNumberFormat="1" applyFont="1" applyAlignment="1">
      <alignment vertical="top"/>
    </xf>
    <xf numFmtId="2" fontId="11" fillId="0" borderId="0" xfId="12" applyNumberFormat="1">
      <alignment horizontal="center" vertical="center"/>
    </xf>
    <xf numFmtId="0" fontId="7" fillId="9" borderId="15" xfId="7" applyNumberFormat="1" applyBorder="1" applyAlignment="1">
      <alignment horizontal="left" vertical="center"/>
      <protection locked="0"/>
    </xf>
    <xf numFmtId="15" fontId="7" fillId="9" borderId="13" xfId="7" applyNumberFormat="1" applyBorder="1">
      <alignment horizontal="center" vertical="center"/>
      <protection locked="0"/>
    </xf>
    <xf numFmtId="0" fontId="23" fillId="8" borderId="29" xfId="24" applyBorder="1">
      <alignment horizontal="center" vertical="top"/>
    </xf>
    <xf numFmtId="0" fontId="44" fillId="8" borderId="7" xfId="24" applyFont="1" applyAlignment="1">
      <alignment horizontal="left" vertical="top"/>
    </xf>
    <xf numFmtId="0" fontId="23" fillId="7" borderId="7" xfId="35" applyFont="1" applyAlignment="1">
      <alignment horizontal="left" vertical="center"/>
    </xf>
    <xf numFmtId="10" fontId="0" fillId="0" borderId="0" xfId="38" applyNumberFormat="1" applyFont="1" applyAlignment="1">
      <alignment vertical="top"/>
    </xf>
    <xf numFmtId="0" fontId="17" fillId="9" borderId="7" xfId="7" applyFont="1">
      <alignment horizontal="center" vertical="center"/>
      <protection locked="0"/>
    </xf>
    <xf numFmtId="0" fontId="47" fillId="0" borderId="0" xfId="0" applyFont="1">
      <alignment vertical="top"/>
    </xf>
    <xf numFmtId="179" fontId="7" fillId="0" borderId="11" xfId="33" applyNumberFormat="1" applyBorder="1" applyAlignment="1">
      <alignment vertical="top"/>
    </xf>
    <xf numFmtId="171" fontId="7" fillId="0" borderId="8" xfId="33" applyNumberFormat="1" applyAlignment="1">
      <alignment vertical="top"/>
    </xf>
    <xf numFmtId="0" fontId="14" fillId="0" borderId="0" xfId="5" applyFill="1">
      <alignment horizontal="left" vertical="center"/>
    </xf>
    <xf numFmtId="0" fontId="10" fillId="0" borderId="1" xfId="11" applyFill="1">
      <alignment horizontal="left" vertical="center"/>
    </xf>
    <xf numFmtId="189" fontId="7" fillId="0" borderId="8" xfId="48" applyNumberFormat="1" applyFont="1" applyBorder="1" applyAlignment="1">
      <alignment vertical="top"/>
    </xf>
    <xf numFmtId="15" fontId="16" fillId="6" borderId="7" xfId="15" applyNumberFormat="1" applyAlignment="1">
      <alignment horizontal="right" vertical="center"/>
    </xf>
    <xf numFmtId="0" fontId="16" fillId="6" borderId="7" xfId="15" applyAlignment="1">
      <alignment horizontal="right" vertical="center"/>
    </xf>
    <xf numFmtId="169" fontId="16" fillId="6" borderId="7" xfId="15" applyNumberFormat="1" applyAlignment="1">
      <alignment horizontal="right" vertical="center"/>
    </xf>
    <xf numFmtId="15" fontId="7" fillId="9" borderId="7" xfId="7" applyNumberFormat="1" applyAlignment="1" applyProtection="1">
      <alignment horizontal="right" vertical="center"/>
    </xf>
    <xf numFmtId="169" fontId="7" fillId="9" borderId="7" xfId="7" applyNumberFormat="1" applyAlignment="1" applyProtection="1">
      <alignment horizontal="right" vertical="center"/>
    </xf>
    <xf numFmtId="0" fontId="18" fillId="0" borderId="26" xfId="25" applyBorder="1">
      <alignment vertical="top"/>
    </xf>
    <xf numFmtId="0" fontId="7" fillId="9" borderId="7" xfId="7" applyAlignment="1" applyProtection="1">
      <alignment horizontal="right" vertical="center"/>
    </xf>
    <xf numFmtId="174" fontId="7" fillId="9" borderId="7" xfId="7" applyNumberFormat="1" applyAlignment="1" applyProtection="1">
      <alignment horizontal="right" vertical="center"/>
    </xf>
    <xf numFmtId="2" fontId="7" fillId="9" borderId="7" xfId="7" applyNumberFormat="1" applyAlignment="1" applyProtection="1">
      <alignment horizontal="right" vertical="center"/>
    </xf>
    <xf numFmtId="185" fontId="7" fillId="9" borderId="7" xfId="7" applyNumberFormat="1" applyAlignment="1" applyProtection="1">
      <alignment horizontal="right" vertical="center"/>
    </xf>
    <xf numFmtId="169" fontId="7" fillId="9" borderId="7" xfId="7" applyNumberFormat="1" applyAlignment="1" applyProtection="1">
      <alignment vertical="center"/>
    </xf>
    <xf numFmtId="174" fontId="16" fillId="6" borderId="7" xfId="15" applyNumberFormat="1" applyAlignment="1">
      <alignment horizontal="right" vertical="center"/>
    </xf>
    <xf numFmtId="3" fontId="7" fillId="9" borderId="7" xfId="7" applyNumberFormat="1" applyAlignment="1" applyProtection="1">
      <alignment horizontal="right" vertical="center"/>
    </xf>
    <xf numFmtId="2" fontId="7" fillId="9" borderId="10" xfId="7" applyNumberFormat="1" applyBorder="1" applyAlignment="1" applyProtection="1">
      <alignment horizontal="right" vertical="center"/>
    </xf>
    <xf numFmtId="169" fontId="7" fillId="9" borderId="10" xfId="7" applyNumberFormat="1" applyBorder="1" applyAlignment="1" applyProtection="1">
      <alignment horizontal="right" vertical="center"/>
    </xf>
    <xf numFmtId="169" fontId="7" fillId="9" borderId="13" xfId="7" applyNumberFormat="1" applyBorder="1" applyAlignment="1" applyProtection="1">
      <alignment horizontal="right" vertical="center"/>
    </xf>
    <xf numFmtId="169" fontId="7" fillId="9" borderId="23" xfId="7" applyNumberFormat="1" applyBorder="1" applyAlignment="1" applyProtection="1">
      <alignment horizontal="right" vertical="center"/>
    </xf>
    <xf numFmtId="169" fontId="7" fillId="9" borderId="16" xfId="7" applyNumberFormat="1" applyBorder="1" applyAlignment="1" applyProtection="1">
      <alignment horizontal="right" vertical="center"/>
    </xf>
    <xf numFmtId="0" fontId="7" fillId="9" borderId="7" xfId="7" applyProtection="1">
      <alignment horizontal="center" vertical="center"/>
    </xf>
    <xf numFmtId="0" fontId="7" fillId="9" borderId="23" xfId="7" applyBorder="1" applyProtection="1">
      <alignment horizontal="center" vertical="center"/>
    </xf>
    <xf numFmtId="177" fontId="6" fillId="7" borderId="7" xfId="35" applyNumberFormat="1">
      <alignment horizontal="center" vertical="center"/>
    </xf>
    <xf numFmtId="0" fontId="7" fillId="9" borderId="7" xfId="7" applyNumberFormat="1" applyProtection="1">
      <alignment horizontal="center" vertical="center"/>
    </xf>
    <xf numFmtId="9" fontId="7" fillId="9" borderId="7" xfId="7" applyNumberFormat="1" applyProtection="1">
      <alignment horizontal="center" vertical="center"/>
    </xf>
    <xf numFmtId="0" fontId="14" fillId="2" borderId="0" xfId="5" applyProtection="1">
      <alignment horizontal="left" vertical="center"/>
    </xf>
    <xf numFmtId="0" fontId="10" fillId="2" borderId="1" xfId="11" applyProtection="1">
      <alignment horizontal="left" vertical="center"/>
    </xf>
    <xf numFmtId="0" fontId="2" fillId="0" borderId="2" xfId="18" applyProtection="1">
      <alignment horizontal="left" vertical="center"/>
    </xf>
    <xf numFmtId="15" fontId="16" fillId="6" borderId="7" xfId="15" applyNumberFormat="1">
      <alignment horizontal="center" vertical="center"/>
    </xf>
    <xf numFmtId="0" fontId="6" fillId="7" borderId="13" xfId="35" applyBorder="1">
      <alignment horizontal="center" vertical="center"/>
    </xf>
    <xf numFmtId="15" fontId="16" fillId="6" borderId="23" xfId="15" applyNumberFormat="1" applyBorder="1">
      <alignment horizontal="center" vertical="center"/>
    </xf>
    <xf numFmtId="0" fontId="6" fillId="7" borderId="25" xfId="35" applyBorder="1">
      <alignment horizontal="center" vertical="center"/>
    </xf>
    <xf numFmtId="177" fontId="6" fillId="7" borderId="25" xfId="35" applyNumberFormat="1" applyBorder="1">
      <alignment horizontal="center" vertical="center"/>
    </xf>
    <xf numFmtId="2" fontId="41" fillId="18" borderId="13" xfId="7" applyNumberFormat="1" applyFont="1" applyFill="1" applyBorder="1" applyProtection="1">
      <alignment horizontal="center" vertical="center"/>
    </xf>
    <xf numFmtId="15" fontId="18" fillId="0" borderId="8" xfId="25" applyNumberFormat="1" applyAlignment="1">
      <alignment horizontal="right" vertical="top"/>
    </xf>
    <xf numFmtId="0" fontId="18" fillId="0" borderId="8" xfId="25" applyAlignment="1">
      <alignment horizontal="right" vertical="top"/>
    </xf>
    <xf numFmtId="0" fontId="0" fillId="0" borderId="1" xfId="0" applyBorder="1">
      <alignment vertical="top"/>
    </xf>
    <xf numFmtId="15" fontId="18" fillId="0" borderId="8" xfId="25" applyNumberFormat="1" applyAlignment="1">
      <alignment horizontal="left" vertical="top"/>
    </xf>
    <xf numFmtId="2" fontId="7" fillId="9" borderId="13" xfId="7" applyNumberFormat="1" applyBorder="1" applyProtection="1">
      <alignment horizontal="center" vertical="center"/>
    </xf>
    <xf numFmtId="2" fontId="7" fillId="18" borderId="13" xfId="7" applyNumberFormat="1" applyFill="1" applyBorder="1" applyProtection="1">
      <alignment horizontal="center" vertical="center"/>
    </xf>
    <xf numFmtId="173" fontId="20" fillId="5" borderId="7" xfId="22" applyProtection="1">
      <alignment horizontal="center" vertical="top"/>
    </xf>
    <xf numFmtId="0" fontId="7" fillId="0" borderId="8" xfId="33" applyAlignment="1" applyProtection="1">
      <alignment horizontal="left" vertical="center"/>
    </xf>
    <xf numFmtId="173" fontId="20" fillId="5" borderId="7" xfId="22" applyAlignment="1" applyProtection="1">
      <alignment horizontal="right" vertical="top"/>
    </xf>
    <xf numFmtId="176" fontId="0" fillId="0" borderId="0" xfId="38" applyNumberFormat="1" applyFont="1" applyAlignment="1" applyProtection="1">
      <alignment vertical="top"/>
    </xf>
    <xf numFmtId="170" fontId="18" fillId="0" borderId="8" xfId="25" applyNumberFormat="1">
      <alignment vertical="top"/>
    </xf>
    <xf numFmtId="8" fontId="0" fillId="0" borderId="0" xfId="0" applyNumberFormat="1">
      <alignment vertical="top"/>
    </xf>
    <xf numFmtId="0" fontId="23" fillId="8" borderId="14" xfId="24" applyBorder="1" applyAlignment="1">
      <alignment horizontal="right" vertical="top"/>
    </xf>
    <xf numFmtId="170" fontId="15" fillId="5" borderId="7" xfId="16" applyNumberFormat="1">
      <alignment vertical="top"/>
    </xf>
    <xf numFmtId="170" fontId="15" fillId="5" borderId="13" xfId="16" applyNumberFormat="1" applyBorder="1">
      <alignment vertical="top"/>
    </xf>
    <xf numFmtId="170" fontId="15" fillId="5" borderId="7" xfId="16" applyNumberFormat="1" applyAlignment="1">
      <alignment vertical="top" wrapText="1"/>
    </xf>
    <xf numFmtId="0" fontId="4" fillId="0" borderId="0" xfId="31" applyProtection="1">
      <alignment horizontal="left" vertical="center"/>
    </xf>
    <xf numFmtId="173" fontId="20" fillId="5" borderId="7" xfId="22" applyAlignment="1" applyProtection="1">
      <alignment horizontal="right" vertical="top" wrapText="1"/>
    </xf>
    <xf numFmtId="0" fontId="23" fillId="8" borderId="10" xfId="24" applyBorder="1" applyAlignment="1">
      <alignment horizontal="left" vertical="top"/>
    </xf>
    <xf numFmtId="165" fontId="18" fillId="0" borderId="8" xfId="25" applyNumberFormat="1" applyAlignment="1">
      <alignment vertical="top" wrapText="1"/>
    </xf>
    <xf numFmtId="176" fontId="18" fillId="0" borderId="8" xfId="25" applyNumberFormat="1">
      <alignment vertical="top"/>
    </xf>
    <xf numFmtId="176" fontId="0" fillId="0" borderId="8" xfId="25" applyNumberFormat="1" applyFont="1">
      <alignment vertical="top"/>
    </xf>
    <xf numFmtId="0" fontId="14" fillId="2" borderId="0" xfId="5" applyAlignment="1" applyProtection="1">
      <alignment horizontal="center" vertical="center"/>
    </xf>
    <xf numFmtId="0" fontId="10" fillId="2" borderId="1" xfId="11" applyAlignment="1" applyProtection="1">
      <alignment horizontal="center" vertical="center"/>
    </xf>
    <xf numFmtId="0" fontId="9" fillId="2" borderId="0" xfId="9" applyAlignment="1" applyProtection="1">
      <alignment horizontal="center" vertical="center"/>
    </xf>
    <xf numFmtId="0" fontId="9" fillId="2" borderId="0" xfId="9" applyProtection="1">
      <alignment horizontal="left" vertical="center"/>
    </xf>
    <xf numFmtId="0" fontId="6" fillId="2" borderId="0" xfId="10" applyAlignment="1">
      <alignment horizontal="left" vertical="center" wrapText="1"/>
    </xf>
    <xf numFmtId="0" fontId="24" fillId="0" borderId="0" xfId="0" applyFont="1" applyAlignment="1">
      <alignment horizontal="left" vertical="top" wrapText="1"/>
    </xf>
    <xf numFmtId="0" fontId="25" fillId="0" borderId="0" xfId="0" applyFont="1" applyAlignment="1">
      <alignment horizontal="left" vertical="top" wrapText="1"/>
    </xf>
    <xf numFmtId="0" fontId="42" fillId="0" borderId="0" xfId="0" applyFont="1" applyAlignment="1">
      <alignment horizontal="left" wrapText="1"/>
    </xf>
  </cellXfs>
  <cellStyles count="55">
    <cellStyle name="Assumptions Right Number" xfId="53" xr:uid="{5B8E2D8C-A2E8-4D7C-9CEC-AF28B8E3CF13}"/>
    <cellStyle name="Auto-label" xfId="41" xr:uid="{73CCA8BC-5AD7-4E85-A6E0-32EF7EF688EF}"/>
    <cellStyle name="Auto-populated" xfId="35" xr:uid="{92CD633B-B870-4480-A542-76D077643B78}"/>
    <cellStyle name="Banner_H3" xfId="13" xr:uid="{FE5785C0-235B-4C70-900C-EF2001520144}"/>
    <cellStyle name="Body_H1" xfId="37" xr:uid="{3D3122E7-4A4D-43F7-8A2F-A315DF102D9A}"/>
    <cellStyle name="Calculation" xfId="8" builtinId="22" hidden="1" customBuiltin="1"/>
    <cellStyle name="Calculation" xfId="33" xr:uid="{02E3DF3F-3256-4406-B889-2D6690639BEB}"/>
    <cellStyle name="Check Cell" xfId="19" builtinId="23" customBuiltin="1"/>
    <cellStyle name="Check Cell 2" xfId="45" xr:uid="{2C5B93AF-BB66-412D-BA64-77758034BDC0}"/>
    <cellStyle name="Check result" xfId="22" xr:uid="{7CA6913E-F58F-4741-9988-4121D79BFD7B}"/>
    <cellStyle name="Comma 2" xfId="47" xr:uid="{0AECBC68-5599-44FB-96B7-109DBD9FAB2A}"/>
    <cellStyle name="Comma 2 2" xfId="49" xr:uid="{93EB43EF-18FC-4778-9B5C-840F933F6A0C}"/>
    <cellStyle name="Comma 3" xfId="50" xr:uid="{9ABC892E-1082-4619-8B6B-91BCF8908FA0}"/>
    <cellStyle name="Currency" xfId="48" builtinId="4"/>
    <cellStyle name="Currency 2" xfId="51" xr:uid="{3BFC55EA-B4CA-47F0-9211-C082284DAF7F}"/>
    <cellStyle name="Defined names" xfId="14" xr:uid="{4248BE1A-3F2D-4913-B913-A6FBE3436F34}"/>
    <cellStyle name="Explanatory Text" xfId="21" builtinId="53" customBuiltin="1"/>
    <cellStyle name="External link" xfId="17" xr:uid="{FAB4C5FD-358F-4CD6-BC6E-724C598431E5}"/>
    <cellStyle name="Formulas" xfId="42" xr:uid="{F112E758-6F5C-4D3B-8A1A-B0DFEBB4A882}"/>
    <cellStyle name="Hard-coded" xfId="15" xr:uid="{200D9EA9-3A37-415F-8834-A52A844D661D}"/>
    <cellStyle name="Heading 1" xfId="1" builtinId="16" hidden="1" customBuiltin="1"/>
    <cellStyle name="Heading 1" xfId="27" builtinId="16" customBuiltin="1"/>
    <cellStyle name="Heading 2" xfId="2" builtinId="17" hidden="1" customBuiltin="1"/>
    <cellStyle name="Heading 2" xfId="28" builtinId="17" customBuiltin="1"/>
    <cellStyle name="Heading 3" xfId="3" builtinId="18" hidden="1" customBuiltin="1"/>
    <cellStyle name="Heading 3" xfId="29" builtinId="18" customBuiltin="1"/>
    <cellStyle name="Heading 4" xfId="4" builtinId="19" hidden="1" customBuiltin="1"/>
    <cellStyle name="Heading 4" xfId="30" builtinId="19" customBuiltin="1"/>
    <cellStyle name="Heading 5" xfId="31" xr:uid="{94E6345E-6BD4-45F0-9D01-9D42661ECA31}"/>
    <cellStyle name="Heading 6" xfId="32" xr:uid="{69B6DADD-1AE3-442B-9C06-14D5E52B303F}"/>
    <cellStyle name="Heading 7" xfId="9" xr:uid="{65CE4549-62A3-4210-9F25-2F9839E1F791}"/>
    <cellStyle name="Heading 8" xfId="23" xr:uid="{9E45A076-5177-4FEE-A6E2-BC3208B3DF96}"/>
    <cellStyle name="Hyperlink" xfId="39" builtinId="8" customBuiltin="1"/>
    <cellStyle name="Hyperlink 2" xfId="46" xr:uid="{456112B3-E30F-4DF3-ADB8-38F9E1C20B4C}"/>
    <cellStyle name="Hyperlink 3" xfId="54" xr:uid="{A0A8F1EA-32F3-4AEB-9237-EAE4E1D978F0}"/>
    <cellStyle name="Input" xfId="7" builtinId="20" customBuiltin="1"/>
    <cellStyle name="Input 2" xfId="44" xr:uid="{B63F3EFA-FFE2-439A-9B97-C1D883122531}"/>
    <cellStyle name="Internal link/lookup" xfId="16" xr:uid="{2D1739BB-E732-4E26-A2B2-CCA56472379C}"/>
    <cellStyle name="Linked Cell" xfId="36" builtinId="24" hidden="1"/>
    <cellStyle name="Model title heading" xfId="5" xr:uid="{49720198-0457-4C71-953B-1E69023AC69A}"/>
    <cellStyle name="Normal" xfId="0" builtinId="0" customBuiltin="1"/>
    <cellStyle name="Normal 2" xfId="10" xr:uid="{F85F6E40-0042-4237-9B34-A53CE09B085A}"/>
    <cellStyle name="Normal 2 2" xfId="52" xr:uid="{CF842B27-04E4-44A1-BB82-EAF10052AF7E}"/>
    <cellStyle name="Normal 3" xfId="43" xr:uid="{FC35F5ED-67EB-43C2-85D4-7A2F4396DE3F}"/>
    <cellStyle name="Note" xfId="20" builtinId="10" customBuiltin="1"/>
    <cellStyle name="Numbering" xfId="12" xr:uid="{7BCF1B39-1E88-4D0F-9909-781FF2652C1A}"/>
    <cellStyle name="Numbering 3" xfId="34" xr:uid="{513ECFB5-F1B0-4A60-8F3D-7675E1A0F618}"/>
    <cellStyle name="Other heading 1" xfId="6" xr:uid="{5A2EFDA9-BC12-42D8-8C23-4D391E77FA8E}"/>
    <cellStyle name="Percent" xfId="38" builtinId="5"/>
    <cellStyle name="Section heading" xfId="18" xr:uid="{9F4B368D-F879-44E3-8E17-29DD8542A9E8}"/>
    <cellStyle name="Sheet heading" xfId="11" xr:uid="{6DEA63FE-C2FC-4D51-AFD8-F668D7E75EDD}"/>
    <cellStyle name="Table cell" xfId="25" xr:uid="{33044786-416C-4FE4-85B1-41BEF94590D6}"/>
    <cellStyle name="Table col heading" xfId="24" xr:uid="{796CBF3A-5CFE-4864-B572-7D991870B886}"/>
    <cellStyle name="Table heading" xfId="26" xr:uid="{C6E1E3D7-B02B-4DF4-8CAA-43F258527446}"/>
    <cellStyle name="Total" xfId="40" builtinId="25" customBuiltin="1"/>
  </cellStyles>
  <dxfs count="900">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protection locked="1" hidden="0"/>
    </dxf>
    <dxf>
      <protection locked="1" hidden="0"/>
    </dxf>
    <dxf>
      <protection locked="1" hidden="0"/>
    </dxf>
    <dxf>
      <protection locked="1" hidden="0"/>
    </dxf>
    <dxf>
      <numFmt numFmtId="165" formatCode="&quot;$&quot;#,##0.00_);[Red]\(&quot;$&quot;#,##0.00\)"/>
      <alignment horizontal="general" vertical="top" textRotation="0" wrapText="1" indent="0" justifyLastLine="0" shrinkToFit="0" readingOrder="0"/>
      <protection locked="1" hidden="0"/>
    </dxf>
    <dxf>
      <protection locked="1" hidden="0"/>
    </dxf>
    <dxf>
      <protection locked="1" hidden="0"/>
    </dxf>
    <dxf>
      <border outline="0">
        <top style="thin">
          <color theme="0" tint="-0.24994659260841701"/>
        </top>
      </border>
    </dxf>
    <dxf>
      <border outline="0">
        <top style="thin">
          <color theme="0"/>
        </top>
        <bottom style="thin">
          <color theme="0" tint="-0.24994659260841701"/>
        </bottom>
      </border>
    </dxf>
    <dxf>
      <protection locked="1" hidden="0"/>
    </dxf>
    <dxf>
      <border outline="0">
        <bottom style="thin">
          <color theme="0"/>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top style="thin">
          <color theme="0" tint="-0.24994659260841701"/>
        </top>
      </border>
    </dxf>
    <dxf>
      <border outline="0">
        <top style="thin">
          <color theme="0"/>
        </top>
        <bottom style="thin">
          <color theme="0" tint="-0.24994659260841701"/>
        </bottom>
      </border>
    </dxf>
    <dxf>
      <protection locked="1" hidden="0"/>
    </dxf>
    <dxf>
      <border outline="0">
        <bottom style="thin">
          <color theme="0"/>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65" formatCode="&quot;$&quot;#,##0.00_);[Red]\(&quot;$&quot;#,##0.00\)"/>
      <alignment horizontal="general" vertical="top" textRotation="0" wrapText="0" indent="0" justifyLastLine="0" shrinkToFit="0" readingOrder="0"/>
    </dxf>
    <dxf>
      <numFmt numFmtId="165" formatCode="&quot;$&quot;#,##0.00_);[Red]\(&quot;$&quot;#,##0.00\)"/>
      <alignment horizontal="general" vertical="top" textRotation="0" wrapText="0" indent="0" justifyLastLine="0" shrinkToFit="0" readingOrder="0"/>
    </dxf>
    <dxf>
      <numFmt numFmtId="165" formatCode="&quot;$&quot;#,##0.00_);[Red]\(&quot;$&quot;#,##0.00\)"/>
      <alignment horizontal="general" vertical="top" textRotation="0" wrapText="0" indent="0" justifyLastLine="0" shrinkToFit="0" readingOrder="0"/>
    </dxf>
    <dxf>
      <numFmt numFmtId="165" formatCode="&quot;$&quot;#,##0.00_);[Red]\(&quot;$&quot;#,##0.00\)"/>
      <alignment horizontal="general" vertical="top" textRotation="0" wrapText="0" indent="0" justifyLastLine="0" shrinkToFit="0" readingOrder="0"/>
    </dxf>
    <dxf>
      <numFmt numFmtId="165" formatCode="&quot;$&quot;#,##0.00_);[Red]\(&quot;$&quot;#,##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alignment horizontal="general" vertical="top" textRotation="0" wrapText="0" indent="0" justifyLastLine="0" shrinkToFit="0" readingOrder="0"/>
      <border outline="0">
        <left style="thin">
          <color theme="0" tint="-0.24994659260841701"/>
        </left>
      </border>
    </dxf>
    <dxf>
      <alignment horizontal="general" vertical="top" textRotation="0" wrapText="0" indent="0" justifyLastLine="0" shrinkToFit="0" readingOrder="0"/>
      <border outline="0">
        <left style="thin">
          <color theme="0" tint="-0.24994659260841701"/>
        </left>
        <right style="thin">
          <color theme="0" tint="-0.24994659260841701"/>
        </right>
      </border>
    </dxf>
    <dxf>
      <alignment horizontal="general" vertical="top" textRotation="0" wrapText="0" indent="0" justifyLastLine="0" shrinkToFit="0" readingOrder="0"/>
      <border outline="0">
        <left style="thin">
          <color theme="0" tint="-0.24994659260841701"/>
        </left>
        <right style="thin">
          <color theme="0" tint="-0.24994659260841701"/>
        </right>
      </border>
    </dxf>
    <dxf>
      <alignment horizontal="general" vertical="top" textRotation="0" wrapText="0" indent="0" justifyLastLine="0" shrinkToFit="0" readingOrder="0"/>
      <border outline="0">
        <left style="thin">
          <color theme="0" tint="-0.24994659260841701"/>
        </left>
        <right style="thin">
          <color theme="0" tint="-0.24994659260841701"/>
        </right>
      </border>
    </dxf>
    <dxf>
      <numFmt numFmtId="165" formatCode="&quot;$&quot;#,##0.00_);[Red]\(&quot;$&quot;#,##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diagonalUp="0" diagonalDown="0">
        <left style="thin">
          <color theme="0"/>
        </left>
        <right/>
        <top style="thin">
          <color theme="0"/>
        </top>
        <bottom style="thin">
          <color theme="0"/>
        </bottom>
        <vertical/>
        <horizontal/>
      </border>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alignment horizontal="general" vertical="top" textRotation="0" wrapText="1"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border outline="0">
        <right style="thin">
          <color theme="0"/>
        </right>
        <top style="thin">
          <color theme="0"/>
        </top>
      </border>
    </dxf>
    <dxf>
      <protection locked="1" hidden="0"/>
    </dxf>
    <dxf>
      <border outline="0">
        <bottom style="thin">
          <color theme="0"/>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70" formatCode="&quot;$&quot;#,##0.0000;[Red]\-&quot;$&quot;#,##0.0000"/>
      <border diagonalUp="0" diagonalDown="0">
        <left style="thin">
          <color theme="0"/>
        </left>
        <right/>
        <top style="thin">
          <color theme="0"/>
        </top>
        <bottom style="thin">
          <color theme="0"/>
        </bottom>
        <vertical/>
        <horizontal/>
      </border>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border outline="0">
        <right style="thin">
          <color theme="0"/>
        </right>
        <top style="thin">
          <color theme="0"/>
        </top>
      </border>
    </dxf>
    <dxf>
      <protection locked="1" hidden="0"/>
    </dxf>
    <dxf>
      <border outline="0">
        <bottom style="thin">
          <color theme="0"/>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protection locked="1" hidden="0"/>
    </dxf>
    <dxf>
      <protection locked="1" hidden="0"/>
    </dxf>
    <dxf>
      <protection locked="1" hidden="0"/>
    </dxf>
    <dxf>
      <protection locked="1" hidden="0"/>
    </dxf>
    <dxf>
      <border outline="0">
        <top style="thin">
          <color theme="0" tint="-0.24994659260841701"/>
        </top>
      </border>
    </dxf>
    <dxf>
      <border outline="0">
        <top style="thin">
          <color theme="0"/>
        </top>
        <bottom style="thin">
          <color theme="0" tint="-0.24994659260841701"/>
        </bottom>
      </border>
    </dxf>
    <dxf>
      <protection locked="1" hidden="0"/>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70" formatCode="&quot;$&quot;#,##0.0000;[Red]\-&quot;$&quot;#,##0.0000"/>
      <border>
        <left style="thin">
          <color theme="0" tint="-0.24994659260841701"/>
        </left>
      </border>
      <protection locked="1" hidden="0"/>
    </dxf>
    <dxf>
      <numFmt numFmtId="170" formatCode="&quot;$&quot;#,##0.0000;[Red]\-&quot;$&quot;#,##0.0000"/>
      <border>
        <left style="thin">
          <color theme="0" tint="-0.24994659260841701"/>
        </left>
        <right style="thin">
          <color theme="0" tint="-0.24994659260841701"/>
        </right>
      </border>
      <protection locked="1" hidden="0"/>
    </dxf>
    <dxf>
      <numFmt numFmtId="170" formatCode="&quot;$&quot;#,##0.0000;[Red]\-&quot;$&quot;#,##0.0000"/>
      <border>
        <left style="thin">
          <color theme="0" tint="-0.24994659260841701"/>
        </left>
        <right style="thin">
          <color theme="0" tint="-0.24994659260841701"/>
        </right>
      </border>
      <protection locked="1" hidden="0"/>
    </dxf>
    <dxf>
      <numFmt numFmtId="170" formatCode="&quot;$&quot;#,##0.0000;[Red]\-&quot;$&quot;#,##0.0000"/>
      <border>
        <left style="thin">
          <color theme="0" tint="-0.24994659260841701"/>
        </left>
        <right style="thin">
          <color theme="0" tint="-0.24994659260841701"/>
        </right>
      </border>
      <protection locked="1" hidden="0"/>
    </dxf>
    <dxf>
      <numFmt numFmtId="170" formatCode="&quot;$&quot;#,##0.0000;[Red]\-&quot;$&quot;#,##0.0000"/>
      <border>
        <right style="thin">
          <color theme="0" tint="-0.24994659260841701"/>
        </right>
      </border>
      <protection locked="1" hidden="0"/>
    </dxf>
    <dxf>
      <border>
        <right style="thin">
          <color theme="0" tint="-0.24994659260841701"/>
        </right>
      </border>
      <protection locked="1" hidden="0"/>
    </dxf>
    <dxf>
      <protection locked="1" hidden="0"/>
    </dxf>
    <dxf>
      <protection locked="1" hidden="0"/>
    </dxf>
    <dxf>
      <protection locked="1" hidden="0"/>
    </dxf>
    <dxf>
      <border outline="0">
        <top style="thin">
          <color theme="0"/>
        </top>
      </border>
    </dxf>
    <dxf>
      <protection locked="1" hidden="0"/>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protection locked="1" hidden="0"/>
    </dxf>
    <dxf>
      <protection locked="1" hidden="0"/>
    </dxf>
    <dxf>
      <protection locked="1" hidden="0"/>
    </dxf>
    <dxf>
      <protection locked="1" hidden="0"/>
    </dxf>
    <dxf>
      <border outline="0">
        <top style="thin">
          <color theme="0" tint="-0.24994659260841701"/>
        </top>
      </border>
    </dxf>
    <dxf>
      <border outline="0">
        <top style="thin">
          <color theme="0"/>
        </top>
        <bottom style="thin">
          <color theme="0" tint="-0.24994659260841701"/>
        </bottom>
      </border>
    </dxf>
    <dxf>
      <protection locked="1" hidden="0"/>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70" formatCode="&quot;$&quot;#,##0.0000;[Red]\-&quot;$&quot;#,##0.0000"/>
      <border>
        <left style="thin">
          <color theme="0" tint="-0.24994659260841701"/>
        </left>
      </border>
      <protection locked="1" hidden="0"/>
    </dxf>
    <dxf>
      <numFmt numFmtId="170" formatCode="&quot;$&quot;#,##0.0000;[Red]\-&quot;$&quot;#,##0.0000"/>
      <border>
        <left style="thin">
          <color theme="0" tint="-0.24994659260841701"/>
        </left>
        <right style="thin">
          <color theme="0" tint="-0.24994659260841701"/>
        </right>
      </border>
      <protection locked="1" hidden="0"/>
    </dxf>
    <dxf>
      <numFmt numFmtId="170" formatCode="&quot;$&quot;#,##0.0000;[Red]\-&quot;$&quot;#,##0.0000"/>
      <border>
        <left style="thin">
          <color theme="0" tint="-0.24994659260841701"/>
        </left>
        <right style="thin">
          <color theme="0" tint="-0.24994659260841701"/>
        </right>
      </border>
      <protection locked="1" hidden="0"/>
    </dxf>
    <dxf>
      <numFmt numFmtId="170" formatCode="&quot;$&quot;#,##0.0000;[Red]\-&quot;$&quot;#,##0.0000"/>
      <border>
        <left style="thin">
          <color theme="0" tint="-0.24994659260841701"/>
        </left>
        <right style="thin">
          <color theme="0" tint="-0.24994659260841701"/>
        </right>
      </border>
      <protection locked="1" hidden="0"/>
    </dxf>
    <dxf>
      <numFmt numFmtId="170" formatCode="&quot;$&quot;#,##0.0000;[Red]\-&quot;$&quot;#,##0.0000"/>
      <border>
        <right style="thin">
          <color theme="0" tint="-0.24994659260841701"/>
        </right>
      </border>
      <protection locked="1" hidden="0"/>
    </dxf>
    <dxf>
      <border>
        <right style="thin">
          <color theme="0" tint="-0.24994659260841701"/>
        </right>
      </border>
      <protection locked="1" hidden="0"/>
    </dxf>
    <dxf>
      <protection locked="1" hidden="0"/>
    </dxf>
    <dxf>
      <protection locked="1" hidden="0"/>
    </dxf>
    <dxf>
      <protection locked="1" hidden="0"/>
    </dxf>
    <dxf>
      <border outline="0">
        <top style="thin">
          <color theme="0"/>
        </top>
      </border>
    </dxf>
    <dxf>
      <protection locked="1" hidden="0"/>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70" formatCode="&quot;$&quot;#,##0.0000;[Red]\-&quot;$&quot;#,##0.0000"/>
      <border diagonalUp="0" diagonalDown="0">
        <left style="thin">
          <color theme="0"/>
        </left>
        <right/>
        <top style="thin">
          <color theme="0"/>
        </top>
        <bottom style="thin">
          <color theme="0"/>
        </bottom>
        <vertical/>
        <horizontal/>
      </border>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border outline="0">
        <right style="thin">
          <color theme="0"/>
        </right>
        <top style="thin">
          <color theme="0"/>
        </top>
      </border>
    </dxf>
    <dxf>
      <protection locked="1" hidden="0"/>
    </dxf>
    <dxf>
      <border outline="0">
        <bottom style="thin">
          <color theme="0"/>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70" formatCode="&quot;$&quot;#,##0.0000;[Red]\-&quot;$&quot;#,##0.0000"/>
      <border diagonalUp="0" diagonalDown="0">
        <left style="thin">
          <color theme="0"/>
        </left>
        <right/>
        <top style="thin">
          <color theme="0"/>
        </top>
        <bottom style="thin">
          <color theme="0"/>
        </bottom>
        <vertical/>
        <horizontal/>
      </border>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border outline="0">
        <right style="thin">
          <color theme="0"/>
        </right>
        <top style="thin">
          <color theme="0"/>
        </top>
      </border>
    </dxf>
    <dxf>
      <protection locked="1" hidden="0"/>
    </dxf>
    <dxf>
      <border outline="0">
        <bottom style="thin">
          <color theme="0"/>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70" formatCode="&quot;$&quot;#,##0.0000;[Red]\-&quot;$&quot;#,##0.0000"/>
      <border diagonalUp="0" diagonalDown="0">
        <left style="thin">
          <color theme="0"/>
        </left>
        <right/>
        <top style="thin">
          <color theme="0"/>
        </top>
        <bottom style="thin">
          <color theme="0"/>
        </bottom>
      </border>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protection locked="1" hidden="0"/>
    </dxf>
    <dxf>
      <protection locked="1" hidden="0"/>
    </dxf>
    <dxf>
      <protection locked="1" hidden="0"/>
    </dxf>
    <dxf>
      <protection locked="1" hidden="0"/>
    </dxf>
    <dxf>
      <border outline="0">
        <right style="thin">
          <color theme="0"/>
        </right>
        <top style="thin">
          <color theme="0"/>
        </top>
      </border>
    </dxf>
    <dxf>
      <protection locked="1" hidden="0"/>
    </dxf>
    <dxf>
      <border outline="0">
        <bottom style="thin">
          <color theme="0"/>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70" formatCode="&quot;$&quot;#,##0.0000;[Red]\-&quot;$&quot;#,##0.0000"/>
      <border diagonalUp="0" diagonalDown="0">
        <left style="thin">
          <color theme="0"/>
        </left>
        <right/>
        <top style="thin">
          <color theme="0"/>
        </top>
        <bottom style="thin">
          <color theme="0"/>
        </bottom>
      </border>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protection locked="1" hidden="0"/>
    </dxf>
    <dxf>
      <protection locked="1" hidden="0"/>
    </dxf>
    <dxf>
      <protection locked="1" hidden="0"/>
    </dxf>
    <dxf>
      <protection locked="1" hidden="0"/>
    </dxf>
    <dxf>
      <border outline="0">
        <right style="thin">
          <color theme="0"/>
        </right>
        <top style="thin">
          <color theme="0"/>
        </top>
      </border>
    </dxf>
    <dxf>
      <protection locked="1" hidden="0"/>
    </dxf>
    <dxf>
      <border outline="0">
        <bottom style="thin">
          <color theme="0"/>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70" formatCode="&quot;$&quot;#,##0.0000;[Red]\-&quot;$&quot;#,##0.0000"/>
      <border diagonalUp="0" diagonalDown="0">
        <left style="thin">
          <color theme="0"/>
        </left>
        <right/>
        <top style="thin">
          <color theme="0"/>
        </top>
        <bottom style="thin">
          <color theme="0"/>
        </bottom>
      </border>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protection locked="1" hidden="0"/>
    </dxf>
    <dxf>
      <protection locked="1" hidden="0"/>
    </dxf>
    <dxf>
      <protection locked="1" hidden="0"/>
    </dxf>
    <dxf>
      <protection locked="1" hidden="0"/>
    </dxf>
    <dxf>
      <border outline="0">
        <right style="thin">
          <color theme="0"/>
        </right>
        <top style="thin">
          <color theme="0"/>
        </top>
      </border>
    </dxf>
    <dxf>
      <protection locked="1" hidden="0"/>
    </dxf>
    <dxf>
      <border outline="0">
        <bottom style="thin">
          <color theme="0"/>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70" formatCode="&quot;$&quot;#,##0.0000;[Red]\-&quot;$&quot;#,##0.0000"/>
      <border diagonalUp="0" diagonalDown="0">
        <left style="thin">
          <color theme="0"/>
        </left>
        <right/>
        <top style="thin">
          <color theme="0"/>
        </top>
        <bottom style="thin">
          <color theme="0"/>
        </bottom>
        <vertical/>
        <horizontal/>
      </border>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numFmt numFmtId="170" formatCode="&quot;$&quot;#,##0.0000;[Red]\-&quot;$&quot;#,##0.0000"/>
      <protection locked="1" hidden="0"/>
    </dxf>
    <dxf>
      <protection locked="1" hidden="0"/>
    </dxf>
    <dxf>
      <protection locked="1" hidden="0"/>
    </dxf>
    <dxf>
      <protection locked="1" hidden="0"/>
    </dxf>
    <dxf>
      <protection locked="1" hidden="0"/>
    </dxf>
    <dxf>
      <border outline="0">
        <right style="thin">
          <color theme="0"/>
        </right>
        <top style="thin">
          <color theme="0"/>
        </top>
      </border>
    </dxf>
    <dxf>
      <protection locked="1" hidden="0"/>
    </dxf>
    <dxf>
      <border outline="0">
        <bottom style="thin">
          <color theme="0"/>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64"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protection locked="1" hidden="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protection locked="1" hidden="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protection locked="1" hidden="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protection locked="1" hidden="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protection locked="1" hidden="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protection locked="1" hidden="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protection locked="1" hidden="0"/>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protection locked="1" hidden="0"/>
    </dxf>
    <dxf>
      <border outline="0">
        <bottom style="thin">
          <color rgb="FFFFFFFF"/>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64" formatCode="&quot;$&quot;#,##0_);[Red]\(&quot;$&quot;#,##0\)"/>
      <protection locked="1" hidden="0"/>
    </dxf>
    <dxf>
      <numFmt numFmtId="164" formatCode="&quot;$&quot;#,##0_);[Red]\(&quot;$&quot;#,##0\)"/>
      <alignment horizontal="general" vertical="top" textRotation="0" wrapText="1" indent="0" justifyLastLine="0" shrinkToFit="0" readingOrder="0"/>
      <protection locked="1" hidden="0"/>
    </dxf>
    <dxf>
      <numFmt numFmtId="164" formatCode="&quot;$&quot;#,##0_);[Red]\(&quot;$&quot;#,##0\)"/>
      <alignment horizontal="general" vertical="top" textRotation="0" wrapText="1" indent="0" justifyLastLine="0" shrinkToFit="0" readingOrder="0"/>
      <protection locked="1" hidden="0"/>
    </dxf>
    <dxf>
      <numFmt numFmtId="164" formatCode="&quot;$&quot;#,##0_);[Red]\(&quot;$&quot;#,##0\)"/>
      <alignment horizontal="general" vertical="top" textRotation="0" wrapText="1" indent="0" justifyLastLine="0" shrinkToFit="0" readingOrder="0"/>
      <protection locked="1" hidden="0"/>
    </dxf>
    <dxf>
      <numFmt numFmtId="164" formatCode="&quot;$&quot;#,##0_);[Red]\(&quot;$&quot;#,##0\)"/>
      <alignment horizontal="general" vertical="top" textRotation="0" wrapText="1" indent="0" justifyLastLine="0" shrinkToFit="0" readingOrder="0"/>
      <protection locked="1" hidden="0"/>
    </dxf>
    <dxf>
      <numFmt numFmtId="164" formatCode="&quot;$&quot;#,##0_);[Red]\(&quot;$&quot;#,##0\)"/>
      <alignment horizontal="general" vertical="top" textRotation="0" wrapText="1" indent="0" justifyLastLine="0" shrinkToFit="0" readingOrder="0"/>
      <protection locked="1" hidden="0"/>
    </dxf>
    <dxf>
      <protection locked="1" hidden="0"/>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protection locked="1" hidden="0"/>
    </dxf>
    <dxf>
      <border outline="0">
        <bottom style="thin">
          <color rgb="FFFFFFFF"/>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64" formatCode="&quot;$&quot;#,##0_);[Red]\(&quot;$&quot;#,##0\)"/>
      <protection locked="1" hidden="0"/>
    </dxf>
    <dxf>
      <numFmt numFmtId="164" formatCode="&quot;$&quot;#,##0_);[Red]\(&quot;$&quot;#,##0\)"/>
      <alignment horizontal="general" vertical="top" textRotation="0" wrapText="1" indent="0" justifyLastLine="0" shrinkToFit="0" readingOrder="0"/>
      <border>
        <right style="thin">
          <color theme="0" tint="-0.24994659260841701"/>
        </right>
      </border>
      <protection locked="1" hidden="0"/>
    </dxf>
    <dxf>
      <numFmt numFmtId="164" formatCode="&quot;$&quot;#,##0_);[Red]\(&quot;$&quot;#,##0\)"/>
      <alignment horizontal="general" vertical="top" textRotation="0" wrapText="1" indent="0" justifyLastLine="0" shrinkToFit="0" readingOrder="0"/>
      <protection locked="1" hidden="0"/>
    </dxf>
    <dxf>
      <numFmt numFmtId="164" formatCode="&quot;$&quot;#,##0_);[Red]\(&quot;$&quot;#,##0\)"/>
      <alignment horizontal="general" vertical="top" textRotation="0" wrapText="1" indent="0" justifyLastLine="0" shrinkToFit="0" readingOrder="0"/>
      <protection locked="1" hidden="0"/>
    </dxf>
    <dxf>
      <numFmt numFmtId="164" formatCode="&quot;$&quot;#,##0_);[Red]\(&quot;$&quot;#,##0\)"/>
      <alignment horizontal="general" vertical="top" textRotation="0" wrapText="1" indent="0" justifyLastLine="0" shrinkToFit="0" readingOrder="0"/>
      <protection locked="1" hidden="0"/>
    </dxf>
    <dxf>
      <numFmt numFmtId="164" formatCode="&quot;$&quot;#,##0_);[Red]\(&quot;$&quot;#,##0\)"/>
      <alignment horizontal="general" vertical="top" textRotation="0" wrapText="1" indent="0" justifyLastLine="0" shrinkToFit="0" readingOrder="0"/>
      <protection locked="1" hidden="0"/>
    </dxf>
    <dxf>
      <protection locked="1" hidden="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protection locked="1" hidden="0"/>
    </dxf>
    <dxf>
      <border outline="0">
        <bottom style="thin">
          <color theme="0"/>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numFmt numFmtId="164"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protection locked="1" hidden="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protection locked="1" hidden="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protection locked="1" hidden="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protection locked="1" hidden="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protection locked="1" hidden="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protection locked="1" hidden="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protection locked="1" hidden="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protection locked="1" hidden="0"/>
    </dxf>
    <dxf>
      <border outline="0">
        <bottom style="thin">
          <color theme="0"/>
        </bottom>
      </border>
    </dxf>
    <dxf>
      <alignment horizontal="right" vertical="top" textRotation="0" wrapText="0" indent="0" justifyLastLine="0" shrinkToFit="0" readingOrder="0"/>
      <border diagonalUp="0" diagonalDown="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170"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70"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000000;[Red]\-&quot;$&quot;#,##0.000000"/>
      <border>
        <left style="thin">
          <color theme="0"/>
        </left>
      </border>
    </dxf>
    <dxf>
      <numFmt numFmtId="179" formatCode="&quot;$&quot;#,##0.000000;[Red]\-&quot;$&quot;#,##0.000000"/>
      <border>
        <left style="thin">
          <color theme="0"/>
        </left>
        <right style="thin">
          <color theme="0"/>
        </right>
      </border>
    </dxf>
    <dxf>
      <numFmt numFmtId="179" formatCode="&quot;$&quot;#,##0.000000;[Red]\-&quot;$&quot;#,##0.000000"/>
      <border>
        <left style="thin">
          <color theme="0"/>
        </left>
        <right style="thin">
          <color theme="0"/>
        </right>
      </border>
    </dxf>
    <dxf>
      <numFmt numFmtId="179" formatCode="&quot;$&quot;#,##0.000000;[Red]\-&quot;$&quot;#,##0.000000"/>
      <border>
        <left style="thin">
          <color theme="0"/>
        </left>
        <right style="thin">
          <color theme="0"/>
        </right>
      </border>
    </dxf>
    <dxf>
      <numFmt numFmtId="179" formatCode="&quot;$&quot;#,##0.000000;[Red]\-&quot;$&quot;#,##0.000000"/>
      <border>
        <right style="thin">
          <color theme="0"/>
        </right>
      </border>
    </dxf>
    <dxf>
      <border>
        <right style="thin">
          <color theme="0"/>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000000;[Red]\-&quot;$&quot;#,##0.000000"/>
      <border>
        <left style="thin">
          <color theme="0" tint="-0.24994659260841701"/>
        </left>
      </border>
    </dxf>
    <dxf>
      <numFmt numFmtId="179" formatCode="&quot;$&quot;#,##0.000000;[Red]\-&quot;$&quot;#,##0.000000"/>
      <border>
        <left style="thin">
          <color theme="0" tint="-0.24994659260841701"/>
        </left>
        <right style="thin">
          <color theme="0" tint="-0.24994659260841701"/>
        </right>
      </border>
    </dxf>
    <dxf>
      <numFmt numFmtId="179" formatCode="&quot;$&quot;#,##0.000000;[Red]\-&quot;$&quot;#,##0.000000"/>
      <border>
        <left style="thin">
          <color theme="0" tint="-0.24994659260841701"/>
        </left>
        <right style="thin">
          <color theme="0" tint="-0.24994659260841701"/>
        </right>
      </border>
    </dxf>
    <dxf>
      <numFmt numFmtId="179" formatCode="&quot;$&quot;#,##0.000000;[Red]\-&quot;$&quot;#,##0.000000"/>
      <border>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79" formatCode="&quot;$&quot;#,##0.000000;[Red]\-&quot;$&quot;#,##0.000000"/>
      <border>
        <right style="thin">
          <color theme="0" tint="-0.24994659260841701"/>
        </right>
      </border>
    </dxf>
    <dxf>
      <border>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81" formatCode="&quot;$&quot;#,##0.00000000;[Red]\-&quot;$&quot;#,##0.00000000"/>
      <border>
        <left style="thin">
          <color theme="0" tint="-0.24994659260841701"/>
        </left>
      </border>
    </dxf>
    <dxf>
      <numFmt numFmtId="181" formatCode="&quot;$&quot;#,##0.00000000;[Red]\-&quot;$&quot;#,##0.00000000"/>
      <border>
        <left style="thin">
          <color theme="0" tint="-0.24994659260841701"/>
        </left>
        <right style="thin">
          <color theme="0" tint="-0.24994659260841701"/>
        </right>
      </border>
    </dxf>
    <dxf>
      <numFmt numFmtId="181" formatCode="&quot;$&quot;#,##0.00000000;[Red]\-&quot;$&quot;#,##0.00000000"/>
      <border>
        <left style="thin">
          <color theme="0" tint="-0.24994659260841701"/>
        </left>
        <right style="thin">
          <color theme="0" tint="-0.24994659260841701"/>
        </right>
      </border>
    </dxf>
    <dxf>
      <numFmt numFmtId="181" formatCode="&quot;$&quot;#,##0.00000000;[Red]\-&quot;$&quot;#,##0.00000000"/>
      <border>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81" formatCode="&quot;$&quot;#,##0.00000000;[Red]\-&quot;$&quot;#,##0.00000000"/>
      <border>
        <right style="thin">
          <color theme="0" tint="-0.24994659260841701"/>
        </right>
      </border>
    </dxf>
    <dxf>
      <border>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70"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fill>
        <patternFill patternType="solid">
          <fgColor indexed="64"/>
          <bgColor rgb="FFFFFF00"/>
        </patternFill>
      </fill>
      <border diagonalUp="0" diagonalDown="0">
        <left style="thin">
          <color theme="0"/>
        </left>
        <right style="thin">
          <color theme="0"/>
        </right>
        <top style="thin">
          <color theme="0"/>
        </top>
        <bottom/>
        <vertical/>
        <horizontal/>
      </border>
    </dxf>
    <dxf>
      <fill>
        <patternFill patternType="solid">
          <fgColor indexed="64"/>
          <bgColor rgb="FFFFFF00"/>
        </patternFill>
      </fill>
      <border diagonalUp="0" diagonalDown="0">
        <left style="thin">
          <color theme="0"/>
        </left>
        <right style="thin">
          <color theme="0"/>
        </right>
        <top style="thin">
          <color theme="0"/>
        </top>
        <bottom/>
        <vertical/>
        <horizontal/>
      </border>
    </dxf>
    <dxf>
      <border outline="0">
        <right style="thin">
          <color theme="0"/>
        </right>
      </border>
    </dxf>
    <dxf>
      <border diagonalUp="0" diagonalDown="0">
        <left style="thin">
          <color theme="0"/>
        </left>
        <right/>
        <top style="thin">
          <color theme="0"/>
        </top>
        <bottom style="thin">
          <color theme="0"/>
        </bottom>
        <vertical/>
        <horizontal/>
      </border>
      <protection locked="1" hidden="0"/>
    </dxf>
    <dxf>
      <numFmt numFmtId="20" formatCode="d\-mmm\-yy"/>
      <protection locked="1" hidden="0"/>
    </dxf>
    <dxf>
      <protection locked="1" hidden="0"/>
    </dxf>
    <dxf>
      <border outline="0">
        <right style="thin">
          <color theme="0"/>
        </right>
        <top style="thin">
          <color theme="0"/>
        </top>
      </border>
    </dxf>
    <dxf>
      <protection locked="1" hidden="0"/>
    </dxf>
    <dxf>
      <border outline="0">
        <bottom style="thin">
          <color theme="0"/>
        </bottom>
      </border>
    </dxf>
    <dxf>
      <protection locked="1" hidden="0"/>
    </dxf>
    <dxf>
      <numFmt numFmtId="2" formatCode="0.00"/>
      <border diagonalUp="0" diagonalDown="0">
        <left style="thin">
          <color theme="0"/>
        </left>
        <right/>
        <top style="thin">
          <color theme="0"/>
        </top>
        <bottom style="thin">
          <color theme="0"/>
        </bottom>
        <vertical/>
        <horizontal/>
      </border>
      <protection locked="1" hidden="0"/>
    </dxf>
    <dxf>
      <numFmt numFmtId="20" formatCode="d\-mmm\-yy"/>
      <alignment horizontal="left" vertical="top" textRotation="0" wrapText="0" indent="0" justifyLastLine="0" shrinkToFit="0" readingOrder="0"/>
      <protection locked="1" hidden="0"/>
    </dxf>
    <dxf>
      <border outline="0">
        <right style="thin">
          <color theme="0"/>
        </right>
        <top style="thin">
          <color theme="0"/>
        </top>
      </border>
    </dxf>
    <dxf>
      <protection locked="1" hidden="0"/>
    </dxf>
    <dxf>
      <border outline="0">
        <bottom style="thin">
          <color theme="0"/>
        </bottom>
      </border>
    </dxf>
    <dxf>
      <protection locked="1" hidden="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fill>
        <patternFill patternType="solid">
          <fgColor indexed="64"/>
          <bgColor rgb="FF92D050"/>
        </patternFill>
      </fill>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dxf>
    <dxf>
      <numFmt numFmtId="3" formatCode="#,##0"/>
      <fill>
        <patternFill patternType="solid">
          <fgColor indexed="64"/>
          <bgColor rgb="FF92D050"/>
        </patternFill>
      </fill>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border outline="0">
        <left style="thin">
          <color theme="0"/>
        </left>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border outline="0">
        <right style="thin">
          <color theme="0"/>
        </right>
      </border>
    </dxf>
    <dxf>
      <border outline="0">
        <right style="thin">
          <color theme="0"/>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border outline="0">
        <top style="thin">
          <color theme="0"/>
        </top>
      </border>
    </dxf>
    <dxf>
      <border outline="0">
        <bottom style="thin">
          <color theme="0"/>
        </bottom>
      </border>
    </dxf>
    <dxf>
      <protection locked="1" hidden="0"/>
    </dxf>
    <dxf>
      <border outline="0">
        <bottom style="thin">
          <color theme="0"/>
        </bottom>
      </border>
    </dxf>
    <dxf>
      <numFmt numFmtId="20" formatCode="d\-mmm\-yy"/>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numFmt numFmtId="20" formatCode="d\-mmm\-yy"/>
      <alignment horizontal="center" vertical="center" textRotation="0" wrapText="0" indent="0" justifyLastLine="0" shrinkToFit="0" readingOrder="0"/>
    </dxf>
    <dxf>
      <numFmt numFmtId="0" formatCode="General"/>
      <alignment horizontal="left" vertical="center" textRotation="0" wrapText="0" indent="0" justifyLastLine="0" shrinkToFit="0" readingOrder="0"/>
      <border diagonalUp="0" diagonalDown="0">
        <left/>
        <right/>
        <top style="thin">
          <color theme="0"/>
        </top>
        <bottom style="thin">
          <color theme="0"/>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right style="thin">
          <color theme="0"/>
        </right>
        <top style="thin">
          <color theme="0"/>
        </top>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ill>
        <patternFill>
          <fgColor indexed="64"/>
          <bgColor rgb="FF92D050"/>
        </patternFill>
      </fill>
    </dxf>
    <dxf>
      <fill>
        <patternFill>
          <fgColor indexed="64"/>
          <bgColor rgb="FF92D050"/>
        </patternFill>
      </fill>
    </dxf>
    <dxf>
      <border diagonalUp="0" diagonalDown="0">
        <left style="thin">
          <color theme="0"/>
        </left>
        <right/>
        <top style="thin">
          <color theme="0"/>
        </top>
        <bottom style="thin">
          <color theme="0"/>
        </bottom>
        <vertical/>
        <horizontal/>
      </border>
    </dxf>
    <dxf>
      <numFmt numFmtId="3" formatCode="#,##0"/>
      <alignment horizontal="right" vertical="center"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border diagonalUp="0" diagonalDown="0">
        <left style="thin">
          <color theme="0"/>
        </left>
        <right/>
        <top style="thin">
          <color theme="0"/>
        </top>
        <bottom style="thin">
          <color theme="0"/>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numFmt numFmtId="169" formatCode="0.0000"/>
      <alignment horizontal="right" vertical="center" textRotation="0" wrapText="0" indent="0" justifyLastLine="0" shrinkToFit="0" readingOrder="0"/>
      <border diagonalUp="0" diagonalDown="0">
        <left style="thin">
          <color theme="0"/>
        </left>
        <right style="thin">
          <color theme="0"/>
        </right>
        <top/>
        <bottom style="thin">
          <color theme="0"/>
        </bottom>
      </border>
      <protection locked="1" hidden="0"/>
    </dxf>
    <dxf>
      <numFmt numFmtId="169" formatCode="0.0000"/>
      <alignment horizontal="right" vertical="center" textRotation="0" wrapText="0" indent="0" justifyLastLine="0" shrinkToFit="0" readingOrder="0"/>
      <border diagonalUp="0" diagonalDown="0">
        <left style="thin">
          <color theme="0"/>
        </left>
        <right style="thin">
          <color theme="0"/>
        </right>
        <top/>
        <bottom style="thin">
          <color theme="0"/>
        </bottom>
      </border>
      <protection locked="1" hidden="0"/>
    </dxf>
    <dxf>
      <numFmt numFmtId="169" formatCode="0.0000"/>
      <fill>
        <patternFill patternType="solid">
          <fgColor indexed="64"/>
          <bgColor rgb="FFAFCDDB"/>
        </patternFill>
      </fill>
      <alignment horizontal="right" vertical="center" textRotation="0" wrapText="0" indent="0" justifyLastLine="0" shrinkToFit="0" readingOrder="0"/>
      <border diagonalUp="0" diagonalDown="0">
        <left style="thin">
          <color theme="0"/>
        </left>
        <right style="thin">
          <color theme="0"/>
        </right>
        <top/>
        <bottom style="thin">
          <color theme="0"/>
        </bottom>
      </border>
      <protection locked="1" hidden="0"/>
    </dxf>
    <dxf>
      <numFmt numFmtId="169" formatCode="0.0000"/>
      <alignment horizontal="right" vertical="center" textRotation="0" wrapText="0" indent="0" justifyLastLine="0" shrinkToFit="0" readingOrder="0"/>
      <border diagonalUp="0" diagonalDown="0">
        <left style="thin">
          <color theme="0"/>
        </left>
        <right style="thin">
          <color theme="0"/>
        </right>
        <top/>
        <bottom style="thin">
          <color theme="0"/>
        </bottom>
      </border>
      <protection locked="1" hidden="0"/>
    </dxf>
    <dxf>
      <font>
        <color auto="1"/>
      </font>
      <numFmt numFmtId="169" formatCode="0.0000"/>
      <fill>
        <patternFill patternType="solid">
          <fgColor indexed="64"/>
          <bgColor rgb="FF92D050"/>
        </patternFill>
      </fill>
      <alignment horizontal="right" vertical="center" textRotation="0" wrapText="0" indent="0" justifyLastLine="0" shrinkToFit="0" readingOrder="0"/>
      <border diagonalUp="0" diagonalDown="0">
        <left style="thin">
          <color theme="0"/>
        </left>
        <right style="thin">
          <color theme="0"/>
        </right>
        <top/>
        <bottom style="thin">
          <color theme="0"/>
        </bottom>
      </border>
      <protection locked="1" hidden="0"/>
    </dxf>
    <dxf>
      <numFmt numFmtId="169" formatCode="0.0000"/>
      <alignment horizontal="right" vertical="center" textRotation="0" wrapText="0" indent="0" justifyLastLine="0" shrinkToFit="0" readingOrder="0"/>
      <border diagonalUp="0" diagonalDown="0">
        <left style="thin">
          <color theme="0"/>
        </left>
        <right style="thin">
          <color theme="0"/>
        </right>
        <top/>
        <bottom style="thin">
          <color theme="0"/>
        </bottom>
        <vertical/>
        <horizontal/>
      </border>
      <protection locked="1" hidden="0"/>
    </dxf>
    <dxf>
      <font>
        <strike val="0"/>
        <outline val="0"/>
        <shadow val="0"/>
        <u val="none"/>
        <vertAlign val="baseline"/>
        <sz val="11"/>
        <color auto="1"/>
        <name val="Calibri"/>
        <family val="2"/>
        <scheme val="none"/>
      </font>
      <numFmt numFmtId="169" formatCode="0.0000"/>
      <fill>
        <patternFill patternType="solid">
          <fgColor indexed="64"/>
          <bgColor rgb="FF92D050"/>
        </patternFill>
      </fill>
      <alignment horizontal="right" vertical="center" textRotation="0" wrapText="0" indent="0" justifyLastLine="0" shrinkToFit="0" readingOrder="0"/>
      <border diagonalUp="0" diagonalDown="0">
        <left style="thin">
          <color theme="0"/>
        </left>
        <right style="thin">
          <color theme="0"/>
        </right>
        <top/>
        <bottom style="thin">
          <color theme="0"/>
        </bottom>
        <vertical/>
        <horizontal/>
      </border>
      <protection locked="1" hidden="0"/>
    </dxf>
    <dxf>
      <numFmt numFmtId="169" formatCode="0.0000"/>
      <alignment horizontal="right" vertical="center" textRotation="0" wrapText="0" indent="0" justifyLastLine="0" shrinkToFit="0" readingOrder="0"/>
      <border diagonalUp="0" diagonalDown="0">
        <left style="thin">
          <color theme="0"/>
        </left>
        <right style="thin">
          <color theme="0"/>
        </right>
        <top/>
        <bottom style="thin">
          <color theme="0"/>
        </bottom>
        <vertical/>
        <horizontal/>
      </border>
      <protection locked="1" hidden="0"/>
    </dxf>
    <dxf>
      <numFmt numFmtId="2" formatCode="0.00"/>
      <fill>
        <patternFill patternType="solid">
          <fgColor indexed="64"/>
          <bgColor rgb="FF92D050"/>
        </patternFill>
      </fill>
      <alignment horizontal="right" vertical="center" textRotation="0" wrapText="0" indent="0" justifyLastLine="0" shrinkToFit="0" readingOrder="0"/>
      <border diagonalUp="0" diagonalDown="0">
        <left style="thin">
          <color theme="0"/>
        </left>
        <right/>
        <top/>
        <bottom style="thin">
          <color theme="0"/>
        </bottom>
      </border>
      <protection locked="1" hidden="0"/>
    </dxf>
    <dxf>
      <protection locked="1" hidden="0"/>
    </dxf>
    <dxf>
      <numFmt numFmtId="169" formatCode="0.0000"/>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1" hidden="0"/>
    </dxf>
    <dxf>
      <protection locked="1" hidden="0"/>
    </dxf>
    <dxf>
      <numFmt numFmtId="169" formatCode="0.0000"/>
      <alignment horizontal="right" vertical="center" textRotation="0" wrapText="0" indent="0" justifyLastLine="0" shrinkToFit="0" readingOrder="0"/>
      <border diagonalUp="0" diagonalDown="0">
        <left style="thin">
          <color theme="0"/>
        </left>
        <right/>
        <top style="thin">
          <color theme="0"/>
        </top>
        <bottom style="thin">
          <color theme="0"/>
        </bottom>
      </border>
      <protection locked="1" hidden="0"/>
    </dxf>
    <dxf>
      <protection locked="1" hidden="0"/>
    </dxf>
    <dxf>
      <numFmt numFmtId="169" formatCode="0.0000"/>
      <alignment horizontal="right" vertical="center" textRotation="0" wrapText="0" indent="0" justifyLastLine="0" shrinkToFit="0" readingOrder="0"/>
      <border diagonalUp="0" diagonalDown="0">
        <left style="thin">
          <color theme="0"/>
        </left>
        <right/>
        <top style="thin">
          <color theme="0"/>
        </top>
        <bottom style="thin">
          <color theme="0"/>
        </bottom>
      </border>
      <protection locked="1" hidden="0"/>
    </dxf>
    <dxf>
      <numFmt numFmtId="169" formatCode="0.0000"/>
      <alignment horizontal="right" vertical="center" textRotation="0" wrapText="0" indent="0" justifyLastLine="0" shrinkToFit="0" readingOrder="0"/>
      <protection locked="1" hidden="0"/>
    </dxf>
    <dxf>
      <numFmt numFmtId="169" formatCode="0.0000"/>
      <alignment horizontal="right" vertical="center" textRotation="0" wrapText="0" indent="0" justifyLastLine="0" shrinkToFit="0" readingOrder="0"/>
      <border diagonalUp="0" diagonalDown="0">
        <left style="thin">
          <color theme="0"/>
        </left>
        <right/>
        <top style="thin">
          <color theme="0"/>
        </top>
        <bottom style="thin">
          <color theme="0"/>
        </bottom>
      </border>
      <protection locked="1" hidden="0"/>
    </dxf>
    <dxf>
      <numFmt numFmtId="169" formatCode="0.0000"/>
      <alignment horizontal="right" vertical="center" textRotation="0" wrapText="0" indent="0" justifyLastLine="0" shrinkToFit="0" readingOrder="0"/>
      <protection locked="1" hidden="0"/>
    </dxf>
    <dxf>
      <numFmt numFmtId="169" formatCode="0.0000"/>
      <alignment horizontal="right" vertical="center" textRotation="0" wrapText="0" indent="0" justifyLastLine="0" shrinkToFit="0" readingOrder="0"/>
      <protection locked="1" hidden="0"/>
    </dxf>
    <dxf>
      <numFmt numFmtId="169" formatCode="0.0000"/>
      <alignment horizontal="right" vertical="center" textRotation="0" wrapText="0" indent="0" justifyLastLine="0" shrinkToFit="0" readingOrder="0"/>
      <protection locked="1" hidden="0"/>
    </dxf>
    <dxf>
      <numFmt numFmtId="169" formatCode="0.0000"/>
      <alignment horizontal="right" vertical="center" textRotation="0" wrapText="0" indent="0" justifyLastLine="0" shrinkToFit="0" readingOrder="0"/>
      <protection locked="1" hidden="0"/>
    </dxf>
    <dxf>
      <numFmt numFmtId="3" formatCode="#,##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border outline="0">
        <right style="thin">
          <color theme="0"/>
        </right>
        <top style="thin">
          <color theme="0"/>
        </top>
      </border>
    </dxf>
    <dxf>
      <protection locked="1" hidden="0"/>
    </dxf>
    <dxf>
      <border outline="0">
        <bottom style="thin">
          <color theme="0"/>
        </bottom>
      </border>
    </dxf>
    <dxf>
      <border diagonalUp="0" diagonalDown="0" outline="0">
        <left style="thin">
          <color theme="0"/>
        </left>
        <right style="thin">
          <color theme="0"/>
        </right>
        <top/>
        <bottom/>
      </border>
    </dxf>
    <dxf>
      <numFmt numFmtId="169" formatCode="0.0000"/>
      <alignment horizontal="right" vertical="center" textRotation="0" wrapText="0" indent="0" justifyLastLine="0" shrinkToFit="0" readingOrder="0"/>
      <protection locked="1" hidden="0"/>
    </dxf>
    <dxf>
      <numFmt numFmtId="169" formatCode="0.0000"/>
      <alignment horizontal="right" vertical="center" textRotation="0" wrapText="0" indent="0" justifyLastLine="0" shrinkToFit="0" readingOrder="0"/>
      <border>
        <left style="thin">
          <color theme="0"/>
        </left>
      </border>
      <protection locked="1" hidden="0"/>
    </dxf>
    <dxf>
      <numFmt numFmtId="169" formatCode="0.0000"/>
      <fill>
        <patternFill patternType="solid">
          <fgColor indexed="64"/>
          <bgColor theme="7" tint="0.59999389629810485"/>
        </patternFill>
      </fill>
      <alignment horizontal="right" vertical="center" textRotation="0" wrapText="0" indent="0" justifyLastLine="0" shrinkToFit="0" readingOrder="0"/>
      <border>
        <left style="thin">
          <color theme="0"/>
        </left>
      </border>
      <protection locked="1" hidden="0"/>
    </dxf>
    <dxf>
      <numFmt numFmtId="20" formatCode="d\-mmm\-yy"/>
      <fill>
        <patternFill patternType="solid">
          <fgColor indexed="64"/>
          <bgColor theme="7" tint="0.59999389629810485"/>
        </patternFill>
      </fill>
      <alignment horizontal="right" vertical="center" textRotation="0" wrapText="0" indent="0" justifyLastLine="0" shrinkToFit="0" readingOrder="0"/>
      <border>
        <right style="thin">
          <color theme="0"/>
        </right>
      </border>
      <protection locked="1" hidden="0"/>
    </dxf>
    <dxf>
      <numFmt numFmtId="169" formatCode="0.0000"/>
      <fill>
        <patternFill patternType="solid">
          <fgColor indexed="64"/>
          <bgColor rgb="FFFFFF00"/>
        </patternFill>
      </fill>
      <alignment horizontal="right" vertical="center" textRotation="0" wrapText="0" indent="0" justifyLastLine="0" shrinkToFit="0" readingOrder="0"/>
      <border>
        <left style="thin">
          <color theme="0"/>
        </left>
        <right style="thin">
          <color theme="0"/>
        </right>
      </border>
      <protection locked="1" hidden="0"/>
    </dxf>
    <dxf>
      <numFmt numFmtId="20" formatCode="d\-mmm\-yy"/>
      <fill>
        <patternFill patternType="solid">
          <fgColor indexed="64"/>
          <bgColor rgb="FFFFFF00"/>
        </patternFill>
      </fill>
      <alignment horizontal="right" vertical="center" textRotation="0" wrapText="0" indent="0" justifyLastLine="0" shrinkToFit="0" readingOrder="0"/>
      <border>
        <left style="thin">
          <color theme="0"/>
        </left>
        <right style="thin">
          <color theme="0"/>
        </right>
      </border>
      <protection locked="1" hidden="0"/>
    </dxf>
    <dxf>
      <numFmt numFmtId="174" formatCode="0.00000"/>
      <fill>
        <patternFill patternType="solid">
          <fgColor indexed="64"/>
          <bgColor rgb="FFFFFF00"/>
        </patternFill>
      </fill>
      <alignment horizontal="right" vertical="center" textRotation="0" wrapText="0" indent="0" justifyLastLine="0" shrinkToFit="0" readingOrder="0"/>
      <border>
        <left style="thin">
          <color theme="0"/>
        </left>
        <right style="thin">
          <color theme="0"/>
        </right>
      </border>
      <protection locked="1" hidden="0"/>
    </dxf>
    <dxf>
      <numFmt numFmtId="20" formatCode="d\-mmm\-yy"/>
      <fill>
        <patternFill patternType="solid">
          <fgColor indexed="64"/>
          <bgColor rgb="FFFFFF00"/>
        </patternFill>
      </fill>
      <alignment horizontal="right" vertical="center" textRotation="0" wrapText="0" indent="0" justifyLastLine="0" shrinkToFit="0" readingOrder="0"/>
      <border>
        <right style="thin">
          <color theme="0"/>
        </right>
      </border>
      <protection locked="1" hidden="0"/>
    </dxf>
    <dxf>
      <numFmt numFmtId="169" formatCode="0.0000"/>
      <fill>
        <patternFill patternType="solid">
          <fgColor indexed="64"/>
          <bgColor rgb="FF92D050"/>
        </patternFill>
      </fill>
      <alignment horizontal="right" vertical="center" textRotation="0" wrapText="0" indent="0" justifyLastLine="0" shrinkToFit="0" readingOrder="0"/>
      <border>
        <right style="thin">
          <color theme="0"/>
        </right>
      </border>
      <protection locked="1" hidden="0"/>
    </dxf>
    <dxf>
      <numFmt numFmtId="20" formatCode="d\-mmm\-yy"/>
      <alignment horizontal="right" vertical="center" textRotation="0" wrapText="0" indent="0" justifyLastLine="0" shrinkToFit="0" readingOrder="0"/>
      <border>
        <right style="thin">
          <color theme="0"/>
        </right>
      </border>
      <protection locked="1" hidden="0"/>
    </dxf>
    <dxf>
      <numFmt numFmtId="174" formatCode="0.00000"/>
      <alignment horizontal="right" vertical="center" textRotation="0" wrapText="0" indent="0" justifyLastLine="0" shrinkToFit="0" readingOrder="0"/>
      <protection locked="1" hidden="0"/>
    </dxf>
    <dxf>
      <numFmt numFmtId="20" formatCode="d\-mmm\-yy"/>
      <alignment horizontal="right" vertical="center" textRotation="0" wrapText="0" indent="0" justifyLastLine="0" shrinkToFit="0" readingOrder="0"/>
      <protection locked="1" hidden="0"/>
    </dxf>
    <dxf>
      <numFmt numFmtId="174" formatCode="0.00000"/>
      <alignment horizontal="right" vertical="center" textRotation="0" wrapText="0" indent="0" justifyLastLine="0" shrinkToFit="0" readingOrder="0"/>
      <border>
        <left style="thin">
          <color theme="0"/>
        </left>
      </border>
      <protection locked="1" hidden="0"/>
    </dxf>
    <dxf>
      <numFmt numFmtId="20" formatCode="d\-mmm\-yy"/>
      <alignment horizontal="right" vertical="center" textRotation="0" wrapText="0" indent="0" justifyLastLine="0" shrinkToFit="0" readingOrder="0"/>
      <border>
        <left style="thin">
          <color theme="0"/>
        </left>
        <right style="thin">
          <color theme="0"/>
        </right>
      </border>
      <protection locked="1" hidden="0"/>
    </dxf>
    <dxf>
      <alignment horizontal="right" vertical="center" textRotation="0" wrapText="0" indent="0" justifyLastLine="0" shrinkToFit="0" readingOrder="0"/>
      <border>
        <left style="thin">
          <color theme="0"/>
        </left>
        <right style="thin">
          <color theme="0"/>
        </right>
      </border>
      <protection locked="1" hidden="0"/>
    </dxf>
    <dxf>
      <numFmt numFmtId="20" formatCode="d\-mmm\-yy"/>
      <alignment horizontal="right" vertical="center" textRotation="0" wrapText="0" indent="0" justifyLastLine="0" shrinkToFit="0" readingOrder="0"/>
      <border>
        <left style="thin">
          <color theme="0"/>
        </left>
        <right style="thin">
          <color theme="0"/>
        </right>
      </border>
      <protection locked="1" hidden="0"/>
    </dxf>
    <dxf>
      <alignment horizontal="right" vertical="center" textRotation="0" wrapText="0" indent="0" justifyLastLine="0" shrinkToFit="0" readingOrder="0"/>
      <border>
        <left style="thin">
          <color theme="0"/>
        </left>
        <right style="thin">
          <color theme="0"/>
        </right>
      </border>
      <protection locked="1" hidden="0"/>
    </dxf>
    <dxf>
      <numFmt numFmtId="20" formatCode="d\-mmm\-yy"/>
      <alignment horizontal="right" vertical="center" textRotation="0" wrapText="0" indent="0" justifyLastLine="0" shrinkToFit="0" readingOrder="0"/>
      <border>
        <left style="thin">
          <color theme="0"/>
        </left>
        <right style="thin">
          <color theme="0"/>
        </right>
      </border>
      <protection locked="1" hidden="0"/>
    </dxf>
    <dxf>
      <numFmt numFmtId="169" formatCode="0.0000"/>
      <alignment horizontal="right" vertical="center" textRotation="0" wrapText="0" indent="0" justifyLastLine="0" shrinkToFit="0" readingOrder="0"/>
      <border>
        <right style="thin">
          <color theme="0"/>
        </right>
      </border>
      <protection locked="1" hidden="0"/>
    </dxf>
    <dxf>
      <alignment horizontal="right" vertical="center" textRotation="0" wrapText="0" indent="0" justifyLastLine="0" shrinkToFit="0" readingOrder="0"/>
      <border>
        <right style="thin">
          <color theme="0"/>
        </right>
      </border>
      <protection locked="1" hidden="0"/>
    </dxf>
    <dxf>
      <alignment horizontal="right" vertical="center" textRotation="0" wrapText="0" indent="0" justifyLastLine="0" shrinkToFit="0" readingOrder="0"/>
      <border>
        <left style="thin">
          <color theme="0"/>
        </left>
        <right style="thin">
          <color theme="0"/>
        </right>
      </border>
      <protection locked="1" hidden="0"/>
    </dxf>
    <dxf>
      <numFmt numFmtId="20" formatCode="d\-mmm\-yy"/>
      <alignment horizontal="right" vertical="center" textRotation="0" wrapText="0" indent="0" justifyLastLine="0" shrinkToFit="0" readingOrder="0"/>
      <border>
        <right style="thin">
          <color theme="0"/>
        </right>
      </border>
      <protection locked="1" hidden="0"/>
    </dxf>
    <dxf>
      <border>
        <right style="thin">
          <color theme="0"/>
        </right>
      </border>
      <protection locked="1" hidden="0"/>
    </dxf>
    <dxf>
      <border>
        <right style="thin">
          <color theme="0"/>
        </right>
      </border>
      <protection locked="1" hidden="0"/>
    </dxf>
    <dxf>
      <protection locked="1" hidden="0"/>
    </dxf>
    <dxf>
      <protection locked="1" hidden="0"/>
    </dxf>
    <dxf>
      <protection locked="1" hidden="0"/>
    </dxf>
    <dxf>
      <border outline="0">
        <top style="thin">
          <color theme="0" tint="-0.24994659260841701"/>
        </top>
      </border>
    </dxf>
    <dxf>
      <border outline="0">
        <top style="thin">
          <color theme="0"/>
        </top>
        <bottom style="thin">
          <color theme="0" tint="-0.24994659260841701"/>
        </bottom>
      </border>
    </dxf>
    <dxf>
      <protection locked="1" hidden="0"/>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border outline="0">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70" formatCode="&quot;$&quot;#,##0.0000;[Red]\-&quot;$&quot;#,##0.0000"/>
      <fill>
        <patternFill patternType="none">
          <fgColor indexed="64"/>
          <bgColor auto="1"/>
        </patternFill>
      </fill>
      <border outline="0">
        <left style="thin">
          <color theme="0" tint="-0.24994659260841701"/>
        </left>
      </border>
    </dxf>
    <dxf>
      <numFmt numFmtId="170"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fill>
        <patternFill patternType="none">
          <fgColor indexed="64"/>
          <bgColor auto="1"/>
        </patternFill>
      </fill>
      <border outline="0">
        <left style="thin">
          <color theme="0" tint="-0.24994659260841701"/>
        </left>
      </border>
    </dxf>
    <dxf>
      <numFmt numFmtId="170"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tint="-0.24994659260841701"/>
        </left>
      </border>
    </dxf>
    <dxf>
      <fill>
        <patternFill patternType="none">
          <fgColor indexed="64"/>
          <bgColor auto="1"/>
        </patternFill>
      </fill>
      <border outline="0">
        <left style="thin">
          <color theme="0" tint="-0.24994659260841701"/>
        </left>
        <right style="thin">
          <color theme="0" tint="-0.24994659260841701"/>
        </right>
      </border>
    </dxf>
    <dxf>
      <fill>
        <patternFill patternType="none">
          <fgColor indexed="64"/>
          <bgColor auto="1"/>
        </patternFill>
      </fill>
      <border outline="0">
        <left style="thin">
          <color theme="0" tint="-0.24994659260841701"/>
        </left>
        <right style="thin">
          <color theme="0" tint="-0.24994659260841701"/>
        </right>
      </border>
    </dxf>
    <dxf>
      <fill>
        <patternFill patternType="none">
          <fgColor indexed="64"/>
          <bgColor auto="1"/>
        </patternFill>
      </fill>
      <border outline="0">
        <left style="thin">
          <color theme="0" tint="-0.24994659260841701"/>
        </left>
        <right style="thin">
          <color theme="0" tint="-0.24994659260841701"/>
        </right>
      </border>
    </dxf>
    <dxf>
      <fill>
        <patternFill patternType="none">
          <fgColor indexed="64"/>
          <bgColor auto="1"/>
        </patternFill>
      </fill>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tint="-0.24994659260841701"/>
        </left>
      </border>
    </dxf>
    <dxf>
      <fill>
        <patternFill patternType="none">
          <fgColor indexed="64"/>
          <bgColor auto="1"/>
        </patternFill>
      </fill>
      <border outline="0">
        <left style="thin">
          <color theme="0" tint="-0.24994659260841701"/>
        </left>
        <right style="thin">
          <color theme="0" tint="-0.24994659260841701"/>
        </right>
      </border>
    </dxf>
    <dxf>
      <fill>
        <patternFill patternType="none">
          <fgColor indexed="64"/>
          <bgColor auto="1"/>
        </patternFill>
      </fill>
      <border outline="0">
        <left style="thin">
          <color theme="0" tint="-0.24994659260841701"/>
        </left>
        <right style="thin">
          <color theme="0" tint="-0.24994659260841701"/>
        </right>
      </border>
    </dxf>
    <dxf>
      <fill>
        <patternFill patternType="none">
          <fgColor indexed="64"/>
          <bgColor auto="1"/>
        </patternFill>
      </fill>
      <border outline="0">
        <left style="thin">
          <color theme="0" tint="-0.24994659260841701"/>
        </left>
        <right style="thin">
          <color theme="0" tint="-0.24994659260841701"/>
        </right>
      </border>
    </dxf>
    <dxf>
      <fill>
        <patternFill patternType="none">
          <fgColor indexed="64"/>
          <bgColor auto="1"/>
        </patternFill>
      </fill>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fill>
        <patternFill patternType="none">
          <fgColor indexed="64"/>
          <bgColor auto="1"/>
        </patternFill>
      </fill>
      <border outline="0">
        <left style="thin">
          <color theme="0" tint="-0.24994659260841701"/>
        </left>
      </border>
    </dxf>
    <dxf>
      <numFmt numFmtId="170"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5" formatCode="&quot;$&quot;#,##0.00_);[Red]\(&quot;$&quot;#,##0.00\)"/>
      <fill>
        <patternFill patternType="none">
          <fgColor indexed="64"/>
          <bgColor auto="1"/>
        </patternFill>
      </fill>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4" formatCode="0.00%"/>
      <fill>
        <patternFill patternType="none">
          <fgColor indexed="64"/>
          <bgColor auto="1"/>
        </patternFill>
      </fill>
      <border diagonalUp="0" diagonalDown="0" outline="0">
        <left style="thin">
          <color theme="0" tint="-0.24994659260841701"/>
        </left>
        <right/>
        <top style="thin">
          <color theme="0"/>
        </top>
        <bottom style="thin">
          <color theme="0"/>
        </bottom>
      </border>
    </dxf>
    <dxf>
      <numFmt numFmtId="14" formatCode="0.00%"/>
      <fill>
        <patternFill patternType="none">
          <fgColor indexed="64"/>
          <bgColor auto="1"/>
        </patternFill>
      </fill>
      <border diagonalUp="0" diagonalDown="0" outline="0">
        <left style="thin">
          <color theme="0" tint="-0.24994659260841701"/>
        </left>
        <right style="thin">
          <color theme="0" tint="-0.24994659260841701"/>
        </right>
        <top style="thin">
          <color theme="0"/>
        </top>
        <bottom style="thin">
          <color theme="0"/>
        </bottom>
      </border>
    </dxf>
    <dxf>
      <numFmt numFmtId="14" formatCode="0.00%"/>
      <fill>
        <patternFill patternType="none">
          <fgColor indexed="64"/>
          <bgColor auto="1"/>
        </patternFill>
      </fill>
      <border diagonalUp="0" diagonalDown="0" outline="0">
        <left style="thin">
          <color theme="0" tint="-0.24994659260841701"/>
        </left>
        <right style="thin">
          <color theme="0" tint="-0.24994659260841701"/>
        </right>
        <top style="thin">
          <color theme="0"/>
        </top>
        <bottom style="thin">
          <color theme="0"/>
        </bottom>
      </border>
    </dxf>
    <dxf>
      <numFmt numFmtId="14" formatCode="0.00%"/>
      <fill>
        <patternFill patternType="none">
          <fgColor indexed="64"/>
          <bgColor auto="1"/>
        </patternFill>
      </fill>
      <border diagonalUp="0" diagonalDown="0" outline="0">
        <left style="thin">
          <color theme="0" tint="-0.24994659260841701"/>
        </left>
        <right style="thin">
          <color theme="0" tint="-0.24994659260841701"/>
        </right>
        <top style="thin">
          <color theme="0"/>
        </top>
        <bottom style="thin">
          <color theme="0"/>
        </bottom>
      </border>
    </dxf>
    <dxf>
      <numFmt numFmtId="169" formatCode="0.0000"/>
      <fill>
        <patternFill patternType="none">
          <fgColor indexed="64"/>
          <bgColor auto="1"/>
        </patternFill>
      </fill>
      <alignment horizontal="general" vertical="top" textRotation="0" wrapText="0" indent="0" justifyLastLine="0" shrinkToFit="0" readingOrder="0"/>
      <border diagonalUp="0" diagonalDown="0" outline="0">
        <left style="thin">
          <color theme="0"/>
        </left>
        <right style="thin">
          <color theme="0" tint="-0.24994659260841701"/>
        </right>
        <top style="thin">
          <color theme="0"/>
        </top>
        <bottom style="thin">
          <color theme="0"/>
        </bottom>
      </border>
    </dxf>
    <dxf>
      <border outline="0">
        <right style="thin">
          <color theme="0" tint="-0.24994659260841701"/>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9" formatCode="0.0000"/>
      <fill>
        <patternFill patternType="none">
          <fgColor indexed="64"/>
          <bgColor auto="1"/>
        </patternFill>
      </fill>
      <border outline="0">
        <left style="thin">
          <color theme="0" tint="-0.24994659260841701"/>
        </left>
      </border>
    </dxf>
    <dxf>
      <numFmt numFmtId="169" formatCode="0.0000"/>
      <fill>
        <patternFill patternType="none">
          <fgColor indexed="64"/>
          <bgColor auto="1"/>
        </patternFill>
      </fill>
      <border outline="0">
        <left style="thin">
          <color theme="0" tint="-0.24994659260841701"/>
        </left>
        <right style="thin">
          <color theme="0" tint="-0.24994659260841701"/>
        </right>
      </border>
    </dxf>
    <dxf>
      <numFmt numFmtId="169" formatCode="0.0000"/>
      <fill>
        <patternFill patternType="none">
          <fgColor indexed="64"/>
          <bgColor auto="1"/>
        </patternFill>
      </fill>
      <border outline="0">
        <left style="thin">
          <color theme="0" tint="-0.24994659260841701"/>
        </left>
        <right style="thin">
          <color theme="0" tint="-0.24994659260841701"/>
        </right>
      </border>
    </dxf>
    <dxf>
      <numFmt numFmtId="169" formatCode="0.0000"/>
      <fill>
        <patternFill patternType="none">
          <fgColor indexed="64"/>
          <bgColor auto="1"/>
        </patternFill>
      </fill>
      <border outline="0">
        <left style="thin">
          <color theme="0" tint="-0.24994659260841701"/>
        </left>
        <right style="thin">
          <color theme="0" tint="-0.24994659260841701"/>
        </right>
      </border>
    </dxf>
    <dxf>
      <numFmt numFmtId="169" formatCode="0.0000"/>
      <fill>
        <patternFill patternType="none">
          <fgColor indexed="64"/>
          <bgColor auto="1"/>
        </patternFill>
      </fill>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border>
    </dxf>
    <dxf>
      <numFmt numFmtId="14" formatCode="0.00%"/>
      <fill>
        <patternFill patternType="none">
          <fgColor indexed="64"/>
          <bgColor auto="1"/>
        </patternFill>
      </fill>
      <border outline="0">
        <left style="thin">
          <color theme="0" tint="-0.24994659260841701"/>
        </left>
        <right style="thin">
          <color theme="0" tint="-0.24994659260841701"/>
        </right>
      </border>
    </dxf>
    <dxf>
      <numFmt numFmtId="0" formatCode="General"/>
      <fill>
        <patternFill patternType="none">
          <fgColor indexed="64"/>
          <bgColor auto="1"/>
        </patternFill>
      </fill>
      <border>
        <right style="thin">
          <color theme="0" tint="-0.24994659260841701"/>
        </right>
      </border>
    </dxf>
    <dxf>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000000;[Red]\-&quot;$&quot;#,##0.0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79" formatCode="&quot;$&quot;#,##0.000000;[Red]\-&quot;$&quot;#,##0.0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79" formatCode="&quot;$&quot;#,##0.000000;[Red]\-&quot;$&quot;#,##0.0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79" formatCode="&quot;$&quot;#,##0.000000;[Red]\-&quot;$&quot;#,##0.0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79" formatCode="&quot;$&quot;#,##0.000000;[Red]\-&quot;$&quot;#,##0.0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70"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9"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bottom/>
      </border>
    </dxf>
    <dxf>
      <numFmt numFmtId="169"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bottom/>
      </border>
    </dxf>
    <dxf>
      <numFmt numFmtId="169"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bottom/>
      </border>
    </dxf>
    <dxf>
      <numFmt numFmtId="169"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bottom/>
      </border>
    </dxf>
    <dxf>
      <numFmt numFmtId="169"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bottom/>
      </border>
    </dxf>
    <dxf>
      <border>
        <right style="thin">
          <color theme="0" tint="-0.24994659260841701"/>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9" formatCode="0.0000"/>
      <border>
        <left style="thin">
          <color theme="0" tint="-0.24994659260841701"/>
        </left>
      </border>
    </dxf>
    <dxf>
      <numFmt numFmtId="169" formatCode="0.0000"/>
      <border>
        <left style="thin">
          <color theme="0" tint="-0.24994659260841701"/>
        </left>
        <right style="thin">
          <color theme="0" tint="-0.24994659260841701"/>
        </right>
      </border>
    </dxf>
    <dxf>
      <numFmt numFmtId="169" formatCode="0.0000"/>
      <border>
        <left style="thin">
          <color theme="0" tint="-0.24994659260841701"/>
        </left>
        <right style="thin">
          <color theme="0" tint="-0.24994659260841701"/>
        </right>
      </border>
    </dxf>
    <dxf>
      <numFmt numFmtId="169" formatCode="0.0000"/>
      <border>
        <left style="thin">
          <color theme="0" tint="-0.24994659260841701"/>
        </left>
        <right style="thin">
          <color theme="0" tint="-0.24994659260841701"/>
        </right>
      </border>
    </dxf>
    <dxf>
      <numFmt numFmtId="169" formatCode="0.0000"/>
      <border>
        <right style="thin">
          <color theme="0" tint="-0.24994659260841701"/>
        </right>
      </border>
    </dxf>
    <dxf>
      <border>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89" formatCode="_(&quot;$&quot;* #,##0.0000_);_(&quot;$&quot;* \(#,##0.0000\);_(&quot;$&quot;* &quot;-&quot;??_);_(@_)"/>
      <fill>
        <patternFill patternType="none">
          <fgColor indexed="64"/>
          <bgColor auto="1"/>
        </patternFill>
      </fill>
      <border>
        <left style="thin">
          <color theme="0" tint="-0.24994659260841701"/>
        </left>
      </border>
    </dxf>
    <dxf>
      <numFmt numFmtId="14" formatCode="0.00%"/>
      <fill>
        <patternFill patternType="none">
          <fgColor indexed="64"/>
          <bgColor auto="1"/>
        </patternFill>
      </fill>
      <alignment horizontal="general" vertical="top" textRotation="0" wrapText="0" indent="0" justifyLastLine="0" shrinkToFit="0" readingOrder="0"/>
      <border>
        <left style="thin">
          <color theme="0" tint="-0.24994659260841701"/>
        </left>
        <right style="thin">
          <color theme="0" tint="-0.24994659260841701"/>
        </right>
      </border>
    </dxf>
    <dxf>
      <numFmt numFmtId="0" formatCode="General"/>
      <fill>
        <patternFill patternType="none">
          <fgColor indexed="64"/>
          <bgColor auto="1"/>
        </patternFill>
      </fill>
      <border>
        <right style="thin">
          <color theme="0" tint="-0.24994659260841701"/>
        </right>
      </border>
    </dxf>
    <dxf>
      <border>
        <right style="thin">
          <color theme="0" tint="-0.24994659260841701"/>
        </right>
      </border>
    </dxf>
    <dxf>
      <border>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font>
        <b val="0"/>
        <i val="0"/>
        <color theme="0"/>
      </font>
      <fill>
        <patternFill>
          <bgColor rgb="FF4986A0"/>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TableStyleMedium2" defaultPivotStyle="PivotStyleLight16">
    <tableStyle name="Default table" pivot="0" count="1" xr9:uid="{D7A9B941-B66A-4156-9972-EE896AA49F6E}">
      <tableStyleElement type="headerRow" dxfId="899"/>
    </tableStyle>
  </tableStyles>
  <colors>
    <mruColors>
      <color rgb="FFFFB13F"/>
      <color rgb="FFAFCDDB"/>
      <color rgb="FF7F7F7F"/>
      <color rgb="FFD50032"/>
      <color rgb="FF236192"/>
      <color rgb="FFED7D31"/>
      <color rgb="FF4986A0"/>
      <color rgb="FF99FFCC"/>
      <color rgb="FFA3ACA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311325067606E-2"/>
          <c:y val="3.2194571795381696E-2"/>
          <c:w val="0.75992958908925912"/>
          <c:h val="0.89384366803590409"/>
        </c:manualLayout>
      </c:layout>
      <c:barChart>
        <c:barDir val="col"/>
        <c:grouping val="stacked"/>
        <c:varyColors val="0"/>
        <c:ser>
          <c:idx val="0"/>
          <c:order val="0"/>
          <c:tx>
            <c:strRef>
              <c:f>CH_CostStack_RES!$D$34</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CH_CostStack_RES!$C$35:$C$36</c:f>
              <c:strCache>
                <c:ptCount val="2"/>
                <c:pt idx="0">
                  <c:v>VDO 2023-24 - Final</c:v>
                </c:pt>
                <c:pt idx="1">
                  <c:v>VDO 2024-25 - Draft</c:v>
                </c:pt>
              </c:strCache>
            </c:strRef>
          </c:cat>
          <c:val>
            <c:numRef>
              <c:f>CH_CostStack_RES!$D$35:$D$36</c:f>
              <c:numCache>
                <c:formatCode>"$"#,##0_);[Red]\("$"#,##0\)</c:formatCode>
                <c:ptCount val="2"/>
                <c:pt idx="0">
                  <c:v>635.56598304666477</c:v>
                </c:pt>
                <c:pt idx="1">
                  <c:v>494.67756022880002</c:v>
                </c:pt>
              </c:numCache>
            </c:numRef>
          </c:val>
          <c:extLst>
            <c:ext xmlns:c16="http://schemas.microsoft.com/office/drawing/2014/chart" uri="{C3380CC4-5D6E-409C-BE32-E72D297353CC}">
              <c16:uniqueId val="{00000000-D111-4E1B-ABB0-8C923C6416AE}"/>
            </c:ext>
          </c:extLst>
        </c:ser>
        <c:ser>
          <c:idx val="1"/>
          <c:order val="1"/>
          <c:tx>
            <c:strRef>
              <c:f>CH_CostStack_RES!$E$34</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CH_CostStack_RES!$E$35:$E$36</c:f>
              <c:numCache>
                <c:formatCode>"$"#,##0_);[Red]\("$"#,##0\)</c:formatCode>
                <c:ptCount val="2"/>
                <c:pt idx="0">
                  <c:v>548.78546404067549</c:v>
                </c:pt>
                <c:pt idx="1">
                  <c:v>582.82897798330703</c:v>
                </c:pt>
              </c:numCache>
            </c:numRef>
          </c:val>
          <c:extLst>
            <c:ext xmlns:c16="http://schemas.microsoft.com/office/drawing/2014/chart" uri="{C3380CC4-5D6E-409C-BE32-E72D297353CC}">
              <c16:uniqueId val="{00000002-D111-4E1B-ABB0-8C923C6416AE}"/>
            </c:ext>
          </c:extLst>
        </c:ser>
        <c:ser>
          <c:idx val="2"/>
          <c:order val="2"/>
          <c:tx>
            <c:strRef>
              <c:f>CH_CostStack_RES!$F$34</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CH_CostStack_RES!$F$35:$F$36</c:f>
              <c:numCache>
                <c:formatCode>"$"#,##0_);[Red]\("$"#,##0\)</c:formatCode>
                <c:ptCount val="2"/>
                <c:pt idx="0">
                  <c:v>175.92415101117138</c:v>
                </c:pt>
                <c:pt idx="1">
                  <c:v>187.59415017239178</c:v>
                </c:pt>
              </c:numCache>
            </c:numRef>
          </c:val>
          <c:extLst>
            <c:ext xmlns:c16="http://schemas.microsoft.com/office/drawing/2014/chart" uri="{C3380CC4-5D6E-409C-BE32-E72D297353CC}">
              <c16:uniqueId val="{00000003-D111-4E1B-ABB0-8C923C6416AE}"/>
            </c:ext>
          </c:extLst>
        </c:ser>
        <c:ser>
          <c:idx val="3"/>
          <c:order val="3"/>
          <c:tx>
            <c:strRef>
              <c:f>CH_CostStack_RES!$G$34</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CH_CostStack_RES!$G$35:$G$36</c:f>
              <c:numCache>
                <c:formatCode>"$"#,##0_);[Red]\("$"#,##0\)</c:formatCode>
                <c:ptCount val="2"/>
                <c:pt idx="0">
                  <c:v>131.69618635885368</c:v>
                </c:pt>
                <c:pt idx="1">
                  <c:v>134.09816785382429</c:v>
                </c:pt>
              </c:numCache>
            </c:numRef>
          </c:val>
          <c:extLst>
            <c:ext xmlns:c16="http://schemas.microsoft.com/office/drawing/2014/chart" uri="{C3380CC4-5D6E-409C-BE32-E72D297353CC}">
              <c16:uniqueId val="{00000004-D111-4E1B-ABB0-8C923C6416AE}"/>
            </c:ext>
          </c:extLst>
        </c:ser>
        <c:ser>
          <c:idx val="5"/>
          <c:order val="4"/>
          <c:tx>
            <c:strRef>
              <c:f>CH_CostStack_RES!$I$34</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CH_CostStack_RES!$I$35:$I$36</c:f>
              <c:numCache>
                <c:formatCode>"$"#,##0_);[Red]\("$"#,##0\)</c:formatCode>
                <c:ptCount val="2"/>
                <c:pt idx="0">
                  <c:v>84.863307286151937</c:v>
                </c:pt>
                <c:pt idx="1">
                  <c:v>79.160424508701311</c:v>
                </c:pt>
              </c:numCache>
            </c:numRef>
          </c:val>
          <c:extLst>
            <c:ext xmlns:c16="http://schemas.microsoft.com/office/drawing/2014/chart" uri="{C3380CC4-5D6E-409C-BE32-E72D297353CC}">
              <c16:uniqueId val="{00000006-D111-4E1B-ABB0-8C923C6416AE}"/>
            </c:ext>
          </c:extLst>
        </c:ser>
        <c:ser>
          <c:idx val="6"/>
          <c:order val="5"/>
          <c:tx>
            <c:strRef>
              <c:f>CH_CostStack_RES!$J$34</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CH_CostStack_RES!$J$35:$J$36</c:f>
              <c:numCache>
                <c:formatCode>"$"#,##0_);[Red]\("$"#,##0\)</c:formatCode>
                <c:ptCount val="2"/>
                <c:pt idx="0">
                  <c:v>160.0279508824579</c:v>
                </c:pt>
                <c:pt idx="1">
                  <c:v>149.27394335926527</c:v>
                </c:pt>
              </c:numCache>
            </c:numRef>
          </c:val>
          <c:extLst>
            <c:ext xmlns:c16="http://schemas.microsoft.com/office/drawing/2014/chart" uri="{C3380CC4-5D6E-409C-BE32-E72D297353CC}">
              <c16:uniqueId val="{00000007-D111-4E1B-ABB0-8C923C6416AE}"/>
            </c:ext>
          </c:extLst>
        </c:ser>
        <c:ser>
          <c:idx val="4"/>
          <c:order val="6"/>
          <c:tx>
            <c:strRef>
              <c:f>CH_CostStack_RES!$H$34</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11-4E1B-ABB0-8C923C6416AE}"/>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11-4E1B-ABB0-8C923C6416A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CH_CostStack_RES!$H$35:$H$36</c:f>
              <c:numCache>
                <c:formatCode>"$"#,##0_);[Red]\("$"#,##0\)</c:formatCode>
                <c:ptCount val="2"/>
                <c:pt idx="0">
                  <c:v>17.775747550251065</c:v>
                </c:pt>
                <c:pt idx="1">
                  <c:v>14.380152845628444</c:v>
                </c:pt>
              </c:numCache>
            </c:numRef>
          </c:val>
          <c:extLst>
            <c:ext xmlns:c16="http://schemas.microsoft.com/office/drawing/2014/chart" uri="{C3380CC4-5D6E-409C-BE32-E72D297353CC}">
              <c16:uniqueId val="{00000005-D111-4E1B-ABB0-8C923C6416AE}"/>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CH_CostStack_RES!$K$34</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CH_CostStack_RES!$K$35:$K$36</c:f>
              <c:numCache>
                <c:formatCode>"$"#,##0_);[Red]\("$"#,##0\)</c:formatCode>
                <c:ptCount val="2"/>
                <c:pt idx="0">
                  <c:v>1755.2</c:v>
                </c:pt>
                <c:pt idx="1">
                  <c:v>1642.8</c:v>
                </c:pt>
              </c:numCache>
            </c:numRef>
          </c:val>
          <c:smooth val="0"/>
          <c:extLst>
            <c:ext xmlns:c16="http://schemas.microsoft.com/office/drawing/2014/chart" uri="{C3380CC4-5D6E-409C-BE32-E72D297353CC}">
              <c16:uniqueId val="{00000008-D111-4E1B-ABB0-8C923C6416AE}"/>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311325067606E-2"/>
          <c:y val="3.2194571795381696E-2"/>
          <c:w val="0.75992958908925912"/>
          <c:h val="0.89384366803590409"/>
        </c:manualLayout>
      </c:layout>
      <c:barChart>
        <c:barDir val="col"/>
        <c:grouping val="stacked"/>
        <c:varyColors val="0"/>
        <c:ser>
          <c:idx val="0"/>
          <c:order val="0"/>
          <c:tx>
            <c:strRef>
              <c:f>'CH_CostStack_SME 10k'!$D$34</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'CH_CostStack_SME 10k'!$C$35:$C$36</c:f>
              <c:strCache>
                <c:ptCount val="2"/>
                <c:pt idx="0">
                  <c:v>VDO 2023-24 - Final</c:v>
                </c:pt>
                <c:pt idx="1">
                  <c:v>VDO 2024-25 - Draft</c:v>
                </c:pt>
              </c:strCache>
            </c:strRef>
          </c:cat>
          <c:val>
            <c:numRef>
              <c:f>'CH_CostStack_SME 10k'!$D$35:$D$36</c:f>
              <c:numCache>
                <c:formatCode>"$"#,##0_);[Red]\("$"#,##0\)</c:formatCode>
                <c:ptCount val="2"/>
                <c:pt idx="0">
                  <c:v>1357.5515346254031</c:v>
                </c:pt>
                <c:pt idx="1">
                  <c:v>1038.1604782186</c:v>
                </c:pt>
              </c:numCache>
            </c:numRef>
          </c:val>
          <c:extLst>
            <c:ext xmlns:c16="http://schemas.microsoft.com/office/drawing/2014/chart" uri="{C3380CC4-5D6E-409C-BE32-E72D297353CC}">
              <c16:uniqueId val="{00000000-F812-409C-9C15-1B9668AA4B91}"/>
            </c:ext>
          </c:extLst>
        </c:ser>
        <c:ser>
          <c:idx val="1"/>
          <c:order val="1"/>
          <c:tx>
            <c:strRef>
              <c:f>'CH_CostStack_SME 10k'!$E$34</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10k'!$E$35:$E$36</c:f>
              <c:numCache>
                <c:formatCode>"$"#,##0_);[Red]\("$"#,##0\)</c:formatCode>
                <c:ptCount val="2"/>
                <c:pt idx="0">
                  <c:v>1395.1974513925231</c:v>
                </c:pt>
                <c:pt idx="1">
                  <c:v>1479.8298286433071</c:v>
                </c:pt>
              </c:numCache>
            </c:numRef>
          </c:val>
          <c:extLst>
            <c:ext xmlns:c16="http://schemas.microsoft.com/office/drawing/2014/chart" uri="{C3380CC4-5D6E-409C-BE32-E72D297353CC}">
              <c16:uniqueId val="{00000001-F812-409C-9C15-1B9668AA4B91}"/>
            </c:ext>
          </c:extLst>
        </c:ser>
        <c:ser>
          <c:idx val="2"/>
          <c:order val="2"/>
          <c:tx>
            <c:strRef>
              <c:f>'CH_CostStack_SME 10k'!$F$34</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10k'!$F$35:$F$36</c:f>
              <c:numCache>
                <c:formatCode>"$"#,##0_);[Red]\("$"#,##0\)</c:formatCode>
                <c:ptCount val="2"/>
                <c:pt idx="0">
                  <c:v>175.92415101117138</c:v>
                </c:pt>
                <c:pt idx="1">
                  <c:v>187.59415017239178</c:v>
                </c:pt>
              </c:numCache>
            </c:numRef>
          </c:val>
          <c:extLst>
            <c:ext xmlns:c16="http://schemas.microsoft.com/office/drawing/2014/chart" uri="{C3380CC4-5D6E-409C-BE32-E72D297353CC}">
              <c16:uniqueId val="{00000002-F812-409C-9C15-1B9668AA4B91}"/>
            </c:ext>
          </c:extLst>
        </c:ser>
        <c:ser>
          <c:idx val="3"/>
          <c:order val="3"/>
          <c:tx>
            <c:strRef>
              <c:f>'CH_CostStack_SME 10k'!$G$34</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10k'!$G$35:$G$36</c:f>
              <c:numCache>
                <c:formatCode>"$"#,##0_);[Red]\("$"#,##0\)</c:formatCode>
                <c:ptCount val="2"/>
                <c:pt idx="0">
                  <c:v>303.8221071248704</c:v>
                </c:pt>
                <c:pt idx="1">
                  <c:v>308.70186031983332</c:v>
                </c:pt>
              </c:numCache>
            </c:numRef>
          </c:val>
          <c:extLst>
            <c:ext xmlns:c16="http://schemas.microsoft.com/office/drawing/2014/chart" uri="{C3380CC4-5D6E-409C-BE32-E72D297353CC}">
              <c16:uniqueId val="{00000003-F812-409C-9C15-1B9668AA4B91}"/>
            </c:ext>
          </c:extLst>
        </c:ser>
        <c:ser>
          <c:idx val="5"/>
          <c:order val="4"/>
          <c:tx>
            <c:strRef>
              <c:f>'CH_CostStack_SME 10k'!$I$34</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10k'!$I$35:$I$36</c:f>
              <c:numCache>
                <c:formatCode>"$"#,##0_);[Red]\("$"#,##0\)</c:formatCode>
                <c:ptCount val="2"/>
                <c:pt idx="0">
                  <c:v>183.40618237296695</c:v>
                </c:pt>
                <c:pt idx="1">
                  <c:v>169.88299883199949</c:v>
                </c:pt>
              </c:numCache>
            </c:numRef>
          </c:val>
          <c:extLst>
            <c:ext xmlns:c16="http://schemas.microsoft.com/office/drawing/2014/chart" uri="{C3380CC4-5D6E-409C-BE32-E72D297353CC}">
              <c16:uniqueId val="{00000004-F812-409C-9C15-1B9668AA4B91}"/>
            </c:ext>
          </c:extLst>
        </c:ser>
        <c:ser>
          <c:idx val="6"/>
          <c:order val="5"/>
          <c:tx>
            <c:strRef>
              <c:f>'CH_CostStack_SME 10k'!$J$34</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10k'!$J$35:$J$36</c:f>
              <c:numCache>
                <c:formatCode>"$"#,##0_);[Red]\("$"#,##0\)</c:formatCode>
                <c:ptCount val="2"/>
                <c:pt idx="0">
                  <c:v>345.8516581890234</c:v>
                </c:pt>
                <c:pt idx="1">
                  <c:v>320.35079779748474</c:v>
                </c:pt>
              </c:numCache>
            </c:numRef>
          </c:val>
          <c:extLst>
            <c:ext xmlns:c16="http://schemas.microsoft.com/office/drawing/2014/chart" uri="{C3380CC4-5D6E-409C-BE32-E72D297353CC}">
              <c16:uniqueId val="{00000005-F812-409C-9C15-1B9668AA4B91}"/>
            </c:ext>
          </c:extLst>
        </c:ser>
        <c:ser>
          <c:idx val="4"/>
          <c:order val="6"/>
          <c:tx>
            <c:strRef>
              <c:f>'CH_CostStack_SME 10k'!$H$34</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12-409C-9C15-1B9668AA4B91}"/>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12-409C-9C15-1B9668AA4B91}"/>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10k'!$H$35:$H$36</c:f>
              <c:numCache>
                <c:formatCode>"$"#,##0_);[Red]\("$"#,##0\)</c:formatCode>
                <c:ptCount val="2"/>
                <c:pt idx="0">
                  <c:v>28.443481536271662</c:v>
                </c:pt>
                <c:pt idx="1">
                  <c:v>19.338661788715836</c:v>
                </c:pt>
              </c:numCache>
            </c:numRef>
          </c:val>
          <c:extLst>
            <c:ext xmlns:c16="http://schemas.microsoft.com/office/drawing/2014/chart" uri="{C3380CC4-5D6E-409C-BE32-E72D297353CC}">
              <c16:uniqueId val="{00000008-F812-409C-9C15-1B9668AA4B91}"/>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'CH_CostStack_SME 10k'!$K$34</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10k'!$K$35:$K$36</c:f>
              <c:numCache>
                <c:formatCode>"$"#,##0_);[Red]\("$"#,##0\)</c:formatCode>
                <c:ptCount val="2"/>
                <c:pt idx="0">
                  <c:v>3791</c:v>
                </c:pt>
                <c:pt idx="1">
                  <c:v>3525</c:v>
                </c:pt>
              </c:numCache>
            </c:numRef>
          </c:val>
          <c:smooth val="0"/>
          <c:extLst>
            <c:ext xmlns:c16="http://schemas.microsoft.com/office/drawing/2014/chart" uri="{C3380CC4-5D6E-409C-BE32-E72D297353CC}">
              <c16:uniqueId val="{00000009-F812-409C-9C15-1B9668AA4B91}"/>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311325067606E-2"/>
          <c:y val="3.2194571795381696E-2"/>
          <c:w val="0.75992958908925912"/>
          <c:h val="0.89384366803590409"/>
        </c:manualLayout>
      </c:layout>
      <c:barChart>
        <c:barDir val="col"/>
        <c:grouping val="stacked"/>
        <c:varyColors val="0"/>
        <c:ser>
          <c:idx val="0"/>
          <c:order val="0"/>
          <c:tx>
            <c:strRef>
              <c:f>CH_CostStack_SME!$D$34</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CH_CostStack_SME!$C$35:$C$36</c:f>
              <c:strCache>
                <c:ptCount val="2"/>
                <c:pt idx="0">
                  <c:v>VDO 2023-24 - Final</c:v>
                </c:pt>
                <c:pt idx="1">
                  <c:v>VDO 2024-25 - Draft</c:v>
                </c:pt>
              </c:strCache>
            </c:strRef>
          </c:cat>
          <c:val>
            <c:numRef>
              <c:f>CH_CostStack_SME!$D$35:$D$36</c:f>
              <c:numCache>
                <c:formatCode>"$"#,##0_);[Red]\("$"#,##0\)</c:formatCode>
                <c:ptCount val="2"/>
                <c:pt idx="0">
                  <c:v>2715.1030692508061</c:v>
                </c:pt>
                <c:pt idx="1">
                  <c:v>2076.3209564372</c:v>
                </c:pt>
              </c:numCache>
            </c:numRef>
          </c:val>
          <c:extLst>
            <c:ext xmlns:c16="http://schemas.microsoft.com/office/drawing/2014/chart" uri="{C3380CC4-5D6E-409C-BE32-E72D297353CC}">
              <c16:uniqueId val="{00000000-A8A6-42CF-92D3-1BAC224FFB12}"/>
            </c:ext>
          </c:extLst>
        </c:ser>
        <c:ser>
          <c:idx val="1"/>
          <c:order val="1"/>
          <c:tx>
            <c:strRef>
              <c:f>CH_CostStack_SME!$E$34</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CH_CostStack_SME!$E$35:$E$36</c:f>
              <c:numCache>
                <c:formatCode>"$"#,##0_);[Red]\("$"#,##0\)</c:formatCode>
                <c:ptCount val="2"/>
                <c:pt idx="0">
                  <c:v>2591.2946225901419</c:v>
                </c:pt>
                <c:pt idx="1">
                  <c:v>2742.2305760433073</c:v>
                </c:pt>
              </c:numCache>
            </c:numRef>
          </c:val>
          <c:extLst>
            <c:ext xmlns:c16="http://schemas.microsoft.com/office/drawing/2014/chart" uri="{C3380CC4-5D6E-409C-BE32-E72D297353CC}">
              <c16:uniqueId val="{00000001-A8A6-42CF-92D3-1BAC224FFB12}"/>
            </c:ext>
          </c:extLst>
        </c:ser>
        <c:ser>
          <c:idx val="2"/>
          <c:order val="2"/>
          <c:tx>
            <c:strRef>
              <c:f>CH_CostStack_SME!$F$34</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CH_CostStack_SME!$F$35:$F$36</c:f>
              <c:numCache>
                <c:formatCode>"$"#,##0_);[Red]\("$"#,##0\)</c:formatCode>
                <c:ptCount val="2"/>
                <c:pt idx="0">
                  <c:v>175.92415101117138</c:v>
                </c:pt>
                <c:pt idx="1">
                  <c:v>187.59415017239178</c:v>
                </c:pt>
              </c:numCache>
            </c:numRef>
          </c:val>
          <c:extLst>
            <c:ext xmlns:c16="http://schemas.microsoft.com/office/drawing/2014/chart" uri="{C3380CC4-5D6E-409C-BE32-E72D297353CC}">
              <c16:uniqueId val="{00000002-A8A6-42CF-92D3-1BAC224FFB12}"/>
            </c:ext>
          </c:extLst>
        </c:ser>
        <c:ser>
          <c:idx val="3"/>
          <c:order val="3"/>
          <c:tx>
            <c:strRef>
              <c:f>CH_CostStack_SME!$G$34</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CH_CostStack_SME!$G$35:$G$36</c:f>
              <c:numCache>
                <c:formatCode>"$"#,##0_);[Red]\("$"#,##0\)</c:formatCode>
                <c:ptCount val="2"/>
                <c:pt idx="0">
                  <c:v>590.69864173489839</c:v>
                </c:pt>
                <c:pt idx="1">
                  <c:v>599.70801442984839</c:v>
                </c:pt>
              </c:numCache>
            </c:numRef>
          </c:val>
          <c:extLst>
            <c:ext xmlns:c16="http://schemas.microsoft.com/office/drawing/2014/chart" uri="{C3380CC4-5D6E-409C-BE32-E72D297353CC}">
              <c16:uniqueId val="{00000003-A8A6-42CF-92D3-1BAC224FFB12}"/>
            </c:ext>
          </c:extLst>
        </c:ser>
        <c:ser>
          <c:idx val="5"/>
          <c:order val="4"/>
          <c:tx>
            <c:strRef>
              <c:f>CH_CostStack_SME!$I$34</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CH_CostStack_SME!$I$35:$I$36</c:f>
              <c:numCache>
                <c:formatCode>"$"#,##0_);[Red]\("$"#,##0\)</c:formatCode>
                <c:ptCount val="2"/>
                <c:pt idx="0">
                  <c:v>344.26486474355988</c:v>
                </c:pt>
                <c:pt idx="1">
                  <c:v>315.47356626482338</c:v>
                </c:pt>
              </c:numCache>
            </c:numRef>
          </c:val>
          <c:extLst>
            <c:ext xmlns:c16="http://schemas.microsoft.com/office/drawing/2014/chart" uri="{C3380CC4-5D6E-409C-BE32-E72D297353CC}">
              <c16:uniqueId val="{00000004-A8A6-42CF-92D3-1BAC224FFB12}"/>
            </c:ext>
          </c:extLst>
        </c:ser>
        <c:ser>
          <c:idx val="6"/>
          <c:order val="5"/>
          <c:tx>
            <c:strRef>
              <c:f>CH_CostStack_SME!$J$34</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CH_CostStack_SME!$J$35:$J$36</c:f>
              <c:numCache>
                <c:formatCode>"$"#,##0_);[Red]\("$"#,##0\)</c:formatCode>
                <c:ptCount val="2"/>
                <c:pt idx="0">
                  <c:v>649.1851735164272</c:v>
                </c:pt>
                <c:pt idx="1">
                  <c:v>594.89301067080987</c:v>
                </c:pt>
              </c:numCache>
            </c:numRef>
          </c:val>
          <c:extLst>
            <c:ext xmlns:c16="http://schemas.microsoft.com/office/drawing/2014/chart" uri="{C3380CC4-5D6E-409C-BE32-E72D297353CC}">
              <c16:uniqueId val="{00000005-A8A6-42CF-92D3-1BAC224FFB12}"/>
            </c:ext>
          </c:extLst>
        </c:ser>
        <c:ser>
          <c:idx val="4"/>
          <c:order val="6"/>
          <c:tx>
            <c:strRef>
              <c:f>CH_CostStack_SME!$H$34</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A6-42CF-92D3-1BAC224FFB12}"/>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A6-42CF-92D3-1BAC224FFB1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CH_CostStack_SME!$H$35:$H$36</c:f>
              <c:numCache>
                <c:formatCode>"$"#,##0_);[Red]\("$"#,##0\)</c:formatCode>
                <c:ptCount val="2"/>
                <c:pt idx="0">
                  <c:v>46.223038179639317</c:v>
                </c:pt>
                <c:pt idx="1">
                  <c:v>27.602843360528158</c:v>
                </c:pt>
              </c:numCache>
            </c:numRef>
          </c:val>
          <c:extLst>
            <c:ext xmlns:c16="http://schemas.microsoft.com/office/drawing/2014/chart" uri="{C3380CC4-5D6E-409C-BE32-E72D297353CC}">
              <c16:uniqueId val="{00000008-A8A6-42CF-92D3-1BAC224FFB12}"/>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CH_CostStack_SME!$K$34</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CH_CostStack_SME!$K$35:$K$36</c:f>
              <c:numCache>
                <c:formatCode>"$"#,##0_);[Red]\("$"#,##0\)</c:formatCode>
                <c:ptCount val="2"/>
                <c:pt idx="0">
                  <c:v>7113</c:v>
                </c:pt>
                <c:pt idx="1">
                  <c:v>6544</c:v>
                </c:pt>
              </c:numCache>
            </c:numRef>
          </c:val>
          <c:smooth val="0"/>
          <c:extLst>
            <c:ext xmlns:c16="http://schemas.microsoft.com/office/drawing/2014/chart" uri="{C3380CC4-5D6E-409C-BE32-E72D297353CC}">
              <c16:uniqueId val="{00000009-A8A6-42CF-92D3-1BAC224FFB12}"/>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SS%20-%20VDO%202023-24%20-%20VDO%20calculation%20model%20-%20V1.0.XLSX" TargetMode="Externa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5543550</xdr:colOff>
      <xdr:row>2</xdr:row>
      <xdr:rowOff>0</xdr:rowOff>
    </xdr:from>
    <xdr:to>
      <xdr:col>12</xdr:col>
      <xdr:colOff>232210</xdr:colOff>
      <xdr:row>21</xdr:row>
      <xdr:rowOff>70579</xdr:rowOff>
    </xdr:to>
    <xdr:pic>
      <xdr:nvPicPr>
        <xdr:cNvPr id="10" name="Picture 9">
          <a:extLst>
            <a:ext uri="{FF2B5EF4-FFF2-40B4-BE49-F238E27FC236}">
              <a16:creationId xmlns:a16="http://schemas.microsoft.com/office/drawing/2014/main" id="{2E5EA21F-069E-15CE-8E6F-D5A5A920DBDE}"/>
            </a:ext>
          </a:extLst>
        </xdr:cNvPr>
        <xdr:cNvPicPr>
          <a:picLocks noChangeAspect="1"/>
        </xdr:cNvPicPr>
      </xdr:nvPicPr>
      <xdr:blipFill>
        <a:blip xmlns:r="http://schemas.openxmlformats.org/officeDocument/2006/relationships" r:embed="rId1"/>
        <a:stretch>
          <a:fillRect/>
        </a:stretch>
      </xdr:blipFill>
      <xdr:spPr>
        <a:xfrm>
          <a:off x="6153150" y="381000"/>
          <a:ext cx="6480610" cy="54807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56028</xdr:colOff>
      <xdr:row>96</xdr:row>
      <xdr:rowOff>199214</xdr:rowOff>
    </xdr:from>
    <xdr:to>
      <xdr:col>9</xdr:col>
      <xdr:colOff>750792</xdr:colOff>
      <xdr:row>103</xdr:row>
      <xdr:rowOff>97045</xdr:rowOff>
    </xdr:to>
    <xdr:sp macro="" textlink="">
      <xdr:nvSpPr>
        <xdr:cNvPr id="349" name="Rectangle 348">
          <a:extLst>
            <a:ext uri="{FF2B5EF4-FFF2-40B4-BE49-F238E27FC236}">
              <a16:creationId xmlns:a16="http://schemas.microsoft.com/office/drawing/2014/main" id="{97F6ABEB-DE10-4C5D-8BB6-009E223E8CE6}"/>
            </a:ext>
          </a:extLst>
        </xdr:cNvPr>
        <xdr:cNvSpPr/>
      </xdr:nvSpPr>
      <xdr:spPr>
        <a:xfrm>
          <a:off x="9300881" y="19753479"/>
          <a:ext cx="5838264" cy="1242537"/>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variable charge ($/year)</a:t>
          </a:r>
        </a:p>
      </xdr:txBody>
    </xdr:sp>
    <xdr:clientData/>
  </xdr:twoCellAnchor>
  <xdr:twoCellAnchor>
    <xdr:from>
      <xdr:col>2</xdr:col>
      <xdr:colOff>2364524</xdr:colOff>
      <xdr:row>96</xdr:row>
      <xdr:rowOff>199214</xdr:rowOff>
    </xdr:from>
    <xdr:to>
      <xdr:col>5</xdr:col>
      <xdr:colOff>1299882</xdr:colOff>
      <xdr:row>103</xdr:row>
      <xdr:rowOff>97045</xdr:rowOff>
    </xdr:to>
    <xdr:sp macro="" textlink="">
      <xdr:nvSpPr>
        <xdr:cNvPr id="363" name="Rectangle 362">
          <a:extLst>
            <a:ext uri="{FF2B5EF4-FFF2-40B4-BE49-F238E27FC236}">
              <a16:creationId xmlns:a16="http://schemas.microsoft.com/office/drawing/2014/main" id="{85F62CFE-F7A7-4C40-B18A-3BC3CE0156B7}"/>
            </a:ext>
          </a:extLst>
        </xdr:cNvPr>
        <xdr:cNvSpPr/>
      </xdr:nvSpPr>
      <xdr:spPr>
        <a:xfrm>
          <a:off x="3081700" y="19753479"/>
          <a:ext cx="5748535" cy="1242537"/>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supply charge ($/year)</a:t>
          </a:r>
        </a:p>
      </xdr:txBody>
    </xdr:sp>
    <xdr:clientData/>
  </xdr:twoCellAnchor>
  <xdr:twoCellAnchor>
    <xdr:from>
      <xdr:col>2</xdr:col>
      <xdr:colOff>2454171</xdr:colOff>
      <xdr:row>98</xdr:row>
      <xdr:rowOff>44823</xdr:rowOff>
    </xdr:from>
    <xdr:to>
      <xdr:col>4</xdr:col>
      <xdr:colOff>907676</xdr:colOff>
      <xdr:row>103</xdr:row>
      <xdr:rowOff>39133</xdr:rowOff>
    </xdr:to>
    <xdr:sp macro="" textlink="">
      <xdr:nvSpPr>
        <xdr:cNvPr id="375" name="TextBox 374">
          <a:extLst>
            <a:ext uri="{FF2B5EF4-FFF2-40B4-BE49-F238E27FC236}">
              <a16:creationId xmlns:a16="http://schemas.microsoft.com/office/drawing/2014/main" id="{710E2D9B-331D-43EB-A449-8186F13AF7E5}"/>
            </a:ext>
          </a:extLst>
        </xdr:cNvPr>
        <xdr:cNvSpPr txBox="1"/>
      </xdr:nvSpPr>
      <xdr:spPr>
        <a:xfrm>
          <a:off x="3171347" y="19991294"/>
          <a:ext cx="3552182"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Total supply charge</a:t>
          </a:r>
          <a:r>
            <a:rPr lang="en-AU" sz="900" b="1" baseline="0">
              <a:solidFill>
                <a:schemeClr val="bg1"/>
              </a:solidFill>
              <a:latin typeface="+mj-lt"/>
              <a:ea typeface="+mn-ea"/>
              <a:cs typeface="Arial" panose="020B0604020202020204" pitchFamily="34" charset="0"/>
            </a:rPr>
            <a:t> ($/day)</a:t>
          </a:r>
          <a:endParaRPr lang="en-AU" sz="900" b="1">
            <a:solidFill>
              <a:schemeClr val="bg1"/>
            </a:solidFill>
            <a:latin typeface="+mj-lt"/>
            <a:ea typeface="+mn-ea"/>
            <a:cs typeface="Arial" panose="020B0604020202020204" pitchFamily="34" charset="0"/>
          </a:endParaRPr>
        </a:p>
      </xdr:txBody>
    </xdr:sp>
    <xdr:clientData/>
  </xdr:twoCellAnchor>
  <xdr:twoCellAnchor>
    <xdr:from>
      <xdr:col>6</xdr:col>
      <xdr:colOff>257816</xdr:colOff>
      <xdr:row>98</xdr:row>
      <xdr:rowOff>44823</xdr:rowOff>
    </xdr:from>
    <xdr:to>
      <xdr:col>8</xdr:col>
      <xdr:colOff>380998</xdr:colOff>
      <xdr:row>103</xdr:row>
      <xdr:rowOff>39133</xdr:rowOff>
    </xdr:to>
    <xdr:sp macro="" textlink="">
      <xdr:nvSpPr>
        <xdr:cNvPr id="376" name="TextBox 375">
          <a:extLst>
            <a:ext uri="{FF2B5EF4-FFF2-40B4-BE49-F238E27FC236}">
              <a16:creationId xmlns:a16="http://schemas.microsoft.com/office/drawing/2014/main" id="{1E00ABB1-8718-431E-BCA5-766806932C88}"/>
            </a:ext>
          </a:extLst>
        </xdr:cNvPr>
        <xdr:cNvSpPr txBox="1"/>
      </xdr:nvSpPr>
      <xdr:spPr>
        <a:xfrm>
          <a:off x="9502669" y="19991294"/>
          <a:ext cx="3552182"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Total variable charge</a:t>
          </a:r>
          <a:r>
            <a:rPr lang="en-AU" sz="900" b="1" baseline="0">
              <a:solidFill>
                <a:schemeClr val="bg1"/>
              </a:solidFill>
              <a:latin typeface="+mj-lt"/>
              <a:ea typeface="+mn-ea"/>
              <a:cs typeface="Arial" panose="020B0604020202020204" pitchFamily="34" charset="0"/>
            </a:rPr>
            <a:t> ($/kWh)</a:t>
          </a:r>
          <a:endParaRPr lang="en-AU" sz="900" b="1">
            <a:solidFill>
              <a:schemeClr val="bg1"/>
            </a:solidFill>
            <a:latin typeface="+mj-lt"/>
            <a:ea typeface="+mn-ea"/>
            <a:cs typeface="Arial" panose="020B0604020202020204" pitchFamily="34" charset="0"/>
          </a:endParaRPr>
        </a:p>
      </xdr:txBody>
    </xdr:sp>
    <xdr:clientData/>
  </xdr:twoCellAnchor>
  <xdr:twoCellAnchor>
    <xdr:from>
      <xdr:col>2</xdr:col>
      <xdr:colOff>2285999</xdr:colOff>
      <xdr:row>69</xdr:row>
      <xdr:rowOff>33619</xdr:rowOff>
    </xdr:from>
    <xdr:to>
      <xdr:col>6</xdr:col>
      <xdr:colOff>1109381</xdr:colOff>
      <xdr:row>75</xdr:row>
      <xdr:rowOff>141875</xdr:rowOff>
    </xdr:to>
    <xdr:sp macro="" textlink="">
      <xdr:nvSpPr>
        <xdr:cNvPr id="332" name="Rectangle 331">
          <a:extLst>
            <a:ext uri="{FF2B5EF4-FFF2-40B4-BE49-F238E27FC236}">
              <a16:creationId xmlns:a16="http://schemas.microsoft.com/office/drawing/2014/main" id="{7EB77414-9042-4301-AB4B-5A3F5FAC0DD3}"/>
            </a:ext>
          </a:extLst>
        </xdr:cNvPr>
        <xdr:cNvSpPr/>
      </xdr:nvSpPr>
      <xdr:spPr>
        <a:xfrm>
          <a:off x="3003175" y="15374472"/>
          <a:ext cx="7351059" cy="1251256"/>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True up cost ($)</a:t>
          </a:r>
        </a:p>
      </xdr:txBody>
    </xdr:sp>
    <xdr:clientData/>
  </xdr:twoCellAnchor>
  <xdr:twoCellAnchor>
    <xdr:from>
      <xdr:col>2</xdr:col>
      <xdr:colOff>2285999</xdr:colOff>
      <xdr:row>61</xdr:row>
      <xdr:rowOff>112060</xdr:rowOff>
    </xdr:from>
    <xdr:to>
      <xdr:col>6</xdr:col>
      <xdr:colOff>1109381</xdr:colOff>
      <xdr:row>68</xdr:row>
      <xdr:rowOff>29816</xdr:rowOff>
    </xdr:to>
    <xdr:sp macro="" textlink="">
      <xdr:nvSpPr>
        <xdr:cNvPr id="169" name="Rectangle 168">
          <a:extLst>
            <a:ext uri="{FF2B5EF4-FFF2-40B4-BE49-F238E27FC236}">
              <a16:creationId xmlns:a16="http://schemas.microsoft.com/office/drawing/2014/main" id="{CB1CF9E0-22EA-49D0-81E6-2C7DB131568F}"/>
            </a:ext>
          </a:extLst>
        </xdr:cNvPr>
        <xdr:cNvSpPr/>
      </xdr:nvSpPr>
      <xdr:spPr>
        <a:xfrm>
          <a:off x="3003175" y="13928913"/>
          <a:ext cx="7351059" cy="1251256"/>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True up cost ($)</a:t>
          </a:r>
        </a:p>
      </xdr:txBody>
    </xdr:sp>
    <xdr:clientData/>
  </xdr:twoCellAnchor>
  <xdr:twoCellAnchor>
    <xdr:from>
      <xdr:col>4</xdr:col>
      <xdr:colOff>1187823</xdr:colOff>
      <xdr:row>62</xdr:row>
      <xdr:rowOff>156883</xdr:rowOff>
    </xdr:from>
    <xdr:to>
      <xdr:col>6</xdr:col>
      <xdr:colOff>1008531</xdr:colOff>
      <xdr:row>67</xdr:row>
      <xdr:rowOff>151193</xdr:rowOff>
    </xdr:to>
    <xdr:sp macro="" textlink="">
      <xdr:nvSpPr>
        <xdr:cNvPr id="208" name="TextBox 207">
          <a:extLst>
            <a:ext uri="{FF2B5EF4-FFF2-40B4-BE49-F238E27FC236}">
              <a16:creationId xmlns:a16="http://schemas.microsoft.com/office/drawing/2014/main" id="{75F0AED9-8428-4605-AE6C-D7D8FB204127}"/>
            </a:ext>
          </a:extLst>
        </xdr:cNvPr>
        <xdr:cNvSpPr txBox="1"/>
      </xdr:nvSpPr>
      <xdr:spPr>
        <a:xfrm>
          <a:off x="7003676" y="14164236"/>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Cost allowance in previous decision ($)</a:t>
          </a:r>
        </a:p>
      </xdr:txBody>
    </xdr:sp>
    <xdr:clientData/>
  </xdr:twoCellAnchor>
  <xdr:twoCellAnchor>
    <xdr:from>
      <xdr:col>2</xdr:col>
      <xdr:colOff>2442882</xdr:colOff>
      <xdr:row>62</xdr:row>
      <xdr:rowOff>156883</xdr:rowOff>
    </xdr:from>
    <xdr:to>
      <xdr:col>4</xdr:col>
      <xdr:colOff>593913</xdr:colOff>
      <xdr:row>67</xdr:row>
      <xdr:rowOff>151193</xdr:rowOff>
    </xdr:to>
    <xdr:sp macro="" textlink="">
      <xdr:nvSpPr>
        <xdr:cNvPr id="207" name="TextBox 206">
          <a:extLst>
            <a:ext uri="{FF2B5EF4-FFF2-40B4-BE49-F238E27FC236}">
              <a16:creationId xmlns:a16="http://schemas.microsoft.com/office/drawing/2014/main" id="{5A8A21A0-0E9C-477D-8B74-6D2FD6992904}"/>
            </a:ext>
          </a:extLst>
        </xdr:cNvPr>
        <xdr:cNvSpPr txBox="1"/>
      </xdr:nvSpPr>
      <xdr:spPr>
        <a:xfrm>
          <a:off x="3160058" y="14164236"/>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Actual cost ($)</a:t>
          </a:r>
        </a:p>
      </xdr:txBody>
    </xdr:sp>
    <xdr:clientData/>
  </xdr:twoCellAnchor>
  <xdr:twoCellAnchor>
    <xdr:from>
      <xdr:col>2</xdr:col>
      <xdr:colOff>0</xdr:colOff>
      <xdr:row>6</xdr:row>
      <xdr:rowOff>33617</xdr:rowOff>
    </xdr:from>
    <xdr:to>
      <xdr:col>11</xdr:col>
      <xdr:colOff>224119</xdr:colOff>
      <xdr:row>37</xdr:row>
      <xdr:rowOff>87555</xdr:rowOff>
    </xdr:to>
    <xdr:grpSp>
      <xdr:nvGrpSpPr>
        <xdr:cNvPr id="4" name="Group 81">
          <a:extLst>
            <a:ext uri="{FF2B5EF4-FFF2-40B4-BE49-F238E27FC236}">
              <a16:creationId xmlns:a16="http://schemas.microsoft.com/office/drawing/2014/main" id="{C08E5B7E-DC0F-4F75-B4B0-FD590CE11652}"/>
            </a:ext>
          </a:extLst>
        </xdr:cNvPr>
        <xdr:cNvGrpSpPr/>
      </xdr:nvGrpSpPr>
      <xdr:grpSpPr>
        <a:xfrm>
          <a:off x="704850" y="1824317"/>
          <a:ext cx="17235769" cy="5959438"/>
          <a:chOff x="339382" y="1661536"/>
          <a:chExt cx="16392169" cy="5700442"/>
        </a:xfrm>
      </xdr:grpSpPr>
      <xdr:grpSp>
        <xdr:nvGrpSpPr>
          <xdr:cNvPr id="5" name="Group 84">
            <a:extLst>
              <a:ext uri="{FF2B5EF4-FFF2-40B4-BE49-F238E27FC236}">
                <a16:creationId xmlns:a16="http://schemas.microsoft.com/office/drawing/2014/main" id="{8AF0CD35-A132-4A35-8F9B-3D37599298C1}"/>
              </a:ext>
            </a:extLst>
          </xdr:cNvPr>
          <xdr:cNvGrpSpPr/>
        </xdr:nvGrpSpPr>
        <xdr:grpSpPr>
          <a:xfrm>
            <a:off x="339382" y="1661536"/>
            <a:ext cx="16392169" cy="5700442"/>
            <a:chOff x="345578" y="1729787"/>
            <a:chExt cx="16862527" cy="5969865"/>
          </a:xfrm>
        </xdr:grpSpPr>
        <xdr:grpSp>
          <xdr:nvGrpSpPr>
            <xdr:cNvPr id="6" name="Group 91">
              <a:extLst>
                <a:ext uri="{FF2B5EF4-FFF2-40B4-BE49-F238E27FC236}">
                  <a16:creationId xmlns:a16="http://schemas.microsoft.com/office/drawing/2014/main" id="{3D1368CB-0402-4FA7-B709-597E9F14F105}"/>
                </a:ext>
              </a:extLst>
            </xdr:cNvPr>
            <xdr:cNvGrpSpPr/>
          </xdr:nvGrpSpPr>
          <xdr:grpSpPr>
            <a:xfrm>
              <a:off x="345578" y="1729787"/>
              <a:ext cx="16862527" cy="5969865"/>
              <a:chOff x="345578" y="1729787"/>
              <a:chExt cx="16862527" cy="5969865"/>
            </a:xfrm>
          </xdr:grpSpPr>
          <xdr:grpSp>
            <xdr:nvGrpSpPr>
              <xdr:cNvPr id="7" name="Group 96">
                <a:extLst>
                  <a:ext uri="{FF2B5EF4-FFF2-40B4-BE49-F238E27FC236}">
                    <a16:creationId xmlns:a16="http://schemas.microsoft.com/office/drawing/2014/main" id="{2491A49E-37BF-47DA-B693-F8F90F09517C}"/>
                  </a:ext>
                </a:extLst>
              </xdr:cNvPr>
              <xdr:cNvGrpSpPr/>
            </xdr:nvGrpSpPr>
            <xdr:grpSpPr>
              <a:xfrm>
                <a:off x="345578" y="1729787"/>
                <a:ext cx="16862527" cy="5969865"/>
                <a:chOff x="223114" y="120064"/>
                <a:chExt cx="16862527" cy="5969865"/>
              </a:xfrm>
            </xdr:grpSpPr>
            <xdr:grpSp>
              <xdr:nvGrpSpPr>
                <xdr:cNvPr id="8" name="Group 98">
                  <a:extLst>
                    <a:ext uri="{FF2B5EF4-FFF2-40B4-BE49-F238E27FC236}">
                      <a16:creationId xmlns:a16="http://schemas.microsoft.com/office/drawing/2014/main" id="{E4486211-B52A-4939-9298-3B35D8598533}"/>
                    </a:ext>
                  </a:extLst>
                </xdr:cNvPr>
                <xdr:cNvGrpSpPr/>
              </xdr:nvGrpSpPr>
              <xdr:grpSpPr>
                <a:xfrm>
                  <a:off x="223114" y="120064"/>
                  <a:ext cx="16862527" cy="5969865"/>
                  <a:chOff x="223114" y="120064"/>
                  <a:chExt cx="16862527" cy="5969865"/>
                </a:xfrm>
              </xdr:grpSpPr>
              <xdr:sp macro="" textlink="">
                <xdr:nvSpPr>
                  <xdr:cNvPr id="9" name="Rounded Rectangle 107">
                    <a:extLst>
                      <a:ext uri="{FF2B5EF4-FFF2-40B4-BE49-F238E27FC236}">
                        <a16:creationId xmlns:a16="http://schemas.microsoft.com/office/drawing/2014/main" id="{DADF9959-75C2-43D7-A708-0BE63BF6FC99}"/>
                      </a:ext>
                    </a:extLst>
                  </xdr:cNvPr>
                  <xdr:cNvSpPr/>
                </xdr:nvSpPr>
                <xdr:spPr>
                  <a:xfrm>
                    <a:off x="244929" y="120064"/>
                    <a:ext cx="5633357"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AND ASSUMPTIONS</a:t>
                    </a:r>
                  </a:p>
                </xdr:txBody>
              </xdr:sp>
              <xdr:sp macro="" textlink="">
                <xdr:nvSpPr>
                  <xdr:cNvPr id="12" name="Rectangle 103">
                    <a:extLst>
                      <a:ext uri="{FF2B5EF4-FFF2-40B4-BE49-F238E27FC236}">
                        <a16:creationId xmlns:a16="http://schemas.microsoft.com/office/drawing/2014/main" id="{AE00A211-4C7E-4289-8584-64FAED672848}"/>
                      </a:ext>
                    </a:extLst>
                  </xdr:cNvPr>
                  <xdr:cNvSpPr/>
                </xdr:nvSpPr>
                <xdr:spPr>
                  <a:xfrm>
                    <a:off x="3116035" y="1510393"/>
                    <a:ext cx="2449286" cy="1347108"/>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3" name="Rectangle 104">
                    <a:extLst>
                      <a:ext uri="{FF2B5EF4-FFF2-40B4-BE49-F238E27FC236}">
                        <a16:creationId xmlns:a16="http://schemas.microsoft.com/office/drawing/2014/main" id="{AFBCC46F-893C-41B5-B7B7-BA7A50C32AC6}"/>
                      </a:ext>
                    </a:extLst>
                  </xdr:cNvPr>
                  <xdr:cNvSpPr/>
                </xdr:nvSpPr>
                <xdr:spPr>
                  <a:xfrm>
                    <a:off x="590549" y="1047750"/>
                    <a:ext cx="2525487" cy="254453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4" name="Rectangle 105">
                    <a:extLst>
                      <a:ext uri="{FF2B5EF4-FFF2-40B4-BE49-F238E27FC236}">
                        <a16:creationId xmlns:a16="http://schemas.microsoft.com/office/drawing/2014/main" id="{4AF6E949-F4A1-4D82-A73B-82939FDE70F5}"/>
                      </a:ext>
                    </a:extLst>
                  </xdr:cNvPr>
                  <xdr:cNvSpPr/>
                </xdr:nvSpPr>
                <xdr:spPr>
                  <a:xfrm>
                    <a:off x="651780" y="3891643"/>
                    <a:ext cx="2277178" cy="598714"/>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21" name="Rounded Rectangle 125">
                    <a:extLst>
                      <a:ext uri="{FF2B5EF4-FFF2-40B4-BE49-F238E27FC236}">
                        <a16:creationId xmlns:a16="http://schemas.microsoft.com/office/drawing/2014/main" id="{E5DCA80B-5419-4531-AC40-993F502EBEB4}"/>
                      </a:ext>
                    </a:extLst>
                  </xdr:cNvPr>
                  <xdr:cNvSpPr/>
                </xdr:nvSpPr>
                <xdr:spPr>
                  <a:xfrm>
                    <a:off x="223114" y="5261338"/>
                    <a:ext cx="5633357" cy="828591"/>
                  </a:xfrm>
                  <a:prstGeom prst="roundRect">
                    <a:avLst>
                      <a:gd name="adj" fmla="val 0"/>
                    </a:avLst>
                  </a:prstGeom>
                  <a:solidFill>
                    <a:sysClr val="window" lastClr="FFFFFF"/>
                  </a:solidFill>
                  <a:ln w="12700" cap="flat" cmpd="sng" algn="ctr">
                    <a:solidFill>
                      <a:srgbClr val="FFFFFF">
                        <a:lumMod val="50000"/>
                      </a:srgbClr>
                    </a:solidFill>
                    <a:prstDash val="solid"/>
                    <a:miter lim="800000"/>
                  </a:ln>
                  <a:effectLst/>
                </xdr:spPr>
                <xdr:txBody>
                  <a:bodyPr vertOverflow="clip" horzOverflow="clip" lIns="91440" tIns="45720" rIns="91440" bIns="9144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LEGEND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22" name="TextBox 113">
                    <a:extLst>
                      <a:ext uri="{FF2B5EF4-FFF2-40B4-BE49-F238E27FC236}">
                        <a16:creationId xmlns:a16="http://schemas.microsoft.com/office/drawing/2014/main" id="{C2B0E760-40AE-4038-82A9-5B2FC815A494}"/>
                      </a:ext>
                    </a:extLst>
                  </xdr:cNvPr>
                  <xdr:cNvSpPr txBox="1"/>
                </xdr:nvSpPr>
                <xdr:spPr>
                  <a:xfrm>
                    <a:off x="418918" y="5571521"/>
                    <a:ext cx="1265108" cy="400170"/>
                  </a:xfrm>
                  <a:prstGeom prst="rect">
                    <a:avLst/>
                  </a:prstGeom>
                  <a:solidFill>
                    <a:srgbClr val="AFCDDB"/>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xdr:txBody>
              </xdr:sp>
              <xdr:sp macro="" textlink="">
                <xdr:nvSpPr>
                  <xdr:cNvPr id="23" name="TextBox 114">
                    <a:extLst>
                      <a:ext uri="{FF2B5EF4-FFF2-40B4-BE49-F238E27FC236}">
                        <a16:creationId xmlns:a16="http://schemas.microsoft.com/office/drawing/2014/main" id="{C8DC98E2-389F-4F67-A2EA-731D8C7B5B98}"/>
                      </a:ext>
                    </a:extLst>
                  </xdr:cNvPr>
                  <xdr:cNvSpPr txBox="1"/>
                </xdr:nvSpPr>
                <xdr:spPr>
                  <a:xfrm>
                    <a:off x="1769833" y="5571421"/>
                    <a:ext cx="1256352" cy="397488"/>
                  </a:xfrm>
                  <a:prstGeom prst="rect">
                    <a:avLst/>
                  </a:prstGeom>
                  <a:solidFill>
                    <a:srgbClr val="236192"/>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a:t>
                    </a:r>
                  </a:p>
                </xdr:txBody>
              </xdr:sp>
              <xdr:sp macro="" textlink="">
                <xdr:nvSpPr>
                  <xdr:cNvPr id="24" name="TextBox 115">
                    <a:extLst>
                      <a:ext uri="{FF2B5EF4-FFF2-40B4-BE49-F238E27FC236}">
                        <a16:creationId xmlns:a16="http://schemas.microsoft.com/office/drawing/2014/main" id="{AC75EF32-8050-4AFA-A187-C3E360F83608}"/>
                      </a:ext>
                    </a:extLst>
                  </xdr:cNvPr>
                  <xdr:cNvSpPr txBox="1"/>
                </xdr:nvSpPr>
                <xdr:spPr>
                  <a:xfrm>
                    <a:off x="3107828" y="5574915"/>
                    <a:ext cx="1256352" cy="393995"/>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a:t>
                    </a:r>
                  </a:p>
                </xdr:txBody>
              </xdr:sp>
              <xdr:sp macro="" textlink="">
                <xdr:nvSpPr>
                  <xdr:cNvPr id="25" name="TextBox 116">
                    <a:extLst>
                      <a:ext uri="{FF2B5EF4-FFF2-40B4-BE49-F238E27FC236}">
                        <a16:creationId xmlns:a16="http://schemas.microsoft.com/office/drawing/2014/main" id="{FA5AF2AB-2A17-4986-BF57-633C26797917}"/>
                      </a:ext>
                    </a:extLst>
                  </xdr:cNvPr>
                  <xdr:cNvSpPr txBox="1"/>
                </xdr:nvSpPr>
                <xdr:spPr>
                  <a:xfrm>
                    <a:off x="4436832" y="5576284"/>
                    <a:ext cx="1256352" cy="390644"/>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Supporting Worksheets</a:t>
                    </a:r>
                  </a:p>
                </xdr:txBody>
              </xdr:sp>
              <xdr:cxnSp macro="">
                <xdr:nvCxnSpPr>
                  <xdr:cNvPr id="27" name="Straight Arrow Connector 118">
                    <a:extLst>
                      <a:ext uri="{FF2B5EF4-FFF2-40B4-BE49-F238E27FC236}">
                        <a16:creationId xmlns:a16="http://schemas.microsoft.com/office/drawing/2014/main" id="{C63F4C4F-0735-424C-9263-9D8B29BDEFC7}"/>
                      </a:ext>
                    </a:extLst>
                  </xdr:cNvPr>
                  <xdr:cNvCxnSpPr/>
                </xdr:nvCxnSpPr>
                <xdr:spPr>
                  <a:xfrm>
                    <a:off x="5918651" y="2571752"/>
                    <a:ext cx="412494" cy="6694"/>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51" name="Rounded Rectangle 107">
                    <a:extLst>
                      <a:ext uri="{FF2B5EF4-FFF2-40B4-BE49-F238E27FC236}">
                        <a16:creationId xmlns:a16="http://schemas.microsoft.com/office/drawing/2014/main" id="{846C031D-00FA-4959-A53F-DB4BD099FD24}"/>
                      </a:ext>
                    </a:extLst>
                  </xdr:cNvPr>
                  <xdr:cNvSpPr/>
                </xdr:nvSpPr>
                <xdr:spPr>
                  <a:xfrm>
                    <a:off x="6407497" y="120064"/>
                    <a:ext cx="5050032"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CALCULATIONS</a:t>
                    </a:r>
                  </a:p>
                </xdr:txBody>
              </xdr:sp>
              <xdr:sp macro="" textlink="">
                <xdr:nvSpPr>
                  <xdr:cNvPr id="152" name="Rounded Rectangle 108">
                    <a:extLst>
                      <a:ext uri="{FF2B5EF4-FFF2-40B4-BE49-F238E27FC236}">
                        <a16:creationId xmlns:a16="http://schemas.microsoft.com/office/drawing/2014/main" id="{241445F8-BD72-4057-B75D-5B56129BEF62}"/>
                      </a:ext>
                    </a:extLst>
                  </xdr:cNvPr>
                  <xdr:cNvSpPr/>
                </xdr:nvSpPr>
                <xdr:spPr>
                  <a:xfrm>
                    <a:off x="6505194" y="378250"/>
                    <a:ext cx="4849090" cy="4613318"/>
                  </a:xfrm>
                  <a:prstGeom prst="roundRect">
                    <a:avLst>
                      <a:gd name="adj" fmla="val 0"/>
                    </a:avLst>
                  </a:prstGeom>
                  <a:solidFill>
                    <a:srgbClr val="236192"/>
                  </a:solidFill>
                  <a:ln w="9525" cmpd="sng">
                    <a:solidFill>
                      <a:sysClr val="windowText" lastClr="000000"/>
                    </a:solid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Calc_Rates / Calc_TU_values / Calc_TU_rates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 will take reference to inputs in the period selected by user.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cxnSp macro="">
                <xdr:nvCxnSpPr>
                  <xdr:cNvPr id="154" name="Straight Arrow Connector 118">
                    <a:extLst>
                      <a:ext uri="{FF2B5EF4-FFF2-40B4-BE49-F238E27FC236}">
                        <a16:creationId xmlns:a16="http://schemas.microsoft.com/office/drawing/2014/main" id="{2FDDB231-B6AE-4520-AB54-9A5525CF8CBE}"/>
                      </a:ext>
                    </a:extLst>
                  </xdr:cNvPr>
                  <xdr:cNvCxnSpPr/>
                </xdr:nvCxnSpPr>
                <xdr:spPr>
                  <a:xfrm>
                    <a:off x="11557672" y="2571752"/>
                    <a:ext cx="412494" cy="6694"/>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55" name="Rounded Rectangle 107">
                    <a:extLst>
                      <a:ext uri="{FF2B5EF4-FFF2-40B4-BE49-F238E27FC236}">
                        <a16:creationId xmlns:a16="http://schemas.microsoft.com/office/drawing/2014/main" id="{20D04CF7-24A3-4B6F-9567-FFB5672C2DEC}"/>
                      </a:ext>
                    </a:extLst>
                  </xdr:cNvPr>
                  <xdr:cNvSpPr/>
                </xdr:nvSpPr>
                <xdr:spPr>
                  <a:xfrm>
                    <a:off x="12035609" y="120064"/>
                    <a:ext cx="5050032"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OUTPUTS</a:t>
                    </a:r>
                  </a:p>
                </xdr:txBody>
              </xdr:sp>
              <xdr:sp macro="" textlink="">
                <xdr:nvSpPr>
                  <xdr:cNvPr id="156" name="TextBox 106">
                    <a:extLst>
                      <a:ext uri="{FF2B5EF4-FFF2-40B4-BE49-F238E27FC236}">
                        <a16:creationId xmlns:a16="http://schemas.microsoft.com/office/drawing/2014/main" id="{A3F43476-6D7F-4C70-A226-F8F69B191EBD}"/>
                      </a:ext>
                    </a:extLst>
                  </xdr:cNvPr>
                  <xdr:cNvSpPr txBox="1"/>
                </xdr:nvSpPr>
                <xdr:spPr>
                  <a:xfrm>
                    <a:off x="12177403" y="423152"/>
                    <a:ext cx="4788260" cy="4568415"/>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OP_Rates / OP_CMAB</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Final calculations are extracted and organised, ready for publishing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Display the respective rates and bills for all electricity providers, for residential and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 include: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Tariff Rates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estimated annual bills</a:t>
                    </a:r>
                  </a:p>
                </xdr:txBody>
              </xdr:sp>
            </xdr:grpSp>
            <xdr:sp macro="" textlink="">
              <xdr:nvSpPr>
                <xdr:cNvPr id="28" name="TextBox 99">
                  <a:extLst>
                    <a:ext uri="{FF2B5EF4-FFF2-40B4-BE49-F238E27FC236}">
                      <a16:creationId xmlns:a16="http://schemas.microsoft.com/office/drawing/2014/main" id="{CF8FF41C-98FE-41DE-891B-6357D463A07C}"/>
                    </a:ext>
                  </a:extLst>
                </xdr:cNvPr>
                <xdr:cNvSpPr txBox="1"/>
              </xdr:nvSpPr>
              <xdr:spPr>
                <a:xfrm>
                  <a:off x="326572" y="4475553"/>
                  <a:ext cx="5483677" cy="42620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CPI 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Quarterly CPI indices and associated VDO regulatory periods</a:t>
                  </a:r>
                </a:p>
              </xdr:txBody>
            </xdr:sp>
          </xdr:grpSp>
          <xdr:sp macro="" textlink="">
            <xdr:nvSpPr>
              <xdr:cNvPr id="29" name="TextBox 97">
                <a:extLst>
                  <a:ext uri="{FF2B5EF4-FFF2-40B4-BE49-F238E27FC236}">
                    <a16:creationId xmlns:a16="http://schemas.microsoft.com/office/drawing/2014/main" id="{8A1CF666-196D-44F6-8951-34EED3C68478}"/>
                  </a:ext>
                </a:extLst>
              </xdr:cNvPr>
              <xdr:cNvSpPr txBox="1"/>
            </xdr:nvSpPr>
            <xdr:spPr>
              <a:xfrm>
                <a:off x="455081" y="1999200"/>
                <a:ext cx="5459342" cy="341254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Values to be inputted every new period, over time creating a time series of historical and current inputs.</a:t>
                </a:r>
              </a:p>
            </xdr:txBody>
          </xdr:sp>
          <xdr:sp macro="" textlink="">
            <xdr:nvSpPr>
              <xdr:cNvPr id="30" name="TextBox 123">
                <a:extLst>
                  <a:ext uri="{FF2B5EF4-FFF2-40B4-BE49-F238E27FC236}">
                    <a16:creationId xmlns:a16="http://schemas.microsoft.com/office/drawing/2014/main" id="{7420815E-0F85-4C85-BA61-C5A58F1EB871}"/>
                  </a:ext>
                </a:extLst>
              </xdr:cNvPr>
              <xdr:cNvSpPr txBox="1"/>
            </xdr:nvSpPr>
            <xdr:spPr>
              <a:xfrm>
                <a:off x="444174" y="5501552"/>
                <a:ext cx="5459342" cy="493921"/>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General Assumptions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that remain constant across the time periods</a:t>
                </a:r>
              </a:p>
            </xdr:txBody>
          </xdr:sp>
        </xdr:grpSp>
        <xdr:sp macro="" textlink="">
          <xdr:nvSpPr>
            <xdr:cNvPr id="31" name="TextBox 92">
              <a:extLst>
                <a:ext uri="{FF2B5EF4-FFF2-40B4-BE49-F238E27FC236}">
                  <a16:creationId xmlns:a16="http://schemas.microsoft.com/office/drawing/2014/main" id="{1014C094-2F54-4172-B57E-4790967D5EF2}"/>
                </a:ext>
              </a:extLst>
            </xdr:cNvPr>
            <xdr:cNvSpPr txBox="1"/>
          </xdr:nvSpPr>
          <xdr:spPr>
            <a:xfrm>
              <a:off x="584453" y="2706405"/>
              <a:ext cx="2590744" cy="2555915"/>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Variable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price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liability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Controlled load charges, residential</a:t>
              </a:r>
            </a:p>
          </xdr:txBody>
        </xdr:sp>
        <xdr:sp macro="" textlink="">
          <xdr:nvSpPr>
            <xdr:cNvPr id="32" name="TextBox 93">
              <a:extLst>
                <a:ext uri="{FF2B5EF4-FFF2-40B4-BE49-F238E27FC236}">
                  <a16:creationId xmlns:a16="http://schemas.microsoft.com/office/drawing/2014/main" id="{E739218C-B44E-4F91-B57D-9D84EC27B03A}"/>
                </a:ext>
              </a:extLst>
            </xdr:cNvPr>
            <xdr:cNvSpPr txBox="1"/>
          </xdr:nvSpPr>
          <xdr:spPr>
            <a:xfrm>
              <a:off x="3276395" y="2706406"/>
              <a:ext cx="2536779" cy="1406262"/>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Fixed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Solar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Metering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small business</a:t>
              </a:r>
            </a:p>
          </xdr:txBody>
        </xdr:sp>
        <xdr:sp macro="" textlink="">
          <xdr:nvSpPr>
            <xdr:cNvPr id="33" name="TextBox 94">
              <a:extLst>
                <a:ext uri="{FF2B5EF4-FFF2-40B4-BE49-F238E27FC236}">
                  <a16:creationId xmlns:a16="http://schemas.microsoft.com/office/drawing/2014/main" id="{661FD5E0-9EEE-4B46-9684-7CFAD3BD60AE}"/>
                </a:ext>
              </a:extLst>
            </xdr:cNvPr>
            <xdr:cNvSpPr txBox="1"/>
          </xdr:nvSpPr>
          <xdr:spPr>
            <a:xfrm>
              <a:off x="3280469" y="4195697"/>
              <a:ext cx="2529781" cy="1069678"/>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Non-Cost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Distribution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Marginal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 margin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Electricity consumption</a:t>
              </a:r>
            </a:p>
          </xdr:txBody>
        </xdr:sp>
        <xdr:sp macro="" textlink="">
          <xdr:nvSpPr>
            <xdr:cNvPr id="34" name="TextBox 95">
              <a:extLst>
                <a:ext uri="{FF2B5EF4-FFF2-40B4-BE49-F238E27FC236}">
                  <a16:creationId xmlns:a16="http://schemas.microsoft.com/office/drawing/2014/main" id="{E1E9623C-D5D8-4BB4-8CA5-24BD19492BC2}"/>
                </a:ext>
              </a:extLst>
            </xdr:cNvPr>
            <xdr:cNvSpPr txBox="1"/>
          </xdr:nvSpPr>
          <xdr:spPr>
            <a:xfrm>
              <a:off x="6715124" y="4793986"/>
              <a:ext cx="3946071" cy="1644571"/>
            </a:xfrm>
            <a:prstGeom prst="rect">
              <a:avLst/>
            </a:prstGeom>
            <a:noFill/>
            <a:ln w="9525" cmpd="sng">
              <a:no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grpSp>
      <xdr:sp macro="" textlink="">
        <xdr:nvSpPr>
          <xdr:cNvPr id="35" name="TextBox 85">
            <a:extLst>
              <a:ext uri="{FF2B5EF4-FFF2-40B4-BE49-F238E27FC236}">
                <a16:creationId xmlns:a16="http://schemas.microsoft.com/office/drawing/2014/main" id="{D6FCE240-7C14-42C4-950E-108A20ECC6FF}"/>
              </a:ext>
            </a:extLst>
          </xdr:cNvPr>
          <xdr:cNvSpPr txBox="1"/>
        </xdr:nvSpPr>
        <xdr:spPr>
          <a:xfrm>
            <a:off x="6969713" y="4798063"/>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AusNet</a:t>
            </a:r>
          </a:p>
        </xdr:txBody>
      </xdr:sp>
      <xdr:sp macro="" textlink="">
        <xdr:nvSpPr>
          <xdr:cNvPr id="36" name="TextBox 86">
            <a:extLst>
              <a:ext uri="{FF2B5EF4-FFF2-40B4-BE49-F238E27FC236}">
                <a16:creationId xmlns:a16="http://schemas.microsoft.com/office/drawing/2014/main" id="{6C6F8D72-B31D-49E4-A863-5AD31A6EF591}"/>
              </a:ext>
            </a:extLst>
          </xdr:cNvPr>
          <xdr:cNvSpPr txBox="1"/>
        </xdr:nvSpPr>
        <xdr:spPr>
          <a:xfrm>
            <a:off x="8212506" y="4798064"/>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CitiPower</a:t>
            </a:r>
          </a:p>
        </xdr:txBody>
      </xdr:sp>
      <xdr:sp macro="" textlink="">
        <xdr:nvSpPr>
          <xdr:cNvPr id="37" name="TextBox 87">
            <a:extLst>
              <a:ext uri="{FF2B5EF4-FFF2-40B4-BE49-F238E27FC236}">
                <a16:creationId xmlns:a16="http://schemas.microsoft.com/office/drawing/2014/main" id="{40939CEF-2A9E-4B02-8904-35FC1B76B88A}"/>
              </a:ext>
            </a:extLst>
          </xdr:cNvPr>
          <xdr:cNvSpPr txBox="1"/>
        </xdr:nvSpPr>
        <xdr:spPr>
          <a:xfrm>
            <a:off x="9466168" y="4803925"/>
            <a:ext cx="1100985" cy="608199"/>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Jemena</a:t>
            </a:r>
          </a:p>
        </xdr:txBody>
      </xdr:sp>
      <xdr:sp macro="" textlink="">
        <xdr:nvSpPr>
          <xdr:cNvPr id="38" name="TextBox 88">
            <a:extLst>
              <a:ext uri="{FF2B5EF4-FFF2-40B4-BE49-F238E27FC236}">
                <a16:creationId xmlns:a16="http://schemas.microsoft.com/office/drawing/2014/main" id="{15BB24D6-E6C2-4591-8373-937E75ECD2D2}"/>
              </a:ext>
            </a:extLst>
          </xdr:cNvPr>
          <xdr:cNvSpPr txBox="1"/>
        </xdr:nvSpPr>
        <xdr:spPr>
          <a:xfrm>
            <a:off x="7606970" y="5488923"/>
            <a:ext cx="1100985" cy="61933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Powercor</a:t>
            </a:r>
          </a:p>
        </xdr:txBody>
      </xdr:sp>
      <xdr:sp macro="" textlink="">
        <xdr:nvSpPr>
          <xdr:cNvPr id="39" name="TextBox 89">
            <a:extLst>
              <a:ext uri="{FF2B5EF4-FFF2-40B4-BE49-F238E27FC236}">
                <a16:creationId xmlns:a16="http://schemas.microsoft.com/office/drawing/2014/main" id="{12391A71-E691-402F-9D47-53D2C2E7EA81}"/>
              </a:ext>
            </a:extLst>
          </xdr:cNvPr>
          <xdr:cNvSpPr txBox="1"/>
        </xdr:nvSpPr>
        <xdr:spPr>
          <a:xfrm>
            <a:off x="8841144" y="5475229"/>
            <a:ext cx="1100985" cy="631026"/>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United Energy</a:t>
            </a:r>
          </a:p>
        </xdr:txBody>
      </xdr:sp>
    </xdr:grpSp>
    <xdr:clientData/>
  </xdr:twoCellAnchor>
  <xdr:twoCellAnchor>
    <xdr:from>
      <xdr:col>2</xdr:col>
      <xdr:colOff>2286000</xdr:colOff>
      <xdr:row>44</xdr:row>
      <xdr:rowOff>76726</xdr:rowOff>
    </xdr:from>
    <xdr:to>
      <xdr:col>7</xdr:col>
      <xdr:colOff>720011</xdr:colOff>
      <xdr:row>50</xdr:row>
      <xdr:rowOff>84125</xdr:rowOff>
    </xdr:to>
    <xdr:sp macro="" textlink="">
      <xdr:nvSpPr>
        <xdr:cNvPr id="47" name="Rectangle 46">
          <a:extLst>
            <a:ext uri="{FF2B5EF4-FFF2-40B4-BE49-F238E27FC236}">
              <a16:creationId xmlns:a16="http://schemas.microsoft.com/office/drawing/2014/main" id="{B8F92B5F-585B-437F-B6E7-120814771D5A}"/>
            </a:ext>
          </a:extLst>
        </xdr:cNvPr>
        <xdr:cNvSpPr/>
      </xdr:nvSpPr>
      <xdr:spPr>
        <a:xfrm>
          <a:off x="3003176" y="9702579"/>
          <a:ext cx="8676188"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Total Fixed Cost ($)</a:t>
          </a:r>
        </a:p>
      </xdr:txBody>
    </xdr:sp>
    <xdr:clientData/>
  </xdr:twoCellAnchor>
  <xdr:twoCellAnchor>
    <xdr:from>
      <xdr:col>2</xdr:col>
      <xdr:colOff>2496111</xdr:colOff>
      <xdr:row>45</xdr:row>
      <xdr:rowOff>173825</xdr:rowOff>
    </xdr:from>
    <xdr:to>
      <xdr:col>3</xdr:col>
      <xdr:colOff>507150</xdr:colOff>
      <xdr:row>49</xdr:row>
      <xdr:rowOff>130824</xdr:rowOff>
    </xdr:to>
    <xdr:sp macro="" textlink="">
      <xdr:nvSpPr>
        <xdr:cNvPr id="48" name="Rectangle 47">
          <a:extLst>
            <a:ext uri="{FF2B5EF4-FFF2-40B4-BE49-F238E27FC236}">
              <a16:creationId xmlns:a16="http://schemas.microsoft.com/office/drawing/2014/main" id="{C4A16E1A-B0AA-4DD8-8E3F-0E84D23F7AB1}"/>
            </a:ext>
          </a:extLst>
        </xdr:cNvPr>
        <xdr:cNvSpPr/>
      </xdr:nvSpPr>
      <xdr:spPr>
        <a:xfrm>
          <a:off x="3213287" y="999017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Retail operating cost ($)</a:t>
          </a:r>
        </a:p>
      </xdr:txBody>
    </xdr:sp>
    <xdr:clientData/>
  </xdr:twoCellAnchor>
  <xdr:twoCellAnchor>
    <xdr:from>
      <xdr:col>3</xdr:col>
      <xdr:colOff>819876</xdr:colOff>
      <xdr:row>45</xdr:row>
      <xdr:rowOff>173825</xdr:rowOff>
    </xdr:from>
    <xdr:to>
      <xdr:col>4</xdr:col>
      <xdr:colOff>500592</xdr:colOff>
      <xdr:row>49</xdr:row>
      <xdr:rowOff>130824</xdr:rowOff>
    </xdr:to>
    <xdr:sp macro="" textlink="">
      <xdr:nvSpPr>
        <xdr:cNvPr id="49" name="Rectangle 48">
          <a:extLst>
            <a:ext uri="{FF2B5EF4-FFF2-40B4-BE49-F238E27FC236}">
              <a16:creationId xmlns:a16="http://schemas.microsoft.com/office/drawing/2014/main" id="{D640DC63-9569-4F5C-B62C-88CC3B2A1C01}"/>
            </a:ext>
          </a:extLst>
        </xdr:cNvPr>
        <xdr:cNvSpPr/>
      </xdr:nvSpPr>
      <xdr:spPr>
        <a:xfrm>
          <a:off x="4921229" y="999017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charges ($)</a:t>
          </a:r>
        </a:p>
      </xdr:txBody>
    </xdr:sp>
    <xdr:clientData/>
  </xdr:twoCellAnchor>
  <xdr:twoCellAnchor>
    <xdr:from>
      <xdr:col>4</xdr:col>
      <xdr:colOff>796866</xdr:colOff>
      <xdr:row>45</xdr:row>
      <xdr:rowOff>173825</xdr:rowOff>
    </xdr:from>
    <xdr:to>
      <xdr:col>5</xdr:col>
      <xdr:colOff>470291</xdr:colOff>
      <xdr:row>49</xdr:row>
      <xdr:rowOff>130824</xdr:rowOff>
    </xdr:to>
    <xdr:sp macro="" textlink="">
      <xdr:nvSpPr>
        <xdr:cNvPr id="51" name="Rectangle 50">
          <a:extLst>
            <a:ext uri="{FF2B5EF4-FFF2-40B4-BE49-F238E27FC236}">
              <a16:creationId xmlns:a16="http://schemas.microsoft.com/office/drawing/2014/main" id="{57129EC0-1579-4619-B1E8-8F5C891ABD6B}"/>
            </a:ext>
          </a:extLst>
        </xdr:cNvPr>
        <xdr:cNvSpPr/>
      </xdr:nvSpPr>
      <xdr:spPr>
        <a:xfrm>
          <a:off x="6612719" y="9990178"/>
          <a:ext cx="1387925"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Other</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5</xdr:col>
      <xdr:colOff>795731</xdr:colOff>
      <xdr:row>45</xdr:row>
      <xdr:rowOff>173825</xdr:rowOff>
    </xdr:from>
    <xdr:to>
      <xdr:col>6</xdr:col>
      <xdr:colOff>476448</xdr:colOff>
      <xdr:row>49</xdr:row>
      <xdr:rowOff>130824</xdr:rowOff>
    </xdr:to>
    <xdr:sp macro="" textlink="">
      <xdr:nvSpPr>
        <xdr:cNvPr id="53" name="Rectangle 52">
          <a:extLst>
            <a:ext uri="{FF2B5EF4-FFF2-40B4-BE49-F238E27FC236}">
              <a16:creationId xmlns:a16="http://schemas.microsoft.com/office/drawing/2014/main" id="{EF13050F-BB06-4627-A30F-4E6E5A5269D6}"/>
            </a:ext>
          </a:extLst>
        </xdr:cNvPr>
        <xdr:cNvSpPr/>
      </xdr:nvSpPr>
      <xdr:spPr>
        <a:xfrm>
          <a:off x="8326084" y="9990178"/>
          <a:ext cx="1395217"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Feed-In Tariff</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6</xdr:col>
      <xdr:colOff>784112</xdr:colOff>
      <xdr:row>45</xdr:row>
      <xdr:rowOff>173825</xdr:rowOff>
    </xdr:from>
    <xdr:to>
      <xdr:col>7</xdr:col>
      <xdr:colOff>464829</xdr:colOff>
      <xdr:row>49</xdr:row>
      <xdr:rowOff>130824</xdr:rowOff>
    </xdr:to>
    <xdr:sp macro="" textlink="">
      <xdr:nvSpPr>
        <xdr:cNvPr id="55" name="Rectangle 54">
          <a:extLst>
            <a:ext uri="{FF2B5EF4-FFF2-40B4-BE49-F238E27FC236}">
              <a16:creationId xmlns:a16="http://schemas.microsoft.com/office/drawing/2014/main" id="{BE5A7782-3F56-48F4-91F7-ADA4041E7ADE}"/>
            </a:ext>
          </a:extLst>
        </xdr:cNvPr>
        <xdr:cNvSpPr/>
      </xdr:nvSpPr>
      <xdr:spPr>
        <a:xfrm>
          <a:off x="10028965" y="9990178"/>
          <a:ext cx="1395217"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CARC</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7</xdr:col>
      <xdr:colOff>1230377</xdr:colOff>
      <xdr:row>44</xdr:row>
      <xdr:rowOff>76726</xdr:rowOff>
    </xdr:from>
    <xdr:to>
      <xdr:col>8</xdr:col>
      <xdr:colOff>1046967</xdr:colOff>
      <xdr:row>50</xdr:row>
      <xdr:rowOff>84125</xdr:rowOff>
    </xdr:to>
    <xdr:sp macro="" textlink="">
      <xdr:nvSpPr>
        <xdr:cNvPr id="58" name="Rectangle 57">
          <a:extLst>
            <a:ext uri="{FF2B5EF4-FFF2-40B4-BE49-F238E27FC236}">
              <a16:creationId xmlns:a16="http://schemas.microsoft.com/office/drawing/2014/main" id="{3EE40249-264E-4B69-94D6-D70B2D457E50}"/>
            </a:ext>
          </a:extLst>
        </xdr:cNvPr>
        <xdr:cNvSpPr/>
      </xdr:nvSpPr>
      <xdr:spPr>
        <a:xfrm>
          <a:off x="12189730" y="9702579"/>
          <a:ext cx="1531090"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clientData/>
  </xdr:twoCellAnchor>
  <xdr:twoCellAnchor>
    <xdr:from>
      <xdr:col>8</xdr:col>
      <xdr:colOff>1542749</xdr:colOff>
      <xdr:row>44</xdr:row>
      <xdr:rowOff>76726</xdr:rowOff>
    </xdr:from>
    <xdr:to>
      <xdr:col>9</xdr:col>
      <xdr:colOff>1349133</xdr:colOff>
      <xdr:row>50</xdr:row>
      <xdr:rowOff>84125</xdr:rowOff>
    </xdr:to>
    <xdr:sp macro="" textlink="">
      <xdr:nvSpPr>
        <xdr:cNvPr id="59" name="Rectangle 58">
          <a:extLst>
            <a:ext uri="{FF2B5EF4-FFF2-40B4-BE49-F238E27FC236}">
              <a16:creationId xmlns:a16="http://schemas.microsoft.com/office/drawing/2014/main" id="{024C6063-DDEF-47D7-9310-7238581E51D1}"/>
            </a:ext>
          </a:extLst>
        </xdr:cNvPr>
        <xdr:cNvSpPr/>
      </xdr:nvSpPr>
      <xdr:spPr>
        <a:xfrm>
          <a:off x="14216602" y="9702579"/>
          <a:ext cx="1520884"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2</xdr:col>
      <xdr:colOff>1882784</xdr:colOff>
      <xdr:row>47</xdr:row>
      <xdr:rowOff>121511</xdr:rowOff>
    </xdr:from>
    <xdr:to>
      <xdr:col>2</xdr:col>
      <xdr:colOff>2142340</xdr:colOff>
      <xdr:row>47</xdr:row>
      <xdr:rowOff>121511</xdr:rowOff>
    </xdr:to>
    <xdr:cxnSp macro="">
      <xdr:nvCxnSpPr>
        <xdr:cNvPr id="61" name="Straight Arrow Connector 60">
          <a:extLst>
            <a:ext uri="{FF2B5EF4-FFF2-40B4-BE49-F238E27FC236}">
              <a16:creationId xmlns:a16="http://schemas.microsoft.com/office/drawing/2014/main" id="{502AFFC0-C715-48D6-8339-E7746624C3BE}"/>
            </a:ext>
          </a:extLst>
        </xdr:cNvPr>
        <xdr:cNvCxnSpPr/>
      </xdr:nvCxnSpPr>
      <xdr:spPr>
        <a:xfrm>
          <a:off x="2599960" y="10318864"/>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42157</xdr:colOff>
      <xdr:row>42</xdr:row>
      <xdr:rowOff>186565</xdr:rowOff>
    </xdr:from>
    <xdr:to>
      <xdr:col>2</xdr:col>
      <xdr:colOff>1739460</xdr:colOff>
      <xdr:row>58</xdr:row>
      <xdr:rowOff>84402</xdr:rowOff>
    </xdr:to>
    <xdr:grpSp>
      <xdr:nvGrpSpPr>
        <xdr:cNvPr id="86" name="Group 85">
          <a:extLst>
            <a:ext uri="{FF2B5EF4-FFF2-40B4-BE49-F238E27FC236}">
              <a16:creationId xmlns:a16="http://schemas.microsoft.com/office/drawing/2014/main" id="{240DFC70-0083-48CF-A91E-F37FC970CF5A}"/>
            </a:ext>
          </a:extLst>
        </xdr:cNvPr>
        <xdr:cNvGrpSpPr/>
      </xdr:nvGrpSpPr>
      <xdr:grpSpPr>
        <a:xfrm>
          <a:off x="747007" y="8863840"/>
          <a:ext cx="1697303" cy="2945837"/>
          <a:chOff x="13982274" y="9016796"/>
          <a:chExt cx="1697303" cy="2945837"/>
        </a:xfrm>
      </xdr:grpSpPr>
      <xdr:sp macro="" textlink="">
        <xdr:nvSpPr>
          <xdr:cNvPr id="45" name="Rectangle 44">
            <a:extLst>
              <a:ext uri="{FF2B5EF4-FFF2-40B4-BE49-F238E27FC236}">
                <a16:creationId xmlns:a16="http://schemas.microsoft.com/office/drawing/2014/main" id="{744A0365-E213-49D5-B239-43037B7A516A}"/>
              </a:ext>
            </a:extLst>
          </xdr:cNvPr>
          <xdr:cNvSpPr/>
        </xdr:nvSpPr>
        <xdr:spPr>
          <a:xfrm>
            <a:off x="13982274" y="9016796"/>
            <a:ext cx="1697303" cy="2945837"/>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Tariffs</a:t>
            </a:r>
            <a:endParaRPr lang="en-AU" sz="1050" b="0">
              <a:solidFill>
                <a:sysClr val="windowText" lastClr="000000"/>
              </a:solidFill>
              <a:latin typeface="+mj-lt"/>
            </a:endParaRPr>
          </a:p>
        </xdr:txBody>
      </xdr:sp>
      <xdr:sp macro="" textlink="">
        <xdr:nvSpPr>
          <xdr:cNvPr id="62" name="Rectangle 61">
            <a:extLst>
              <a:ext uri="{FF2B5EF4-FFF2-40B4-BE49-F238E27FC236}">
                <a16:creationId xmlns:a16="http://schemas.microsoft.com/office/drawing/2014/main" id="{34156727-E535-422B-BCAB-DEADED5EAE66}"/>
              </a:ext>
            </a:extLst>
          </xdr:cNvPr>
          <xdr:cNvSpPr/>
        </xdr:nvSpPr>
        <xdr:spPr>
          <a:xfrm>
            <a:off x="14057156" y="9288748"/>
            <a:ext cx="1554829" cy="115039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($/day)</a:t>
            </a:r>
          </a:p>
        </xdr:txBody>
      </xdr:sp>
      <xdr:sp macro="" textlink="">
        <xdr:nvSpPr>
          <xdr:cNvPr id="67" name="Rectangle 66">
            <a:extLst>
              <a:ext uri="{FF2B5EF4-FFF2-40B4-BE49-F238E27FC236}">
                <a16:creationId xmlns:a16="http://schemas.microsoft.com/office/drawing/2014/main" id="{0A8D12B2-1227-4702-9394-634DFDAEE286}"/>
              </a:ext>
            </a:extLst>
          </xdr:cNvPr>
          <xdr:cNvSpPr/>
        </xdr:nvSpPr>
        <xdr:spPr>
          <a:xfrm>
            <a:off x="14054075" y="10726748"/>
            <a:ext cx="1554829" cy="115039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grpSp>
    <xdr:clientData/>
  </xdr:twoCellAnchor>
  <xdr:twoCellAnchor>
    <xdr:from>
      <xdr:col>2</xdr:col>
      <xdr:colOff>1879703</xdr:colOff>
      <xdr:row>55</xdr:row>
      <xdr:rowOff>35510</xdr:rowOff>
    </xdr:from>
    <xdr:to>
      <xdr:col>2</xdr:col>
      <xdr:colOff>2149467</xdr:colOff>
      <xdr:row>55</xdr:row>
      <xdr:rowOff>35510</xdr:rowOff>
    </xdr:to>
    <xdr:cxnSp macro="">
      <xdr:nvCxnSpPr>
        <xdr:cNvPr id="66" name="Straight Arrow Connector 65">
          <a:extLst>
            <a:ext uri="{FF2B5EF4-FFF2-40B4-BE49-F238E27FC236}">
              <a16:creationId xmlns:a16="http://schemas.microsoft.com/office/drawing/2014/main" id="{AAF23852-BB2B-464B-BD21-C14D75F66A7F}"/>
            </a:ext>
          </a:extLst>
        </xdr:cNvPr>
        <xdr:cNvCxnSpPr/>
      </xdr:nvCxnSpPr>
      <xdr:spPr>
        <a:xfrm>
          <a:off x="2596879" y="11756863"/>
          <a:ext cx="269764"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1542749</xdr:colOff>
      <xdr:row>51</xdr:row>
      <xdr:rowOff>181225</xdr:rowOff>
    </xdr:from>
    <xdr:to>
      <xdr:col>9</xdr:col>
      <xdr:colOff>1349133</xdr:colOff>
      <xdr:row>57</xdr:row>
      <xdr:rowOff>188623</xdr:rowOff>
    </xdr:to>
    <xdr:sp macro="" textlink="">
      <xdr:nvSpPr>
        <xdr:cNvPr id="63" name="Rectangle 62">
          <a:extLst>
            <a:ext uri="{FF2B5EF4-FFF2-40B4-BE49-F238E27FC236}">
              <a16:creationId xmlns:a16="http://schemas.microsoft.com/office/drawing/2014/main" id="{0A837E26-BE0D-4BFD-AAD0-0DD7D9A4B95F}"/>
            </a:ext>
          </a:extLst>
        </xdr:cNvPr>
        <xdr:cNvSpPr/>
      </xdr:nvSpPr>
      <xdr:spPr>
        <a:xfrm>
          <a:off x="14216602" y="11140578"/>
          <a:ext cx="1520884"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clientData/>
  </xdr:twoCellAnchor>
  <xdr:twoCellAnchor>
    <xdr:from>
      <xdr:col>7</xdr:col>
      <xdr:colOff>1218561</xdr:colOff>
      <xdr:row>51</xdr:row>
      <xdr:rowOff>181225</xdr:rowOff>
    </xdr:from>
    <xdr:to>
      <xdr:col>8</xdr:col>
      <xdr:colOff>1035151</xdr:colOff>
      <xdr:row>57</xdr:row>
      <xdr:rowOff>188623</xdr:rowOff>
    </xdr:to>
    <xdr:sp macro="" textlink="">
      <xdr:nvSpPr>
        <xdr:cNvPr id="64" name="Rectangle 63">
          <a:extLst>
            <a:ext uri="{FF2B5EF4-FFF2-40B4-BE49-F238E27FC236}">
              <a16:creationId xmlns:a16="http://schemas.microsoft.com/office/drawing/2014/main" id="{DC0CA793-CBE6-41EF-8E38-2CE1FCD090EA}"/>
            </a:ext>
          </a:extLst>
        </xdr:cNvPr>
        <xdr:cNvSpPr/>
      </xdr:nvSpPr>
      <xdr:spPr>
        <a:xfrm>
          <a:off x="12177914" y="11140578"/>
          <a:ext cx="1531090"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2</xdr:col>
      <xdr:colOff>2286001</xdr:colOff>
      <xdr:row>51</xdr:row>
      <xdr:rowOff>181225</xdr:rowOff>
    </xdr:from>
    <xdr:to>
      <xdr:col>7</xdr:col>
      <xdr:colOff>720011</xdr:colOff>
      <xdr:row>57</xdr:row>
      <xdr:rowOff>188623</xdr:rowOff>
    </xdr:to>
    <xdr:sp macro="" textlink="">
      <xdr:nvSpPr>
        <xdr:cNvPr id="44" name="Rectangle 43">
          <a:extLst>
            <a:ext uri="{FF2B5EF4-FFF2-40B4-BE49-F238E27FC236}">
              <a16:creationId xmlns:a16="http://schemas.microsoft.com/office/drawing/2014/main" id="{8ED4813D-5AD1-4425-AB07-F425155D0634}"/>
            </a:ext>
          </a:extLst>
        </xdr:cNvPr>
        <xdr:cNvSpPr/>
      </xdr:nvSpPr>
      <xdr:spPr>
        <a:xfrm>
          <a:off x="3003177" y="11140578"/>
          <a:ext cx="8676187"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bg1"/>
            </a:solidFill>
            <a:latin typeface="+mj-lt"/>
            <a:ea typeface="+mn-ea"/>
            <a:cs typeface="Arial" panose="020B0604020202020204" pitchFamily="34" charset="0"/>
          </a:endParaRPr>
        </a:p>
      </xdr:txBody>
    </xdr:sp>
    <xdr:clientData/>
  </xdr:twoCellAnchor>
  <xdr:twoCellAnchor>
    <xdr:from>
      <xdr:col>2</xdr:col>
      <xdr:colOff>2409574</xdr:colOff>
      <xdr:row>53</xdr:row>
      <xdr:rowOff>115221</xdr:rowOff>
    </xdr:from>
    <xdr:to>
      <xdr:col>3</xdr:col>
      <xdr:colOff>413322</xdr:colOff>
      <xdr:row>57</xdr:row>
      <xdr:rowOff>72221</xdr:rowOff>
    </xdr:to>
    <xdr:sp macro="" textlink="">
      <xdr:nvSpPr>
        <xdr:cNvPr id="68" name="Rectangle 67">
          <a:extLst>
            <a:ext uri="{FF2B5EF4-FFF2-40B4-BE49-F238E27FC236}">
              <a16:creationId xmlns:a16="http://schemas.microsoft.com/office/drawing/2014/main" id="{5EE9393B-E0C5-4BF4-A5EE-14EE9BBB7569}"/>
            </a:ext>
          </a:extLst>
        </xdr:cNvPr>
        <xdr:cNvSpPr/>
      </xdr:nvSpPr>
      <xdr:spPr>
        <a:xfrm>
          <a:off x="3126750" y="11455574"/>
          <a:ext cx="1387925"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usage charge ($/kWh)</a:t>
          </a:r>
        </a:p>
      </xdr:txBody>
    </xdr:sp>
    <xdr:clientData/>
  </xdr:twoCellAnchor>
  <xdr:twoCellAnchor>
    <xdr:from>
      <xdr:col>6</xdr:col>
      <xdr:colOff>964626</xdr:colOff>
      <xdr:row>53</xdr:row>
      <xdr:rowOff>110304</xdr:rowOff>
    </xdr:from>
    <xdr:to>
      <xdr:col>7</xdr:col>
      <xdr:colOff>648259</xdr:colOff>
      <xdr:row>57</xdr:row>
      <xdr:rowOff>57715</xdr:rowOff>
    </xdr:to>
    <xdr:sp macro="" textlink="">
      <xdr:nvSpPr>
        <xdr:cNvPr id="126" name="Rectangle 125">
          <a:extLst>
            <a:ext uri="{FF2B5EF4-FFF2-40B4-BE49-F238E27FC236}">
              <a16:creationId xmlns:a16="http://schemas.microsoft.com/office/drawing/2014/main" id="{DEE7485D-98FD-4A33-A500-ACB93DDF8F30}"/>
            </a:ext>
          </a:extLst>
        </xdr:cNvPr>
        <xdr:cNvSpPr/>
      </xdr:nvSpPr>
      <xdr:spPr>
        <a:xfrm>
          <a:off x="10209479" y="11450657"/>
          <a:ext cx="1398133" cy="709411"/>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Loss Factor</a:t>
          </a:r>
        </a:p>
      </xdr:txBody>
    </xdr:sp>
    <xdr:clientData/>
  </xdr:twoCellAnchor>
  <xdr:twoCellAnchor>
    <xdr:from>
      <xdr:col>3</xdr:col>
      <xdr:colOff>821696</xdr:colOff>
      <xdr:row>53</xdr:row>
      <xdr:rowOff>49135</xdr:rowOff>
    </xdr:from>
    <xdr:to>
      <xdr:col>6</xdr:col>
      <xdr:colOff>613671</xdr:colOff>
      <xdr:row>57</xdr:row>
      <xdr:rowOff>133088</xdr:rowOff>
    </xdr:to>
    <xdr:sp macro="" textlink="">
      <xdr:nvSpPr>
        <xdr:cNvPr id="121" name="TextBox 120">
          <a:extLst>
            <a:ext uri="{FF2B5EF4-FFF2-40B4-BE49-F238E27FC236}">
              <a16:creationId xmlns:a16="http://schemas.microsoft.com/office/drawing/2014/main" id="{B1028FD0-65F0-42E7-9921-FFF259D744A0}"/>
            </a:ext>
          </a:extLst>
        </xdr:cNvPr>
        <xdr:cNvSpPr txBox="1"/>
      </xdr:nvSpPr>
      <xdr:spPr>
        <a:xfrm>
          <a:off x="4923049" y="11389488"/>
          <a:ext cx="4935475" cy="845953"/>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tx1"/>
            </a:solidFill>
            <a:latin typeface="+mj-lt"/>
            <a:ea typeface="+mn-ea"/>
            <a:cs typeface="Arial" panose="020B0604020202020204" pitchFamily="34" charset="0"/>
          </a:endParaRPr>
        </a:p>
      </xdr:txBody>
    </xdr:sp>
    <xdr:clientData/>
  </xdr:twoCellAnchor>
  <xdr:twoCellAnchor>
    <xdr:from>
      <xdr:col>3</xdr:col>
      <xdr:colOff>889326</xdr:colOff>
      <xdr:row>53</xdr:row>
      <xdr:rowOff>111113</xdr:rowOff>
    </xdr:from>
    <xdr:to>
      <xdr:col>4</xdr:col>
      <xdr:colOff>580249</xdr:colOff>
      <xdr:row>57</xdr:row>
      <xdr:rowOff>68113</xdr:rowOff>
    </xdr:to>
    <xdr:sp macro="" textlink="">
      <xdr:nvSpPr>
        <xdr:cNvPr id="122" name="Rectangle 121">
          <a:extLst>
            <a:ext uri="{FF2B5EF4-FFF2-40B4-BE49-F238E27FC236}">
              <a16:creationId xmlns:a16="http://schemas.microsoft.com/office/drawing/2014/main" id="{7E0C1AFE-72A4-4346-A6A6-02ABB8B703BB}"/>
            </a:ext>
          </a:extLst>
        </xdr:cNvPr>
        <xdr:cNvSpPr/>
      </xdr:nvSpPr>
      <xdr:spPr>
        <a:xfrm>
          <a:off x="4990679" y="11451466"/>
          <a:ext cx="1405423"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Wholesale electricity ($/kWh)</a:t>
          </a:r>
        </a:p>
      </xdr:txBody>
    </xdr:sp>
    <xdr:clientData/>
  </xdr:twoCellAnchor>
  <xdr:twoCellAnchor>
    <xdr:from>
      <xdr:col>4</xdr:col>
      <xdr:colOff>862144</xdr:colOff>
      <xdr:row>53</xdr:row>
      <xdr:rowOff>111113</xdr:rowOff>
    </xdr:from>
    <xdr:to>
      <xdr:col>5</xdr:col>
      <xdr:colOff>588141</xdr:colOff>
      <xdr:row>57</xdr:row>
      <xdr:rowOff>68113</xdr:rowOff>
    </xdr:to>
    <xdr:sp macro="" textlink="">
      <xdr:nvSpPr>
        <xdr:cNvPr id="123" name="Rectangle 122">
          <a:extLst>
            <a:ext uri="{FF2B5EF4-FFF2-40B4-BE49-F238E27FC236}">
              <a16:creationId xmlns:a16="http://schemas.microsoft.com/office/drawing/2014/main" id="{39191141-DB64-4417-BA07-FB6DB5492625}"/>
            </a:ext>
          </a:extLst>
        </xdr:cNvPr>
        <xdr:cNvSpPr/>
      </xdr:nvSpPr>
      <xdr:spPr>
        <a:xfrm>
          <a:off x="6677997" y="11451466"/>
          <a:ext cx="1440497"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Environmental cost</a:t>
          </a:r>
        </a:p>
        <a:p>
          <a:pPr marL="0" indent="0" algn="ctr"/>
          <a:r>
            <a:rPr lang="en-AU" sz="900" b="1">
              <a:solidFill>
                <a:schemeClr val="tx1"/>
              </a:solidFill>
              <a:latin typeface="+mj-lt"/>
              <a:ea typeface="+mn-ea"/>
              <a:cs typeface="Arial" panose="020B0604020202020204" pitchFamily="34" charset="0"/>
            </a:rPr>
            <a:t>($/kWh)</a:t>
          </a:r>
        </a:p>
      </xdr:txBody>
    </xdr:sp>
    <xdr:clientData/>
  </xdr:twoCellAnchor>
  <xdr:twoCellAnchor>
    <xdr:from>
      <xdr:col>5</xdr:col>
      <xdr:colOff>865181</xdr:colOff>
      <xdr:row>53</xdr:row>
      <xdr:rowOff>111113</xdr:rowOff>
    </xdr:from>
    <xdr:to>
      <xdr:col>6</xdr:col>
      <xdr:colOff>548814</xdr:colOff>
      <xdr:row>57</xdr:row>
      <xdr:rowOff>68113</xdr:rowOff>
    </xdr:to>
    <xdr:sp macro="" textlink="">
      <xdr:nvSpPr>
        <xdr:cNvPr id="125" name="Rectangle 124">
          <a:extLst>
            <a:ext uri="{FF2B5EF4-FFF2-40B4-BE49-F238E27FC236}">
              <a16:creationId xmlns:a16="http://schemas.microsoft.com/office/drawing/2014/main" id="{9EA64B14-EBE3-4427-8DC9-6A44536BE635}"/>
            </a:ext>
          </a:extLst>
        </xdr:cNvPr>
        <xdr:cNvSpPr/>
      </xdr:nvSpPr>
      <xdr:spPr>
        <a:xfrm>
          <a:off x="8395534" y="11451466"/>
          <a:ext cx="1398133"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Other</a:t>
          </a:r>
        </a:p>
        <a:p>
          <a:pPr marL="0" indent="0" algn="ctr"/>
          <a:r>
            <a:rPr lang="en-AU" sz="900" b="1">
              <a:solidFill>
                <a:schemeClr val="tx1"/>
              </a:solidFill>
              <a:latin typeface="+mj-lt"/>
              <a:ea typeface="+mn-ea"/>
              <a:cs typeface="Arial" panose="020B0604020202020204" pitchFamily="34" charset="0"/>
            </a:rPr>
            <a:t>($/kWh)</a:t>
          </a:r>
        </a:p>
      </xdr:txBody>
    </xdr:sp>
    <xdr:clientData/>
  </xdr:twoCellAnchor>
  <xdr:twoCellAnchor>
    <xdr:from>
      <xdr:col>2</xdr:col>
      <xdr:colOff>2496111</xdr:colOff>
      <xdr:row>63</xdr:row>
      <xdr:rowOff>119515</xdr:rowOff>
    </xdr:from>
    <xdr:to>
      <xdr:col>3</xdr:col>
      <xdr:colOff>507150</xdr:colOff>
      <xdr:row>67</xdr:row>
      <xdr:rowOff>76514</xdr:rowOff>
    </xdr:to>
    <xdr:sp macro="" textlink="">
      <xdr:nvSpPr>
        <xdr:cNvPr id="170" name="Rectangle 169">
          <a:extLst>
            <a:ext uri="{FF2B5EF4-FFF2-40B4-BE49-F238E27FC236}">
              <a16:creationId xmlns:a16="http://schemas.microsoft.com/office/drawing/2014/main" id="{73020FE8-6D46-427D-AD5C-413B154F7461}"/>
            </a:ext>
          </a:extLst>
        </xdr:cNvPr>
        <xdr:cNvSpPr/>
      </xdr:nvSpPr>
      <xdr:spPr>
        <a:xfrm>
          <a:off x="3213287"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Actual cost ($)</a:t>
          </a:r>
        </a:p>
      </xdr:txBody>
    </xdr:sp>
    <xdr:clientData/>
  </xdr:twoCellAnchor>
  <xdr:twoCellAnchor>
    <xdr:from>
      <xdr:col>3</xdr:col>
      <xdr:colOff>819876</xdr:colOff>
      <xdr:row>63</xdr:row>
      <xdr:rowOff>119515</xdr:rowOff>
    </xdr:from>
    <xdr:to>
      <xdr:col>4</xdr:col>
      <xdr:colOff>500592</xdr:colOff>
      <xdr:row>67</xdr:row>
      <xdr:rowOff>76514</xdr:rowOff>
    </xdr:to>
    <xdr:sp macro="" textlink="">
      <xdr:nvSpPr>
        <xdr:cNvPr id="171" name="Rectangle 170">
          <a:extLst>
            <a:ext uri="{FF2B5EF4-FFF2-40B4-BE49-F238E27FC236}">
              <a16:creationId xmlns:a16="http://schemas.microsoft.com/office/drawing/2014/main" id="{03F884A1-F438-4436-B98F-7FA2422AC375}"/>
            </a:ext>
          </a:extLst>
        </xdr:cNvPr>
        <xdr:cNvSpPr/>
      </xdr:nvSpPr>
      <xdr:spPr>
        <a:xfrm>
          <a:off x="4921229"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a:t>
          </a:r>
          <a:r>
            <a:rPr lang="en-AU" sz="900" b="1" baseline="0">
              <a:solidFill>
                <a:schemeClr val="tx1"/>
              </a:solidFill>
              <a:latin typeface="+mj-lt"/>
              <a:ea typeface="+mn-ea"/>
              <a:cs typeface="Arial" panose="020B0604020202020204" pitchFamily="34" charset="0"/>
            </a:rPr>
            <a:t> period to the decision period</a:t>
          </a:r>
          <a:r>
            <a:rPr lang="en-AU" sz="900" b="1">
              <a:solidFill>
                <a:schemeClr val="tx1"/>
              </a:solidFill>
              <a:latin typeface="+mj-lt"/>
              <a:ea typeface="+mn-ea"/>
              <a:cs typeface="Arial" panose="020B0604020202020204" pitchFamily="34" charset="0"/>
            </a:rPr>
            <a:t> (%)</a:t>
          </a:r>
        </a:p>
      </xdr:txBody>
    </xdr:sp>
    <xdr:clientData/>
  </xdr:twoCellAnchor>
  <xdr:twoCellAnchor>
    <xdr:from>
      <xdr:col>6</xdr:col>
      <xdr:colOff>1488113</xdr:colOff>
      <xdr:row>61</xdr:row>
      <xdr:rowOff>100854</xdr:rowOff>
    </xdr:from>
    <xdr:to>
      <xdr:col>7</xdr:col>
      <xdr:colOff>1304703</xdr:colOff>
      <xdr:row>68</xdr:row>
      <xdr:rowOff>29816</xdr:rowOff>
    </xdr:to>
    <xdr:sp macro="" textlink="">
      <xdr:nvSpPr>
        <xdr:cNvPr id="161" name="Rectangle 160">
          <a:extLst>
            <a:ext uri="{FF2B5EF4-FFF2-40B4-BE49-F238E27FC236}">
              <a16:creationId xmlns:a16="http://schemas.microsoft.com/office/drawing/2014/main" id="{C4CAC0B5-E078-4F24-AC13-09A87A8B9525}"/>
            </a:ext>
          </a:extLst>
        </xdr:cNvPr>
        <xdr:cNvSpPr/>
      </xdr:nvSpPr>
      <xdr:spPr>
        <a:xfrm>
          <a:off x="10732966" y="13917707"/>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 (previous decision)</a:t>
          </a:r>
        </a:p>
      </xdr:txBody>
    </xdr:sp>
    <xdr:clientData/>
  </xdr:twoCellAnchor>
  <xdr:twoCellAnchor>
    <xdr:from>
      <xdr:col>8</xdr:col>
      <xdr:colOff>85985</xdr:colOff>
      <xdr:row>61</xdr:row>
      <xdr:rowOff>100854</xdr:rowOff>
    </xdr:from>
    <xdr:to>
      <xdr:col>8</xdr:col>
      <xdr:colOff>1606869</xdr:colOff>
      <xdr:row>68</xdr:row>
      <xdr:rowOff>29816</xdr:rowOff>
    </xdr:to>
    <xdr:sp macro="" textlink="">
      <xdr:nvSpPr>
        <xdr:cNvPr id="162" name="Rectangle 161">
          <a:extLst>
            <a:ext uri="{FF2B5EF4-FFF2-40B4-BE49-F238E27FC236}">
              <a16:creationId xmlns:a16="http://schemas.microsoft.com/office/drawing/2014/main" id="{21A4DC95-7096-4AD2-9AA7-F00D940C64D4}"/>
            </a:ext>
          </a:extLst>
        </xdr:cNvPr>
        <xdr:cNvSpPr/>
      </xdr:nvSpPr>
      <xdr:spPr>
        <a:xfrm>
          <a:off x="12759838" y="13917707"/>
          <a:ext cx="1520884"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4</xdr:col>
      <xdr:colOff>1263463</xdr:colOff>
      <xdr:row>63</xdr:row>
      <xdr:rowOff>119515</xdr:rowOff>
    </xdr:from>
    <xdr:to>
      <xdr:col>5</xdr:col>
      <xdr:colOff>944179</xdr:colOff>
      <xdr:row>67</xdr:row>
      <xdr:rowOff>76514</xdr:rowOff>
    </xdr:to>
    <xdr:sp macro="" textlink="">
      <xdr:nvSpPr>
        <xdr:cNvPr id="192" name="Rectangle 191">
          <a:extLst>
            <a:ext uri="{FF2B5EF4-FFF2-40B4-BE49-F238E27FC236}">
              <a16:creationId xmlns:a16="http://schemas.microsoft.com/office/drawing/2014/main" id="{2B4DDC14-61DC-49A5-9A2D-4FC457FA5832}"/>
            </a:ext>
          </a:extLst>
        </xdr:cNvPr>
        <xdr:cNvSpPr/>
      </xdr:nvSpPr>
      <xdr:spPr>
        <a:xfrm>
          <a:off x="7079316"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00" b="1" i="0" u="none" strike="noStrike" kern="0" cap="none" spc="0" normalizeH="0" baseline="0" noProof="0">
              <a:ln>
                <a:noFill/>
              </a:ln>
              <a:solidFill>
                <a:prstClr val="black"/>
              </a:solidFill>
              <a:effectLst/>
              <a:uLnTx/>
              <a:uFillTx/>
              <a:latin typeface="Calibri Light" panose="020F0302020204030204"/>
              <a:ea typeface="+mn-ea"/>
              <a:cs typeface="Arial" panose="020B0604020202020204" pitchFamily="34" charset="0"/>
            </a:rPr>
            <a:t>Cost allowance in previous decision ($)</a:t>
          </a:r>
          <a:r>
            <a:rPr lang="en-AU" sz="900" b="1">
              <a:solidFill>
                <a:schemeClr val="tx1"/>
              </a:solidFill>
              <a:latin typeface="+mj-lt"/>
              <a:ea typeface="+mn-ea"/>
              <a:cs typeface="Arial" panose="020B0604020202020204" pitchFamily="34" charset="0"/>
            </a:rPr>
            <a:t> </a:t>
          </a:r>
        </a:p>
      </xdr:txBody>
    </xdr:sp>
    <xdr:clientData/>
  </xdr:twoCellAnchor>
  <xdr:twoCellAnchor>
    <xdr:from>
      <xdr:col>5</xdr:col>
      <xdr:colOff>1256905</xdr:colOff>
      <xdr:row>63</xdr:row>
      <xdr:rowOff>119515</xdr:rowOff>
    </xdr:from>
    <xdr:to>
      <xdr:col>6</xdr:col>
      <xdr:colOff>937621</xdr:colOff>
      <xdr:row>67</xdr:row>
      <xdr:rowOff>76514</xdr:rowOff>
    </xdr:to>
    <xdr:sp macro="" textlink="">
      <xdr:nvSpPr>
        <xdr:cNvPr id="193" name="Rectangle 192">
          <a:extLst>
            <a:ext uri="{FF2B5EF4-FFF2-40B4-BE49-F238E27FC236}">
              <a16:creationId xmlns:a16="http://schemas.microsoft.com/office/drawing/2014/main" id="{DCEB23C5-93EA-4DFC-A6C3-0549A63615D7}"/>
            </a:ext>
          </a:extLst>
        </xdr:cNvPr>
        <xdr:cNvSpPr/>
      </xdr:nvSpPr>
      <xdr:spPr>
        <a:xfrm>
          <a:off x="8787258"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 period to the decision period (%)</a:t>
          </a:r>
        </a:p>
      </xdr:txBody>
    </xdr:sp>
    <xdr:clientData/>
  </xdr:twoCellAnchor>
  <xdr:twoCellAnchor>
    <xdr:from>
      <xdr:col>2</xdr:col>
      <xdr:colOff>1804343</xdr:colOff>
      <xdr:row>64</xdr:row>
      <xdr:rowOff>156847</xdr:rowOff>
    </xdr:from>
    <xdr:to>
      <xdr:col>2</xdr:col>
      <xdr:colOff>2063899</xdr:colOff>
      <xdr:row>64</xdr:row>
      <xdr:rowOff>156847</xdr:rowOff>
    </xdr:to>
    <xdr:cxnSp macro="">
      <xdr:nvCxnSpPr>
        <xdr:cNvPr id="202" name="Straight Arrow Connector 201">
          <a:extLst>
            <a:ext uri="{FF2B5EF4-FFF2-40B4-BE49-F238E27FC236}">
              <a16:creationId xmlns:a16="http://schemas.microsoft.com/office/drawing/2014/main" id="{7D858B78-A01C-476D-8C85-171CD011917C}"/>
            </a:ext>
          </a:extLst>
        </xdr:cNvPr>
        <xdr:cNvCxnSpPr/>
      </xdr:nvCxnSpPr>
      <xdr:spPr>
        <a:xfrm>
          <a:off x="2521519" y="14545200"/>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129226</xdr:colOff>
      <xdr:row>61</xdr:row>
      <xdr:rowOff>123265</xdr:rowOff>
    </xdr:from>
    <xdr:to>
      <xdr:col>2</xdr:col>
      <xdr:colOff>1650110</xdr:colOff>
      <xdr:row>68</xdr:row>
      <xdr:rowOff>26418</xdr:rowOff>
    </xdr:to>
    <xdr:sp macro="" textlink="">
      <xdr:nvSpPr>
        <xdr:cNvPr id="203" name="Rectangle 202">
          <a:extLst>
            <a:ext uri="{FF2B5EF4-FFF2-40B4-BE49-F238E27FC236}">
              <a16:creationId xmlns:a16="http://schemas.microsoft.com/office/drawing/2014/main" id="{1678BC32-2903-477E-B2A2-F772F04A3279}"/>
            </a:ext>
          </a:extLst>
        </xdr:cNvPr>
        <xdr:cNvSpPr/>
      </xdr:nvSpPr>
      <xdr:spPr>
        <a:xfrm>
          <a:off x="846402" y="13940118"/>
          <a:ext cx="1520884" cy="123665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Fixed true up cost  ($)</a:t>
          </a:r>
        </a:p>
      </xdr:txBody>
    </xdr:sp>
    <xdr:clientData/>
  </xdr:twoCellAnchor>
  <xdr:twoCellAnchor>
    <xdr:from>
      <xdr:col>2</xdr:col>
      <xdr:colOff>33617</xdr:colOff>
      <xdr:row>77</xdr:row>
      <xdr:rowOff>89647</xdr:rowOff>
    </xdr:from>
    <xdr:to>
      <xdr:col>2</xdr:col>
      <xdr:colOff>1730920</xdr:colOff>
      <xdr:row>92</xdr:row>
      <xdr:rowOff>177984</xdr:rowOff>
    </xdr:to>
    <xdr:grpSp>
      <xdr:nvGrpSpPr>
        <xdr:cNvPr id="209" name="Group 208">
          <a:extLst>
            <a:ext uri="{FF2B5EF4-FFF2-40B4-BE49-F238E27FC236}">
              <a16:creationId xmlns:a16="http://schemas.microsoft.com/office/drawing/2014/main" id="{80413A40-E748-4AE1-AC91-84D10A232C57}"/>
            </a:ext>
          </a:extLst>
        </xdr:cNvPr>
        <xdr:cNvGrpSpPr/>
      </xdr:nvGrpSpPr>
      <xdr:grpSpPr>
        <a:xfrm>
          <a:off x="738467" y="15443947"/>
          <a:ext cx="1697303" cy="2945837"/>
          <a:chOff x="13982274" y="9016796"/>
          <a:chExt cx="1697303" cy="2945837"/>
        </a:xfrm>
      </xdr:grpSpPr>
      <xdr:sp macro="" textlink="">
        <xdr:nvSpPr>
          <xdr:cNvPr id="210" name="Rectangle 209">
            <a:extLst>
              <a:ext uri="{FF2B5EF4-FFF2-40B4-BE49-F238E27FC236}">
                <a16:creationId xmlns:a16="http://schemas.microsoft.com/office/drawing/2014/main" id="{3D4785E9-97CD-4DA7-87B1-8A52D8EB7B66}"/>
              </a:ext>
            </a:extLst>
          </xdr:cNvPr>
          <xdr:cNvSpPr/>
        </xdr:nvSpPr>
        <xdr:spPr>
          <a:xfrm>
            <a:off x="13982274" y="9016796"/>
            <a:ext cx="1697303" cy="2945837"/>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True up tariffs</a:t>
            </a:r>
            <a:endParaRPr lang="en-AU" sz="1050" b="0">
              <a:solidFill>
                <a:sysClr val="windowText" lastClr="000000"/>
              </a:solidFill>
              <a:latin typeface="+mj-lt"/>
            </a:endParaRPr>
          </a:p>
        </xdr:txBody>
      </xdr:sp>
      <xdr:sp macro="" textlink="">
        <xdr:nvSpPr>
          <xdr:cNvPr id="211" name="Rectangle 210">
            <a:extLst>
              <a:ext uri="{FF2B5EF4-FFF2-40B4-BE49-F238E27FC236}">
                <a16:creationId xmlns:a16="http://schemas.microsoft.com/office/drawing/2014/main" id="{E9B499BA-FCCE-4A15-9D41-73E32C0464AE}"/>
              </a:ext>
            </a:extLst>
          </xdr:cNvPr>
          <xdr:cNvSpPr/>
        </xdr:nvSpPr>
        <xdr:spPr>
          <a:xfrm>
            <a:off x="14057156" y="9288748"/>
            <a:ext cx="1554829" cy="115039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Supply Charge ($/day)</a:t>
            </a:r>
          </a:p>
        </xdr:txBody>
      </xdr:sp>
      <xdr:sp macro="" textlink="">
        <xdr:nvSpPr>
          <xdr:cNvPr id="212" name="Rectangle 211">
            <a:extLst>
              <a:ext uri="{FF2B5EF4-FFF2-40B4-BE49-F238E27FC236}">
                <a16:creationId xmlns:a16="http://schemas.microsoft.com/office/drawing/2014/main" id="{9F19BB92-99BC-4072-84C0-645CAB64F228}"/>
              </a:ext>
            </a:extLst>
          </xdr:cNvPr>
          <xdr:cNvSpPr/>
        </xdr:nvSpPr>
        <xdr:spPr>
          <a:xfrm>
            <a:off x="14054075" y="10726748"/>
            <a:ext cx="1554829" cy="115039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Variable Charge ($/kWh)</a:t>
            </a:r>
          </a:p>
        </xdr:txBody>
      </xdr:sp>
    </xdr:grpSp>
    <xdr:clientData/>
  </xdr:twoCellAnchor>
  <xdr:twoCellAnchor>
    <xdr:from>
      <xdr:col>2</xdr:col>
      <xdr:colOff>1804343</xdr:colOff>
      <xdr:row>81</xdr:row>
      <xdr:rowOff>179259</xdr:rowOff>
    </xdr:from>
    <xdr:to>
      <xdr:col>2</xdr:col>
      <xdr:colOff>2063899</xdr:colOff>
      <xdr:row>81</xdr:row>
      <xdr:rowOff>179259</xdr:rowOff>
    </xdr:to>
    <xdr:cxnSp macro="">
      <xdr:nvCxnSpPr>
        <xdr:cNvPr id="213" name="Straight Arrow Connector 212">
          <a:extLst>
            <a:ext uri="{FF2B5EF4-FFF2-40B4-BE49-F238E27FC236}">
              <a16:creationId xmlns:a16="http://schemas.microsoft.com/office/drawing/2014/main" id="{48C79257-BB51-4949-A2EF-350E6CFFE9D3}"/>
            </a:ext>
          </a:extLst>
        </xdr:cNvPr>
        <xdr:cNvCxnSpPr/>
      </xdr:nvCxnSpPr>
      <xdr:spPr>
        <a:xfrm>
          <a:off x="2521519" y="16282112"/>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1804343</xdr:colOff>
      <xdr:row>89</xdr:row>
      <xdr:rowOff>78406</xdr:rowOff>
    </xdr:from>
    <xdr:to>
      <xdr:col>2</xdr:col>
      <xdr:colOff>2063899</xdr:colOff>
      <xdr:row>89</xdr:row>
      <xdr:rowOff>78406</xdr:rowOff>
    </xdr:to>
    <xdr:cxnSp macro="">
      <xdr:nvCxnSpPr>
        <xdr:cNvPr id="214" name="Straight Arrow Connector 213">
          <a:extLst>
            <a:ext uri="{FF2B5EF4-FFF2-40B4-BE49-F238E27FC236}">
              <a16:creationId xmlns:a16="http://schemas.microsoft.com/office/drawing/2014/main" id="{F9E0149B-DBCC-4118-ABED-1F56402FE422}"/>
            </a:ext>
          </a:extLst>
        </xdr:cNvPr>
        <xdr:cNvCxnSpPr/>
      </xdr:nvCxnSpPr>
      <xdr:spPr>
        <a:xfrm>
          <a:off x="2521519" y="17705259"/>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2386853</xdr:colOff>
      <xdr:row>80</xdr:row>
      <xdr:rowOff>44824</xdr:rowOff>
    </xdr:from>
    <xdr:to>
      <xdr:col>3</xdr:col>
      <xdr:colOff>356188</xdr:colOff>
      <xdr:row>83</xdr:row>
      <xdr:rowOff>127272</xdr:rowOff>
    </xdr:to>
    <xdr:sp macro="" textlink="">
      <xdr:nvSpPr>
        <xdr:cNvPr id="274" name="Rectangle 273">
          <a:extLst>
            <a:ext uri="{FF2B5EF4-FFF2-40B4-BE49-F238E27FC236}">
              <a16:creationId xmlns:a16="http://schemas.microsoft.com/office/drawing/2014/main" id="{D1CEA11A-E9E9-42B8-BA42-83FF4CA5B5EF}"/>
            </a:ext>
          </a:extLst>
        </xdr:cNvPr>
        <xdr:cNvSpPr/>
      </xdr:nvSpPr>
      <xdr:spPr>
        <a:xfrm>
          <a:off x="3104029" y="15957177"/>
          <a:ext cx="1353512" cy="65394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Fixed true up  cost ($)</a:t>
          </a:r>
        </a:p>
      </xdr:txBody>
    </xdr:sp>
    <xdr:clientData/>
  </xdr:twoCellAnchor>
  <xdr:twoCellAnchor>
    <xdr:from>
      <xdr:col>3</xdr:col>
      <xdr:colOff>470647</xdr:colOff>
      <xdr:row>80</xdr:row>
      <xdr:rowOff>112060</xdr:rowOff>
    </xdr:from>
    <xdr:to>
      <xdr:col>3</xdr:col>
      <xdr:colOff>784412</xdr:colOff>
      <xdr:row>83</xdr:row>
      <xdr:rowOff>100853</xdr:rowOff>
    </xdr:to>
    <xdr:sp macro="" textlink="">
      <xdr:nvSpPr>
        <xdr:cNvPr id="100" name="Division Sign 99">
          <a:extLst>
            <a:ext uri="{FF2B5EF4-FFF2-40B4-BE49-F238E27FC236}">
              <a16:creationId xmlns:a16="http://schemas.microsoft.com/office/drawing/2014/main" id="{2E2343FF-69EA-44B0-9917-B5450728EAA1}"/>
            </a:ext>
          </a:extLst>
        </xdr:cNvPr>
        <xdr:cNvSpPr/>
      </xdr:nvSpPr>
      <xdr:spPr>
        <a:xfrm>
          <a:off x="4572000" y="16024413"/>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493059</xdr:colOff>
      <xdr:row>64</xdr:row>
      <xdr:rowOff>112057</xdr:rowOff>
    </xdr:from>
    <xdr:to>
      <xdr:col>3</xdr:col>
      <xdr:colOff>853059</xdr:colOff>
      <xdr:row>66</xdr:row>
      <xdr:rowOff>91057</xdr:rowOff>
    </xdr:to>
    <xdr:sp macro="" textlink="">
      <xdr:nvSpPr>
        <xdr:cNvPr id="104" name="Multiplication Sign 103">
          <a:extLst>
            <a:ext uri="{FF2B5EF4-FFF2-40B4-BE49-F238E27FC236}">
              <a16:creationId xmlns:a16="http://schemas.microsoft.com/office/drawing/2014/main" id="{397DAF89-FB2F-43C5-B383-FDA5BAA75243}"/>
            </a:ext>
          </a:extLst>
        </xdr:cNvPr>
        <xdr:cNvSpPr/>
      </xdr:nvSpPr>
      <xdr:spPr>
        <a:xfrm>
          <a:off x="4594412" y="1450041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930088</xdr:colOff>
      <xdr:row>64</xdr:row>
      <xdr:rowOff>112057</xdr:rowOff>
    </xdr:from>
    <xdr:to>
      <xdr:col>5</xdr:col>
      <xdr:colOff>1290088</xdr:colOff>
      <xdr:row>66</xdr:row>
      <xdr:rowOff>91057</xdr:rowOff>
    </xdr:to>
    <xdr:sp macro="" textlink="">
      <xdr:nvSpPr>
        <xdr:cNvPr id="275" name="Multiplication Sign 274">
          <a:extLst>
            <a:ext uri="{FF2B5EF4-FFF2-40B4-BE49-F238E27FC236}">
              <a16:creationId xmlns:a16="http://schemas.microsoft.com/office/drawing/2014/main" id="{1DE5BEB6-DF5B-42DA-8606-ACBF9B3DD9D5}"/>
            </a:ext>
          </a:extLst>
        </xdr:cNvPr>
        <xdr:cNvSpPr/>
      </xdr:nvSpPr>
      <xdr:spPr>
        <a:xfrm>
          <a:off x="8460441" y="1450041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728382</xdr:colOff>
      <xdr:row>65</xdr:row>
      <xdr:rowOff>22412</xdr:rowOff>
    </xdr:from>
    <xdr:to>
      <xdr:col>4</xdr:col>
      <xdr:colOff>1088382</xdr:colOff>
      <xdr:row>65</xdr:row>
      <xdr:rowOff>166412</xdr:rowOff>
    </xdr:to>
    <xdr:sp macro="" textlink="">
      <xdr:nvSpPr>
        <xdr:cNvPr id="105" name="Minus Sign 104">
          <a:extLst>
            <a:ext uri="{FF2B5EF4-FFF2-40B4-BE49-F238E27FC236}">
              <a16:creationId xmlns:a16="http://schemas.microsoft.com/office/drawing/2014/main" id="{67074131-39EA-43DE-89A7-7D89D3B412FD}"/>
            </a:ext>
          </a:extLst>
        </xdr:cNvPr>
        <xdr:cNvSpPr/>
      </xdr:nvSpPr>
      <xdr:spPr>
        <a:xfrm>
          <a:off x="6544235" y="14601265"/>
          <a:ext cx="360000" cy="144000"/>
        </a:xfrm>
        <a:prstGeom prst="mathMinu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459440</xdr:colOff>
      <xdr:row>54</xdr:row>
      <xdr:rowOff>112060</xdr:rowOff>
    </xdr:from>
    <xdr:to>
      <xdr:col>3</xdr:col>
      <xdr:colOff>819440</xdr:colOff>
      <xdr:row>56</xdr:row>
      <xdr:rowOff>89648</xdr:rowOff>
    </xdr:to>
    <xdr:sp macro="" textlink="">
      <xdr:nvSpPr>
        <xdr:cNvPr id="106" name="Plus Sign 105">
          <a:extLst>
            <a:ext uri="{FF2B5EF4-FFF2-40B4-BE49-F238E27FC236}">
              <a16:creationId xmlns:a16="http://schemas.microsoft.com/office/drawing/2014/main" id="{D43FC991-9A44-43DE-A68F-E527684CF17A}"/>
            </a:ext>
          </a:extLst>
        </xdr:cNvPr>
        <xdr:cNvSpPr/>
      </xdr:nvSpPr>
      <xdr:spPr>
        <a:xfrm>
          <a:off x="4560793" y="11642913"/>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1400735</xdr:colOff>
      <xdr:row>64</xdr:row>
      <xdr:rowOff>22409</xdr:rowOff>
    </xdr:from>
    <xdr:to>
      <xdr:col>8</xdr:col>
      <xdr:colOff>10235</xdr:colOff>
      <xdr:row>66</xdr:row>
      <xdr:rowOff>1409</xdr:rowOff>
    </xdr:to>
    <xdr:sp macro="" textlink="">
      <xdr:nvSpPr>
        <xdr:cNvPr id="277" name="Multiplication Sign 276">
          <a:extLst>
            <a:ext uri="{FF2B5EF4-FFF2-40B4-BE49-F238E27FC236}">
              <a16:creationId xmlns:a16="http://schemas.microsoft.com/office/drawing/2014/main" id="{6C0A3F39-7700-4670-954C-977E7A41874E}"/>
            </a:ext>
          </a:extLst>
        </xdr:cNvPr>
        <xdr:cNvSpPr/>
      </xdr:nvSpPr>
      <xdr:spPr>
        <a:xfrm>
          <a:off x="12360088" y="144107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582705</xdr:colOff>
      <xdr:row>54</xdr:row>
      <xdr:rowOff>112060</xdr:rowOff>
    </xdr:from>
    <xdr:to>
      <xdr:col>4</xdr:col>
      <xdr:colOff>870705</xdr:colOff>
      <xdr:row>56</xdr:row>
      <xdr:rowOff>19060</xdr:rowOff>
    </xdr:to>
    <xdr:sp macro="" textlink="">
      <xdr:nvSpPr>
        <xdr:cNvPr id="280" name="Plus Sign 279">
          <a:extLst>
            <a:ext uri="{FF2B5EF4-FFF2-40B4-BE49-F238E27FC236}">
              <a16:creationId xmlns:a16="http://schemas.microsoft.com/office/drawing/2014/main" id="{D5DE4DFF-5F9E-46BF-97E3-D71C66505D71}"/>
            </a:ext>
          </a:extLst>
        </xdr:cNvPr>
        <xdr:cNvSpPr/>
      </xdr:nvSpPr>
      <xdr:spPr>
        <a:xfrm>
          <a:off x="6398558" y="11642913"/>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571499</xdr:colOff>
      <xdr:row>54</xdr:row>
      <xdr:rowOff>112060</xdr:rowOff>
    </xdr:from>
    <xdr:to>
      <xdr:col>5</xdr:col>
      <xdr:colOff>859499</xdr:colOff>
      <xdr:row>56</xdr:row>
      <xdr:rowOff>19060</xdr:rowOff>
    </xdr:to>
    <xdr:sp macro="" textlink="">
      <xdr:nvSpPr>
        <xdr:cNvPr id="281" name="Plus Sign 280">
          <a:extLst>
            <a:ext uri="{FF2B5EF4-FFF2-40B4-BE49-F238E27FC236}">
              <a16:creationId xmlns:a16="http://schemas.microsoft.com/office/drawing/2014/main" id="{2E256C17-3C2B-4992-9D76-F26FDD355EDD}"/>
            </a:ext>
          </a:extLst>
        </xdr:cNvPr>
        <xdr:cNvSpPr/>
      </xdr:nvSpPr>
      <xdr:spPr>
        <a:xfrm>
          <a:off x="8101852" y="11642913"/>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1131794</xdr:colOff>
      <xdr:row>54</xdr:row>
      <xdr:rowOff>22409</xdr:rowOff>
    </xdr:from>
    <xdr:to>
      <xdr:col>8</xdr:col>
      <xdr:colOff>1455794</xdr:colOff>
      <xdr:row>56</xdr:row>
      <xdr:rowOff>1409</xdr:rowOff>
    </xdr:to>
    <xdr:sp macro="" textlink="">
      <xdr:nvSpPr>
        <xdr:cNvPr id="282" name="Multiplication Sign 281">
          <a:extLst>
            <a:ext uri="{FF2B5EF4-FFF2-40B4-BE49-F238E27FC236}">
              <a16:creationId xmlns:a16="http://schemas.microsoft.com/office/drawing/2014/main" id="{05287BFC-CCA1-4DEA-B930-083F7ED76691}"/>
            </a:ext>
          </a:extLst>
        </xdr:cNvPr>
        <xdr:cNvSpPr/>
      </xdr:nvSpPr>
      <xdr:spPr>
        <a:xfrm>
          <a:off x="13805647" y="115532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795618</xdr:colOff>
      <xdr:row>54</xdr:row>
      <xdr:rowOff>22409</xdr:rowOff>
    </xdr:from>
    <xdr:to>
      <xdr:col>7</xdr:col>
      <xdr:colOff>1119618</xdr:colOff>
      <xdr:row>56</xdr:row>
      <xdr:rowOff>1409</xdr:rowOff>
    </xdr:to>
    <xdr:sp macro="" textlink="">
      <xdr:nvSpPr>
        <xdr:cNvPr id="283" name="Multiplication Sign 282">
          <a:extLst>
            <a:ext uri="{FF2B5EF4-FFF2-40B4-BE49-F238E27FC236}">
              <a16:creationId xmlns:a16="http://schemas.microsoft.com/office/drawing/2014/main" id="{75AE752A-C358-46E8-B414-C76805CBBE3F}"/>
            </a:ext>
          </a:extLst>
        </xdr:cNvPr>
        <xdr:cNvSpPr/>
      </xdr:nvSpPr>
      <xdr:spPr>
        <a:xfrm>
          <a:off x="11754971" y="115532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627530</xdr:colOff>
      <xdr:row>54</xdr:row>
      <xdr:rowOff>100851</xdr:rowOff>
    </xdr:from>
    <xdr:to>
      <xdr:col>6</xdr:col>
      <xdr:colOff>987530</xdr:colOff>
      <xdr:row>56</xdr:row>
      <xdr:rowOff>79851</xdr:rowOff>
    </xdr:to>
    <xdr:sp macro="" textlink="">
      <xdr:nvSpPr>
        <xdr:cNvPr id="285" name="Multiplication Sign 284">
          <a:extLst>
            <a:ext uri="{FF2B5EF4-FFF2-40B4-BE49-F238E27FC236}">
              <a16:creationId xmlns:a16="http://schemas.microsoft.com/office/drawing/2014/main" id="{8A71F486-3ED0-43AE-AC30-14D6E309853B}"/>
            </a:ext>
          </a:extLst>
        </xdr:cNvPr>
        <xdr:cNvSpPr/>
      </xdr:nvSpPr>
      <xdr:spPr>
        <a:xfrm>
          <a:off x="9872383" y="1163170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526676</xdr:colOff>
      <xdr:row>47</xdr:row>
      <xdr:rowOff>33619</xdr:rowOff>
    </xdr:from>
    <xdr:to>
      <xdr:col>3</xdr:col>
      <xdr:colOff>814676</xdr:colOff>
      <xdr:row>48</xdr:row>
      <xdr:rowOff>131119</xdr:rowOff>
    </xdr:to>
    <xdr:sp macro="" textlink="">
      <xdr:nvSpPr>
        <xdr:cNvPr id="286" name="Plus Sign 285">
          <a:extLst>
            <a:ext uri="{FF2B5EF4-FFF2-40B4-BE49-F238E27FC236}">
              <a16:creationId xmlns:a16="http://schemas.microsoft.com/office/drawing/2014/main" id="{E706994B-F91B-4C43-887D-C0E19947D45D}"/>
            </a:ext>
          </a:extLst>
        </xdr:cNvPr>
        <xdr:cNvSpPr/>
      </xdr:nvSpPr>
      <xdr:spPr>
        <a:xfrm>
          <a:off x="4628029"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515470</xdr:colOff>
      <xdr:row>47</xdr:row>
      <xdr:rowOff>33619</xdr:rowOff>
    </xdr:from>
    <xdr:to>
      <xdr:col>4</xdr:col>
      <xdr:colOff>803470</xdr:colOff>
      <xdr:row>48</xdr:row>
      <xdr:rowOff>131119</xdr:rowOff>
    </xdr:to>
    <xdr:sp macro="" textlink="">
      <xdr:nvSpPr>
        <xdr:cNvPr id="287" name="Plus Sign 286">
          <a:extLst>
            <a:ext uri="{FF2B5EF4-FFF2-40B4-BE49-F238E27FC236}">
              <a16:creationId xmlns:a16="http://schemas.microsoft.com/office/drawing/2014/main" id="{5C1D854E-3BC8-4465-B239-5012951F781E}"/>
            </a:ext>
          </a:extLst>
        </xdr:cNvPr>
        <xdr:cNvSpPr/>
      </xdr:nvSpPr>
      <xdr:spPr>
        <a:xfrm>
          <a:off x="6331323"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481852</xdr:colOff>
      <xdr:row>47</xdr:row>
      <xdr:rowOff>33619</xdr:rowOff>
    </xdr:from>
    <xdr:to>
      <xdr:col>5</xdr:col>
      <xdr:colOff>769852</xdr:colOff>
      <xdr:row>48</xdr:row>
      <xdr:rowOff>131119</xdr:rowOff>
    </xdr:to>
    <xdr:sp macro="" textlink="">
      <xdr:nvSpPr>
        <xdr:cNvPr id="288" name="Plus Sign 287">
          <a:extLst>
            <a:ext uri="{FF2B5EF4-FFF2-40B4-BE49-F238E27FC236}">
              <a16:creationId xmlns:a16="http://schemas.microsoft.com/office/drawing/2014/main" id="{EE6A69B9-818D-4685-BFE9-7D7591E545AF}"/>
            </a:ext>
          </a:extLst>
        </xdr:cNvPr>
        <xdr:cNvSpPr/>
      </xdr:nvSpPr>
      <xdr:spPr>
        <a:xfrm>
          <a:off x="8012205"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493058</xdr:colOff>
      <xdr:row>47</xdr:row>
      <xdr:rowOff>33619</xdr:rowOff>
    </xdr:from>
    <xdr:to>
      <xdr:col>6</xdr:col>
      <xdr:colOff>781058</xdr:colOff>
      <xdr:row>48</xdr:row>
      <xdr:rowOff>131119</xdr:rowOff>
    </xdr:to>
    <xdr:sp macro="" textlink="">
      <xdr:nvSpPr>
        <xdr:cNvPr id="289" name="Plus Sign 288">
          <a:extLst>
            <a:ext uri="{FF2B5EF4-FFF2-40B4-BE49-F238E27FC236}">
              <a16:creationId xmlns:a16="http://schemas.microsoft.com/office/drawing/2014/main" id="{CC1A0D76-69AB-486D-9DEA-A23861356424}"/>
            </a:ext>
          </a:extLst>
        </xdr:cNvPr>
        <xdr:cNvSpPr/>
      </xdr:nvSpPr>
      <xdr:spPr>
        <a:xfrm>
          <a:off x="9737911"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1131794</xdr:colOff>
      <xdr:row>46</xdr:row>
      <xdr:rowOff>100850</xdr:rowOff>
    </xdr:from>
    <xdr:to>
      <xdr:col>8</xdr:col>
      <xdr:colOff>1455794</xdr:colOff>
      <xdr:row>48</xdr:row>
      <xdr:rowOff>79850</xdr:rowOff>
    </xdr:to>
    <xdr:sp macro="" textlink="">
      <xdr:nvSpPr>
        <xdr:cNvPr id="291" name="Multiplication Sign 290">
          <a:extLst>
            <a:ext uri="{FF2B5EF4-FFF2-40B4-BE49-F238E27FC236}">
              <a16:creationId xmlns:a16="http://schemas.microsoft.com/office/drawing/2014/main" id="{C35CE687-770D-4340-BD05-D4C2E0CE745A}"/>
            </a:ext>
          </a:extLst>
        </xdr:cNvPr>
        <xdr:cNvSpPr/>
      </xdr:nvSpPr>
      <xdr:spPr>
        <a:xfrm>
          <a:off x="13805647" y="10107703"/>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795618</xdr:colOff>
      <xdr:row>46</xdr:row>
      <xdr:rowOff>100850</xdr:rowOff>
    </xdr:from>
    <xdr:to>
      <xdr:col>7</xdr:col>
      <xdr:colOff>1119618</xdr:colOff>
      <xdr:row>48</xdr:row>
      <xdr:rowOff>79850</xdr:rowOff>
    </xdr:to>
    <xdr:sp macro="" textlink="">
      <xdr:nvSpPr>
        <xdr:cNvPr id="292" name="Multiplication Sign 291">
          <a:extLst>
            <a:ext uri="{FF2B5EF4-FFF2-40B4-BE49-F238E27FC236}">
              <a16:creationId xmlns:a16="http://schemas.microsoft.com/office/drawing/2014/main" id="{2B138E9A-EE55-4976-BC53-5A68B25A837C}"/>
            </a:ext>
          </a:extLst>
        </xdr:cNvPr>
        <xdr:cNvSpPr/>
      </xdr:nvSpPr>
      <xdr:spPr>
        <a:xfrm>
          <a:off x="11754971" y="10107703"/>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819876</xdr:colOff>
      <xdr:row>80</xdr:row>
      <xdr:rowOff>18662</xdr:rowOff>
    </xdr:from>
    <xdr:to>
      <xdr:col>4</xdr:col>
      <xdr:colOff>500592</xdr:colOff>
      <xdr:row>83</xdr:row>
      <xdr:rowOff>166161</xdr:rowOff>
    </xdr:to>
    <xdr:sp macro="" textlink="">
      <xdr:nvSpPr>
        <xdr:cNvPr id="300" name="Rectangle 299">
          <a:extLst>
            <a:ext uri="{FF2B5EF4-FFF2-40B4-BE49-F238E27FC236}">
              <a16:creationId xmlns:a16="http://schemas.microsoft.com/office/drawing/2014/main" id="{BB4CA80F-C795-4111-AA71-2615B422CC16}"/>
            </a:ext>
          </a:extLst>
        </xdr:cNvPr>
        <xdr:cNvSpPr/>
      </xdr:nvSpPr>
      <xdr:spPr>
        <a:xfrm>
          <a:off x="4921229" y="15931015"/>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2</xdr:col>
      <xdr:colOff>2386853</xdr:colOff>
      <xdr:row>87</xdr:row>
      <xdr:rowOff>145677</xdr:rowOff>
    </xdr:from>
    <xdr:to>
      <xdr:col>3</xdr:col>
      <xdr:colOff>356188</xdr:colOff>
      <xdr:row>91</xdr:row>
      <xdr:rowOff>37625</xdr:rowOff>
    </xdr:to>
    <xdr:sp macro="" textlink="">
      <xdr:nvSpPr>
        <xdr:cNvPr id="302" name="Rectangle 301">
          <a:extLst>
            <a:ext uri="{FF2B5EF4-FFF2-40B4-BE49-F238E27FC236}">
              <a16:creationId xmlns:a16="http://schemas.microsoft.com/office/drawing/2014/main" id="{5F2D075C-ADFB-467A-8064-7F8B578C4606}"/>
            </a:ext>
          </a:extLst>
        </xdr:cNvPr>
        <xdr:cNvSpPr/>
      </xdr:nvSpPr>
      <xdr:spPr>
        <a:xfrm>
          <a:off x="3104029" y="17391530"/>
          <a:ext cx="1353512" cy="65394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true up cost ($)</a:t>
          </a:r>
        </a:p>
      </xdr:txBody>
    </xdr:sp>
    <xdr:clientData/>
  </xdr:twoCellAnchor>
  <xdr:twoCellAnchor>
    <xdr:from>
      <xdr:col>3</xdr:col>
      <xdr:colOff>470647</xdr:colOff>
      <xdr:row>88</xdr:row>
      <xdr:rowOff>22413</xdr:rowOff>
    </xdr:from>
    <xdr:to>
      <xdr:col>3</xdr:col>
      <xdr:colOff>784412</xdr:colOff>
      <xdr:row>91</xdr:row>
      <xdr:rowOff>11206</xdr:rowOff>
    </xdr:to>
    <xdr:sp macro="" textlink="">
      <xdr:nvSpPr>
        <xdr:cNvPr id="303" name="Division Sign 302">
          <a:extLst>
            <a:ext uri="{FF2B5EF4-FFF2-40B4-BE49-F238E27FC236}">
              <a16:creationId xmlns:a16="http://schemas.microsoft.com/office/drawing/2014/main" id="{4648D8B4-ED86-4C71-831B-394B783852C2}"/>
            </a:ext>
          </a:extLst>
        </xdr:cNvPr>
        <xdr:cNvSpPr/>
      </xdr:nvSpPr>
      <xdr:spPr>
        <a:xfrm>
          <a:off x="4572000" y="17458766"/>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874059</xdr:colOff>
      <xdr:row>86</xdr:row>
      <xdr:rowOff>91578</xdr:rowOff>
    </xdr:from>
    <xdr:to>
      <xdr:col>6</xdr:col>
      <xdr:colOff>1064558</xdr:colOff>
      <xdr:row>92</xdr:row>
      <xdr:rowOff>98976</xdr:rowOff>
    </xdr:to>
    <xdr:sp macro="" textlink="">
      <xdr:nvSpPr>
        <xdr:cNvPr id="305" name="Rectangle 304">
          <a:extLst>
            <a:ext uri="{FF2B5EF4-FFF2-40B4-BE49-F238E27FC236}">
              <a16:creationId xmlns:a16="http://schemas.microsoft.com/office/drawing/2014/main" id="{5739D8DD-16EC-463A-BF8E-4084B893CB86}"/>
            </a:ext>
          </a:extLst>
        </xdr:cNvPr>
        <xdr:cNvSpPr/>
      </xdr:nvSpPr>
      <xdr:spPr>
        <a:xfrm>
          <a:off x="4975412" y="17146931"/>
          <a:ext cx="5333999"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Electricity consumption in the decision period</a:t>
          </a:r>
        </a:p>
      </xdr:txBody>
    </xdr:sp>
    <xdr:clientData/>
  </xdr:twoCellAnchor>
  <xdr:twoCellAnchor>
    <xdr:from>
      <xdr:col>5</xdr:col>
      <xdr:colOff>1252261</xdr:colOff>
      <xdr:row>87</xdr:row>
      <xdr:rowOff>175544</xdr:rowOff>
    </xdr:from>
    <xdr:to>
      <xdr:col>6</xdr:col>
      <xdr:colOff>932977</xdr:colOff>
      <xdr:row>91</xdr:row>
      <xdr:rowOff>132543</xdr:rowOff>
    </xdr:to>
    <xdr:sp macro="" textlink="">
      <xdr:nvSpPr>
        <xdr:cNvPr id="306" name="Rectangle 305">
          <a:extLst>
            <a:ext uri="{FF2B5EF4-FFF2-40B4-BE49-F238E27FC236}">
              <a16:creationId xmlns:a16="http://schemas.microsoft.com/office/drawing/2014/main" id="{6146A29A-734B-4F50-BC17-C28F8AC84447}"/>
            </a:ext>
          </a:extLst>
        </xdr:cNvPr>
        <xdr:cNvSpPr/>
      </xdr:nvSpPr>
      <xdr:spPr>
        <a:xfrm>
          <a:off x="8782614" y="17421397"/>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Days in year</a:t>
          </a:r>
        </a:p>
      </xdr:txBody>
    </xdr:sp>
    <xdr:clientData/>
  </xdr:twoCellAnchor>
  <xdr:twoCellAnchor>
    <xdr:from>
      <xdr:col>4</xdr:col>
      <xdr:colOff>1156056</xdr:colOff>
      <xdr:row>87</xdr:row>
      <xdr:rowOff>175544</xdr:rowOff>
    </xdr:from>
    <xdr:to>
      <xdr:col>5</xdr:col>
      <xdr:colOff>836772</xdr:colOff>
      <xdr:row>91</xdr:row>
      <xdr:rowOff>132543</xdr:rowOff>
    </xdr:to>
    <xdr:sp macro="" textlink="">
      <xdr:nvSpPr>
        <xdr:cNvPr id="307" name="Rectangle 306">
          <a:extLst>
            <a:ext uri="{FF2B5EF4-FFF2-40B4-BE49-F238E27FC236}">
              <a16:creationId xmlns:a16="http://schemas.microsoft.com/office/drawing/2014/main" id="{A7BD6ACE-A101-4C27-8769-F08FCFEB08E4}"/>
            </a:ext>
          </a:extLst>
        </xdr:cNvPr>
        <xdr:cNvSpPr/>
      </xdr:nvSpPr>
      <xdr:spPr>
        <a:xfrm>
          <a:off x="6971909" y="17421397"/>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5</xdr:col>
      <xdr:colOff>896476</xdr:colOff>
      <xdr:row>88</xdr:row>
      <xdr:rowOff>100854</xdr:rowOff>
    </xdr:from>
    <xdr:to>
      <xdr:col>5</xdr:col>
      <xdr:colOff>1210241</xdr:colOff>
      <xdr:row>91</xdr:row>
      <xdr:rowOff>89647</xdr:rowOff>
    </xdr:to>
    <xdr:sp macro="" textlink="">
      <xdr:nvSpPr>
        <xdr:cNvPr id="308" name="Division Sign 307">
          <a:extLst>
            <a:ext uri="{FF2B5EF4-FFF2-40B4-BE49-F238E27FC236}">
              <a16:creationId xmlns:a16="http://schemas.microsoft.com/office/drawing/2014/main" id="{F1FD4628-552A-4D2A-81EF-137B9B835502}"/>
            </a:ext>
          </a:extLst>
        </xdr:cNvPr>
        <xdr:cNvSpPr/>
      </xdr:nvSpPr>
      <xdr:spPr>
        <a:xfrm>
          <a:off x="8426829" y="17537207"/>
          <a:ext cx="313765" cy="560293"/>
        </a:xfrm>
        <a:prstGeom prst="mathDivide">
          <a:avLst>
            <a:gd name="adj1" fmla="val 5502"/>
            <a:gd name="adj2" fmla="val 7682"/>
            <a:gd name="adj3" fmla="val 582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1088818</xdr:colOff>
      <xdr:row>87</xdr:row>
      <xdr:rowOff>164339</xdr:rowOff>
    </xdr:from>
    <xdr:to>
      <xdr:col>4</xdr:col>
      <xdr:colOff>769534</xdr:colOff>
      <xdr:row>91</xdr:row>
      <xdr:rowOff>121338</xdr:rowOff>
    </xdr:to>
    <xdr:sp macro="" textlink="">
      <xdr:nvSpPr>
        <xdr:cNvPr id="309" name="Rectangle 308">
          <a:extLst>
            <a:ext uri="{FF2B5EF4-FFF2-40B4-BE49-F238E27FC236}">
              <a16:creationId xmlns:a16="http://schemas.microsoft.com/office/drawing/2014/main" id="{705EBDF4-0060-441D-9397-CBE79E9CBF9F}"/>
            </a:ext>
          </a:extLst>
        </xdr:cNvPr>
        <xdr:cNvSpPr/>
      </xdr:nvSpPr>
      <xdr:spPr>
        <a:xfrm>
          <a:off x="5190171" y="17410192"/>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clientData/>
  </xdr:twoCellAnchor>
  <xdr:twoCellAnchor>
    <xdr:from>
      <xdr:col>4</xdr:col>
      <xdr:colOff>795618</xdr:colOff>
      <xdr:row>88</xdr:row>
      <xdr:rowOff>190497</xdr:rowOff>
    </xdr:from>
    <xdr:to>
      <xdr:col>4</xdr:col>
      <xdr:colOff>1155618</xdr:colOff>
      <xdr:row>90</xdr:row>
      <xdr:rowOff>169497</xdr:rowOff>
    </xdr:to>
    <xdr:sp macro="" textlink="">
      <xdr:nvSpPr>
        <xdr:cNvPr id="315" name="Multiplication Sign 314">
          <a:extLst>
            <a:ext uri="{FF2B5EF4-FFF2-40B4-BE49-F238E27FC236}">
              <a16:creationId xmlns:a16="http://schemas.microsoft.com/office/drawing/2014/main" id="{BF25BBD1-7480-4007-A6C1-15063B30BB84}"/>
            </a:ext>
          </a:extLst>
        </xdr:cNvPr>
        <xdr:cNvSpPr/>
      </xdr:nvSpPr>
      <xdr:spPr>
        <a:xfrm>
          <a:off x="6611471" y="1762685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1131794</xdr:colOff>
      <xdr:row>64</xdr:row>
      <xdr:rowOff>22409</xdr:rowOff>
    </xdr:from>
    <xdr:to>
      <xdr:col>6</xdr:col>
      <xdr:colOff>1455794</xdr:colOff>
      <xdr:row>66</xdr:row>
      <xdr:rowOff>1409</xdr:rowOff>
    </xdr:to>
    <xdr:sp macro="" textlink="">
      <xdr:nvSpPr>
        <xdr:cNvPr id="316" name="Multiplication Sign 315">
          <a:extLst>
            <a:ext uri="{FF2B5EF4-FFF2-40B4-BE49-F238E27FC236}">
              <a16:creationId xmlns:a16="http://schemas.microsoft.com/office/drawing/2014/main" id="{EFE8E95F-CB71-4152-8093-E492D58B34F6}"/>
            </a:ext>
          </a:extLst>
        </xdr:cNvPr>
        <xdr:cNvSpPr/>
      </xdr:nvSpPr>
      <xdr:spPr>
        <a:xfrm>
          <a:off x="10376647" y="144107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1187823</xdr:colOff>
      <xdr:row>70</xdr:row>
      <xdr:rowOff>67236</xdr:rowOff>
    </xdr:from>
    <xdr:to>
      <xdr:col>6</xdr:col>
      <xdr:colOff>1008531</xdr:colOff>
      <xdr:row>75</xdr:row>
      <xdr:rowOff>61546</xdr:rowOff>
    </xdr:to>
    <xdr:sp macro="" textlink="">
      <xdr:nvSpPr>
        <xdr:cNvPr id="317" name="TextBox 316">
          <a:extLst>
            <a:ext uri="{FF2B5EF4-FFF2-40B4-BE49-F238E27FC236}">
              <a16:creationId xmlns:a16="http://schemas.microsoft.com/office/drawing/2014/main" id="{F1AF5684-43AE-4D70-9C07-EC17F6AFF7C1}"/>
            </a:ext>
          </a:extLst>
        </xdr:cNvPr>
        <xdr:cNvSpPr txBox="1"/>
      </xdr:nvSpPr>
      <xdr:spPr>
        <a:xfrm>
          <a:off x="7003676" y="15598589"/>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Cost allowance in previous decision ($)</a:t>
          </a:r>
        </a:p>
      </xdr:txBody>
    </xdr:sp>
    <xdr:clientData/>
  </xdr:twoCellAnchor>
  <xdr:twoCellAnchor>
    <xdr:from>
      <xdr:col>2</xdr:col>
      <xdr:colOff>2442882</xdr:colOff>
      <xdr:row>70</xdr:row>
      <xdr:rowOff>67236</xdr:rowOff>
    </xdr:from>
    <xdr:to>
      <xdr:col>4</xdr:col>
      <xdr:colOff>593913</xdr:colOff>
      <xdr:row>75</xdr:row>
      <xdr:rowOff>61546</xdr:rowOff>
    </xdr:to>
    <xdr:sp macro="" textlink="">
      <xdr:nvSpPr>
        <xdr:cNvPr id="318" name="TextBox 317">
          <a:extLst>
            <a:ext uri="{FF2B5EF4-FFF2-40B4-BE49-F238E27FC236}">
              <a16:creationId xmlns:a16="http://schemas.microsoft.com/office/drawing/2014/main" id="{202740BD-B50D-4A73-8C33-3F9DCE6117D4}"/>
            </a:ext>
          </a:extLst>
        </xdr:cNvPr>
        <xdr:cNvSpPr txBox="1"/>
      </xdr:nvSpPr>
      <xdr:spPr>
        <a:xfrm>
          <a:off x="3160058" y="15598589"/>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Actual cost ($)</a:t>
          </a:r>
        </a:p>
      </xdr:txBody>
    </xdr:sp>
    <xdr:clientData/>
  </xdr:twoCellAnchor>
  <xdr:twoCellAnchor>
    <xdr:from>
      <xdr:col>2</xdr:col>
      <xdr:colOff>2496111</xdr:colOff>
      <xdr:row>71</xdr:row>
      <xdr:rowOff>29868</xdr:rowOff>
    </xdr:from>
    <xdr:to>
      <xdr:col>3</xdr:col>
      <xdr:colOff>507150</xdr:colOff>
      <xdr:row>74</xdr:row>
      <xdr:rowOff>177367</xdr:rowOff>
    </xdr:to>
    <xdr:sp macro="" textlink="">
      <xdr:nvSpPr>
        <xdr:cNvPr id="319" name="Rectangle 318">
          <a:extLst>
            <a:ext uri="{FF2B5EF4-FFF2-40B4-BE49-F238E27FC236}">
              <a16:creationId xmlns:a16="http://schemas.microsoft.com/office/drawing/2014/main" id="{B2EDC7DB-8586-45E6-A9A1-9C24D02EA727}"/>
            </a:ext>
          </a:extLst>
        </xdr:cNvPr>
        <xdr:cNvSpPr/>
      </xdr:nvSpPr>
      <xdr:spPr>
        <a:xfrm>
          <a:off x="3213287"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Actual cost ($)</a:t>
          </a:r>
        </a:p>
      </xdr:txBody>
    </xdr:sp>
    <xdr:clientData/>
  </xdr:twoCellAnchor>
  <xdr:twoCellAnchor>
    <xdr:from>
      <xdr:col>3</xdr:col>
      <xdr:colOff>819876</xdr:colOff>
      <xdr:row>71</xdr:row>
      <xdr:rowOff>29868</xdr:rowOff>
    </xdr:from>
    <xdr:to>
      <xdr:col>4</xdr:col>
      <xdr:colOff>500592</xdr:colOff>
      <xdr:row>74</xdr:row>
      <xdr:rowOff>177367</xdr:rowOff>
    </xdr:to>
    <xdr:sp macro="" textlink="">
      <xdr:nvSpPr>
        <xdr:cNvPr id="320" name="Rectangle 319">
          <a:extLst>
            <a:ext uri="{FF2B5EF4-FFF2-40B4-BE49-F238E27FC236}">
              <a16:creationId xmlns:a16="http://schemas.microsoft.com/office/drawing/2014/main" id="{26546092-F699-4524-9B96-7019E70CF5FE}"/>
            </a:ext>
          </a:extLst>
        </xdr:cNvPr>
        <xdr:cNvSpPr/>
      </xdr:nvSpPr>
      <xdr:spPr>
        <a:xfrm>
          <a:off x="4921229"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a:t>
          </a:r>
          <a:r>
            <a:rPr lang="en-AU" sz="900" b="1" baseline="0">
              <a:solidFill>
                <a:schemeClr val="tx1"/>
              </a:solidFill>
              <a:latin typeface="+mj-lt"/>
              <a:ea typeface="+mn-ea"/>
              <a:cs typeface="Arial" panose="020B0604020202020204" pitchFamily="34" charset="0"/>
            </a:rPr>
            <a:t> period to the decision period</a:t>
          </a:r>
          <a:r>
            <a:rPr lang="en-AU" sz="900" b="1">
              <a:solidFill>
                <a:schemeClr val="tx1"/>
              </a:solidFill>
              <a:latin typeface="+mj-lt"/>
              <a:ea typeface="+mn-ea"/>
              <a:cs typeface="Arial" panose="020B0604020202020204" pitchFamily="34" charset="0"/>
            </a:rPr>
            <a:t> (%)</a:t>
          </a:r>
        </a:p>
      </xdr:txBody>
    </xdr:sp>
    <xdr:clientData/>
  </xdr:twoCellAnchor>
  <xdr:twoCellAnchor>
    <xdr:from>
      <xdr:col>8</xdr:col>
      <xdr:colOff>98584</xdr:colOff>
      <xdr:row>69</xdr:row>
      <xdr:rowOff>11207</xdr:rowOff>
    </xdr:from>
    <xdr:to>
      <xdr:col>8</xdr:col>
      <xdr:colOff>1629674</xdr:colOff>
      <xdr:row>75</xdr:row>
      <xdr:rowOff>130669</xdr:rowOff>
    </xdr:to>
    <xdr:sp macro="" textlink="">
      <xdr:nvSpPr>
        <xdr:cNvPr id="321" name="Rectangle 320">
          <a:extLst>
            <a:ext uri="{FF2B5EF4-FFF2-40B4-BE49-F238E27FC236}">
              <a16:creationId xmlns:a16="http://schemas.microsoft.com/office/drawing/2014/main" id="{607C5251-B08D-44F7-A4C7-70A024AF66EA}"/>
            </a:ext>
          </a:extLst>
        </xdr:cNvPr>
        <xdr:cNvSpPr/>
      </xdr:nvSpPr>
      <xdr:spPr>
        <a:xfrm>
          <a:off x="12772437" y="15352060"/>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 (previous decision)</a:t>
          </a:r>
        </a:p>
      </xdr:txBody>
    </xdr:sp>
    <xdr:clientData/>
  </xdr:twoCellAnchor>
  <xdr:twoCellAnchor>
    <xdr:from>
      <xdr:col>9</xdr:col>
      <xdr:colOff>410956</xdr:colOff>
      <xdr:row>69</xdr:row>
      <xdr:rowOff>11207</xdr:rowOff>
    </xdr:from>
    <xdr:to>
      <xdr:col>10</xdr:col>
      <xdr:colOff>217340</xdr:colOff>
      <xdr:row>75</xdr:row>
      <xdr:rowOff>130669</xdr:rowOff>
    </xdr:to>
    <xdr:sp macro="" textlink="">
      <xdr:nvSpPr>
        <xdr:cNvPr id="322" name="Rectangle 321">
          <a:extLst>
            <a:ext uri="{FF2B5EF4-FFF2-40B4-BE49-F238E27FC236}">
              <a16:creationId xmlns:a16="http://schemas.microsoft.com/office/drawing/2014/main" id="{FFCD3DC8-D4F8-4A59-9C3D-9F849D4ECFCE}"/>
            </a:ext>
          </a:extLst>
        </xdr:cNvPr>
        <xdr:cNvSpPr/>
      </xdr:nvSpPr>
      <xdr:spPr>
        <a:xfrm>
          <a:off x="14799309" y="15352060"/>
          <a:ext cx="1520884"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4</xdr:col>
      <xdr:colOff>1263463</xdr:colOff>
      <xdr:row>71</xdr:row>
      <xdr:rowOff>29868</xdr:rowOff>
    </xdr:from>
    <xdr:to>
      <xdr:col>5</xdr:col>
      <xdr:colOff>944179</xdr:colOff>
      <xdr:row>74</xdr:row>
      <xdr:rowOff>177367</xdr:rowOff>
    </xdr:to>
    <xdr:sp macro="" textlink="">
      <xdr:nvSpPr>
        <xdr:cNvPr id="323" name="Rectangle 322">
          <a:extLst>
            <a:ext uri="{FF2B5EF4-FFF2-40B4-BE49-F238E27FC236}">
              <a16:creationId xmlns:a16="http://schemas.microsoft.com/office/drawing/2014/main" id="{E03D2B5C-E66C-4C58-A0EF-14FCCB22A3F0}"/>
            </a:ext>
          </a:extLst>
        </xdr:cNvPr>
        <xdr:cNvSpPr/>
      </xdr:nvSpPr>
      <xdr:spPr>
        <a:xfrm>
          <a:off x="7079316"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00" b="1" i="0" u="none" strike="noStrike" kern="0" cap="none" spc="0" normalizeH="0" baseline="0" noProof="0">
              <a:ln>
                <a:noFill/>
              </a:ln>
              <a:solidFill>
                <a:prstClr val="black"/>
              </a:solidFill>
              <a:effectLst/>
              <a:uLnTx/>
              <a:uFillTx/>
              <a:latin typeface="Calibri Light" panose="020F0302020204030204"/>
              <a:ea typeface="+mn-ea"/>
              <a:cs typeface="Arial" panose="020B0604020202020204" pitchFamily="34" charset="0"/>
            </a:rPr>
            <a:t>Cost allowance in previous decision ($)</a:t>
          </a:r>
          <a:r>
            <a:rPr lang="en-AU" sz="900" b="1">
              <a:solidFill>
                <a:schemeClr val="tx1"/>
              </a:solidFill>
              <a:latin typeface="+mj-lt"/>
              <a:ea typeface="+mn-ea"/>
              <a:cs typeface="Arial" panose="020B0604020202020204" pitchFamily="34" charset="0"/>
            </a:rPr>
            <a:t> </a:t>
          </a:r>
        </a:p>
      </xdr:txBody>
    </xdr:sp>
    <xdr:clientData/>
  </xdr:twoCellAnchor>
  <xdr:twoCellAnchor>
    <xdr:from>
      <xdr:col>5</xdr:col>
      <xdr:colOff>1256905</xdr:colOff>
      <xdr:row>71</xdr:row>
      <xdr:rowOff>29868</xdr:rowOff>
    </xdr:from>
    <xdr:to>
      <xdr:col>6</xdr:col>
      <xdr:colOff>937621</xdr:colOff>
      <xdr:row>74</xdr:row>
      <xdr:rowOff>177367</xdr:rowOff>
    </xdr:to>
    <xdr:sp macro="" textlink="">
      <xdr:nvSpPr>
        <xdr:cNvPr id="324" name="Rectangle 323">
          <a:extLst>
            <a:ext uri="{FF2B5EF4-FFF2-40B4-BE49-F238E27FC236}">
              <a16:creationId xmlns:a16="http://schemas.microsoft.com/office/drawing/2014/main" id="{B63587B3-27B9-49E6-A7E0-0169DDBCB3EC}"/>
            </a:ext>
          </a:extLst>
        </xdr:cNvPr>
        <xdr:cNvSpPr/>
      </xdr:nvSpPr>
      <xdr:spPr>
        <a:xfrm>
          <a:off x="8787258"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 period to the decision period (%)</a:t>
          </a:r>
        </a:p>
      </xdr:txBody>
    </xdr:sp>
    <xdr:clientData/>
  </xdr:twoCellAnchor>
  <xdr:twoCellAnchor>
    <xdr:from>
      <xdr:col>2</xdr:col>
      <xdr:colOff>1804343</xdr:colOff>
      <xdr:row>72</xdr:row>
      <xdr:rowOff>67200</xdr:rowOff>
    </xdr:from>
    <xdr:to>
      <xdr:col>2</xdr:col>
      <xdr:colOff>2063899</xdr:colOff>
      <xdr:row>72</xdr:row>
      <xdr:rowOff>67200</xdr:rowOff>
    </xdr:to>
    <xdr:cxnSp macro="">
      <xdr:nvCxnSpPr>
        <xdr:cNvPr id="325" name="Straight Arrow Connector 324">
          <a:extLst>
            <a:ext uri="{FF2B5EF4-FFF2-40B4-BE49-F238E27FC236}">
              <a16:creationId xmlns:a16="http://schemas.microsoft.com/office/drawing/2014/main" id="{4BB9DD29-C5EE-42D0-9AA0-0789090C66BE}"/>
            </a:ext>
          </a:extLst>
        </xdr:cNvPr>
        <xdr:cNvCxnSpPr/>
      </xdr:nvCxnSpPr>
      <xdr:spPr>
        <a:xfrm>
          <a:off x="2521519" y="15979553"/>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129226</xdr:colOff>
      <xdr:row>69</xdr:row>
      <xdr:rowOff>33618</xdr:rowOff>
    </xdr:from>
    <xdr:to>
      <xdr:col>2</xdr:col>
      <xdr:colOff>1650110</xdr:colOff>
      <xdr:row>75</xdr:row>
      <xdr:rowOff>127271</xdr:rowOff>
    </xdr:to>
    <xdr:sp macro="" textlink="">
      <xdr:nvSpPr>
        <xdr:cNvPr id="326" name="Rectangle 325">
          <a:extLst>
            <a:ext uri="{FF2B5EF4-FFF2-40B4-BE49-F238E27FC236}">
              <a16:creationId xmlns:a16="http://schemas.microsoft.com/office/drawing/2014/main" id="{F73402EF-4DFF-46EC-B706-25404FBE1292}"/>
            </a:ext>
          </a:extLst>
        </xdr:cNvPr>
        <xdr:cNvSpPr/>
      </xdr:nvSpPr>
      <xdr:spPr>
        <a:xfrm>
          <a:off x="846402" y="15374471"/>
          <a:ext cx="1520884" cy="123665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true up  cost ($)</a:t>
          </a:r>
        </a:p>
      </xdr:txBody>
    </xdr:sp>
    <xdr:clientData/>
  </xdr:twoCellAnchor>
  <xdr:twoCellAnchor>
    <xdr:from>
      <xdr:col>3</xdr:col>
      <xdr:colOff>493059</xdr:colOff>
      <xdr:row>72</xdr:row>
      <xdr:rowOff>22410</xdr:rowOff>
    </xdr:from>
    <xdr:to>
      <xdr:col>3</xdr:col>
      <xdr:colOff>853059</xdr:colOff>
      <xdr:row>74</xdr:row>
      <xdr:rowOff>1410</xdr:rowOff>
    </xdr:to>
    <xdr:sp macro="" textlink="">
      <xdr:nvSpPr>
        <xdr:cNvPr id="327" name="Multiplication Sign 326">
          <a:extLst>
            <a:ext uri="{FF2B5EF4-FFF2-40B4-BE49-F238E27FC236}">
              <a16:creationId xmlns:a16="http://schemas.microsoft.com/office/drawing/2014/main" id="{890B365D-FA48-487A-84FB-17A726CD3177}"/>
            </a:ext>
          </a:extLst>
        </xdr:cNvPr>
        <xdr:cNvSpPr/>
      </xdr:nvSpPr>
      <xdr:spPr>
        <a:xfrm>
          <a:off x="4594412" y="15934763"/>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930088</xdr:colOff>
      <xdr:row>72</xdr:row>
      <xdr:rowOff>22410</xdr:rowOff>
    </xdr:from>
    <xdr:to>
      <xdr:col>5</xdr:col>
      <xdr:colOff>1290088</xdr:colOff>
      <xdr:row>74</xdr:row>
      <xdr:rowOff>1410</xdr:rowOff>
    </xdr:to>
    <xdr:sp macro="" textlink="">
      <xdr:nvSpPr>
        <xdr:cNvPr id="328" name="Multiplication Sign 327">
          <a:extLst>
            <a:ext uri="{FF2B5EF4-FFF2-40B4-BE49-F238E27FC236}">
              <a16:creationId xmlns:a16="http://schemas.microsoft.com/office/drawing/2014/main" id="{1EA75FA3-31FC-4620-BD1C-B5A785BFB343}"/>
            </a:ext>
          </a:extLst>
        </xdr:cNvPr>
        <xdr:cNvSpPr/>
      </xdr:nvSpPr>
      <xdr:spPr>
        <a:xfrm>
          <a:off x="8460441" y="15934763"/>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728382</xdr:colOff>
      <xdr:row>72</xdr:row>
      <xdr:rowOff>123265</xdr:rowOff>
    </xdr:from>
    <xdr:to>
      <xdr:col>4</xdr:col>
      <xdr:colOff>1088382</xdr:colOff>
      <xdr:row>73</xdr:row>
      <xdr:rowOff>76765</xdr:rowOff>
    </xdr:to>
    <xdr:sp macro="" textlink="">
      <xdr:nvSpPr>
        <xdr:cNvPr id="329" name="Minus Sign 328">
          <a:extLst>
            <a:ext uri="{FF2B5EF4-FFF2-40B4-BE49-F238E27FC236}">
              <a16:creationId xmlns:a16="http://schemas.microsoft.com/office/drawing/2014/main" id="{27344D81-3B2C-49BD-83E6-73908FD2F21F}"/>
            </a:ext>
          </a:extLst>
        </xdr:cNvPr>
        <xdr:cNvSpPr/>
      </xdr:nvSpPr>
      <xdr:spPr>
        <a:xfrm>
          <a:off x="6544235" y="16035618"/>
          <a:ext cx="360000" cy="144000"/>
        </a:xfrm>
        <a:prstGeom prst="mathMinu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11206</xdr:colOff>
      <xdr:row>71</xdr:row>
      <xdr:rowOff>123262</xdr:rowOff>
    </xdr:from>
    <xdr:to>
      <xdr:col>9</xdr:col>
      <xdr:colOff>335206</xdr:colOff>
      <xdr:row>73</xdr:row>
      <xdr:rowOff>102262</xdr:rowOff>
    </xdr:to>
    <xdr:sp macro="" textlink="">
      <xdr:nvSpPr>
        <xdr:cNvPr id="330" name="Multiplication Sign 329">
          <a:extLst>
            <a:ext uri="{FF2B5EF4-FFF2-40B4-BE49-F238E27FC236}">
              <a16:creationId xmlns:a16="http://schemas.microsoft.com/office/drawing/2014/main" id="{778AFF1D-23F7-4ABD-B445-A954DF652578}"/>
            </a:ext>
          </a:extLst>
        </xdr:cNvPr>
        <xdr:cNvSpPr/>
      </xdr:nvSpPr>
      <xdr:spPr>
        <a:xfrm>
          <a:off x="14399559" y="15845115"/>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1456765</xdr:colOff>
      <xdr:row>71</xdr:row>
      <xdr:rowOff>123262</xdr:rowOff>
    </xdr:from>
    <xdr:to>
      <xdr:col>8</xdr:col>
      <xdr:colOff>66265</xdr:colOff>
      <xdr:row>73</xdr:row>
      <xdr:rowOff>102262</xdr:rowOff>
    </xdr:to>
    <xdr:sp macro="" textlink="">
      <xdr:nvSpPr>
        <xdr:cNvPr id="331" name="Multiplication Sign 330">
          <a:extLst>
            <a:ext uri="{FF2B5EF4-FFF2-40B4-BE49-F238E27FC236}">
              <a16:creationId xmlns:a16="http://schemas.microsoft.com/office/drawing/2014/main" id="{D17A4420-0A7F-4015-A5D5-690D5B39D37F}"/>
            </a:ext>
          </a:extLst>
        </xdr:cNvPr>
        <xdr:cNvSpPr/>
      </xdr:nvSpPr>
      <xdr:spPr>
        <a:xfrm>
          <a:off x="12416118" y="15845115"/>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1488113</xdr:colOff>
      <xdr:row>69</xdr:row>
      <xdr:rowOff>33619</xdr:rowOff>
    </xdr:from>
    <xdr:to>
      <xdr:col>7</xdr:col>
      <xdr:colOff>1304703</xdr:colOff>
      <xdr:row>75</xdr:row>
      <xdr:rowOff>153081</xdr:rowOff>
    </xdr:to>
    <xdr:sp macro="" textlink="">
      <xdr:nvSpPr>
        <xdr:cNvPr id="333" name="Rectangle 332">
          <a:extLst>
            <a:ext uri="{FF2B5EF4-FFF2-40B4-BE49-F238E27FC236}">
              <a16:creationId xmlns:a16="http://schemas.microsoft.com/office/drawing/2014/main" id="{15A0D768-84A2-4AB3-84EF-63A7BDF208BD}"/>
            </a:ext>
          </a:extLst>
        </xdr:cNvPr>
        <xdr:cNvSpPr/>
      </xdr:nvSpPr>
      <xdr:spPr>
        <a:xfrm>
          <a:off x="10732966" y="14634884"/>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Network loss factor (previous decision) excluding  for network true up costs </a:t>
          </a:r>
        </a:p>
      </xdr:txBody>
    </xdr:sp>
    <xdr:clientData/>
  </xdr:twoCellAnchor>
  <xdr:twoCellAnchor>
    <xdr:from>
      <xdr:col>6</xdr:col>
      <xdr:colOff>1131794</xdr:colOff>
      <xdr:row>71</xdr:row>
      <xdr:rowOff>145674</xdr:rowOff>
    </xdr:from>
    <xdr:to>
      <xdr:col>6</xdr:col>
      <xdr:colOff>1455794</xdr:colOff>
      <xdr:row>73</xdr:row>
      <xdr:rowOff>124674</xdr:rowOff>
    </xdr:to>
    <xdr:sp macro="" textlink="">
      <xdr:nvSpPr>
        <xdr:cNvPr id="334" name="Multiplication Sign 333">
          <a:extLst>
            <a:ext uri="{FF2B5EF4-FFF2-40B4-BE49-F238E27FC236}">
              <a16:creationId xmlns:a16="http://schemas.microsoft.com/office/drawing/2014/main" id="{55E610D7-52AC-415E-A3C2-05225874195B}"/>
            </a:ext>
          </a:extLst>
        </xdr:cNvPr>
        <xdr:cNvSpPr/>
      </xdr:nvSpPr>
      <xdr:spPr>
        <a:xfrm>
          <a:off x="10376647" y="15867527"/>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1796798</xdr:colOff>
      <xdr:row>100</xdr:row>
      <xdr:rowOff>120739</xdr:rowOff>
    </xdr:from>
    <xdr:to>
      <xdr:col>2</xdr:col>
      <xdr:colOff>2069478</xdr:colOff>
      <xdr:row>100</xdr:row>
      <xdr:rowOff>120739</xdr:rowOff>
    </xdr:to>
    <xdr:cxnSp macro="">
      <xdr:nvCxnSpPr>
        <xdr:cNvPr id="339" name="Straight Arrow Connector 338">
          <a:extLst>
            <a:ext uri="{FF2B5EF4-FFF2-40B4-BE49-F238E27FC236}">
              <a16:creationId xmlns:a16="http://schemas.microsoft.com/office/drawing/2014/main" id="{42EBF84B-F7CD-4EAA-8F43-9D669C8130C7}"/>
            </a:ext>
          </a:extLst>
        </xdr:cNvPr>
        <xdr:cNvCxnSpPr/>
      </xdr:nvCxnSpPr>
      <xdr:spPr>
        <a:xfrm>
          <a:off x="2513974" y="22129092"/>
          <a:ext cx="27268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67235</xdr:colOff>
      <xdr:row>97</xdr:row>
      <xdr:rowOff>11205</xdr:rowOff>
    </xdr:from>
    <xdr:to>
      <xdr:col>2</xdr:col>
      <xdr:colOff>1588119</xdr:colOff>
      <xdr:row>103</xdr:row>
      <xdr:rowOff>110742</xdr:rowOff>
    </xdr:to>
    <xdr:sp macro="" textlink="">
      <xdr:nvSpPr>
        <xdr:cNvPr id="340" name="Rectangle 339">
          <a:extLst>
            <a:ext uri="{FF2B5EF4-FFF2-40B4-BE49-F238E27FC236}">
              <a16:creationId xmlns:a16="http://schemas.microsoft.com/office/drawing/2014/main" id="{61C19F47-ABCF-4B81-9BBE-1875EAFDC2FC}"/>
            </a:ext>
          </a:extLst>
        </xdr:cNvPr>
        <xdr:cNvSpPr/>
      </xdr:nvSpPr>
      <xdr:spPr>
        <a:xfrm>
          <a:off x="784411" y="19767176"/>
          <a:ext cx="1520884" cy="1242537"/>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Annual bill ($/year)</a:t>
          </a:r>
        </a:p>
      </xdr:txBody>
    </xdr:sp>
    <xdr:clientData/>
  </xdr:twoCellAnchor>
  <xdr:twoCellAnchor>
    <xdr:from>
      <xdr:col>3</xdr:col>
      <xdr:colOff>666390</xdr:colOff>
      <xdr:row>100</xdr:row>
      <xdr:rowOff>5884</xdr:rowOff>
    </xdr:from>
    <xdr:to>
      <xdr:col>3</xdr:col>
      <xdr:colOff>1026390</xdr:colOff>
      <xdr:row>101</xdr:row>
      <xdr:rowOff>173972</xdr:rowOff>
    </xdr:to>
    <xdr:sp macro="" textlink="">
      <xdr:nvSpPr>
        <xdr:cNvPr id="342" name="Plus Sign 341">
          <a:extLst>
            <a:ext uri="{FF2B5EF4-FFF2-40B4-BE49-F238E27FC236}">
              <a16:creationId xmlns:a16="http://schemas.microsoft.com/office/drawing/2014/main" id="{E8AD6C28-C4D1-4706-A285-5A68CF21D22B}"/>
            </a:ext>
          </a:extLst>
        </xdr:cNvPr>
        <xdr:cNvSpPr/>
      </xdr:nvSpPr>
      <xdr:spPr>
        <a:xfrm>
          <a:off x="4767743" y="20333355"/>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530629</xdr:colOff>
      <xdr:row>99</xdr:row>
      <xdr:rowOff>5552</xdr:rowOff>
    </xdr:from>
    <xdr:to>
      <xdr:col>8</xdr:col>
      <xdr:colOff>337013</xdr:colOff>
      <xdr:row>102</xdr:row>
      <xdr:rowOff>148135</xdr:rowOff>
    </xdr:to>
    <xdr:sp macro="" textlink="">
      <xdr:nvSpPr>
        <xdr:cNvPr id="350" name="Rectangle 349">
          <a:extLst>
            <a:ext uri="{FF2B5EF4-FFF2-40B4-BE49-F238E27FC236}">
              <a16:creationId xmlns:a16="http://schemas.microsoft.com/office/drawing/2014/main" id="{BA757D6B-BFEF-43A6-B459-38D08FF93059}"/>
            </a:ext>
          </a:extLst>
        </xdr:cNvPr>
        <xdr:cNvSpPr/>
      </xdr:nvSpPr>
      <xdr:spPr>
        <a:xfrm>
          <a:off x="11489982"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clientData/>
  </xdr:twoCellAnchor>
  <xdr:twoCellAnchor>
    <xdr:from>
      <xdr:col>8</xdr:col>
      <xdr:colOff>776338</xdr:colOff>
      <xdr:row>99</xdr:row>
      <xdr:rowOff>19244</xdr:rowOff>
    </xdr:from>
    <xdr:to>
      <xdr:col>9</xdr:col>
      <xdr:colOff>582721</xdr:colOff>
      <xdr:row>102</xdr:row>
      <xdr:rowOff>161827</xdr:rowOff>
    </xdr:to>
    <xdr:sp macro="" textlink="">
      <xdr:nvSpPr>
        <xdr:cNvPr id="351" name="Rectangle 350">
          <a:extLst>
            <a:ext uri="{FF2B5EF4-FFF2-40B4-BE49-F238E27FC236}">
              <a16:creationId xmlns:a16="http://schemas.microsoft.com/office/drawing/2014/main" id="{E92FC365-1B30-4065-A80B-9CDF521397BF}"/>
            </a:ext>
          </a:extLst>
        </xdr:cNvPr>
        <xdr:cNvSpPr/>
      </xdr:nvSpPr>
      <xdr:spPr>
        <a:xfrm>
          <a:off x="13450191" y="20156215"/>
          <a:ext cx="1520883" cy="71408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clientData/>
  </xdr:twoCellAnchor>
  <xdr:twoCellAnchor>
    <xdr:from>
      <xdr:col>8</xdr:col>
      <xdr:colOff>397448</xdr:colOff>
      <xdr:row>99</xdr:row>
      <xdr:rowOff>162763</xdr:rowOff>
    </xdr:from>
    <xdr:to>
      <xdr:col>8</xdr:col>
      <xdr:colOff>757448</xdr:colOff>
      <xdr:row>101</xdr:row>
      <xdr:rowOff>141763</xdr:rowOff>
    </xdr:to>
    <xdr:sp macro="" textlink="">
      <xdr:nvSpPr>
        <xdr:cNvPr id="352" name="Multiplication Sign 351">
          <a:extLst>
            <a:ext uri="{FF2B5EF4-FFF2-40B4-BE49-F238E27FC236}">
              <a16:creationId xmlns:a16="http://schemas.microsoft.com/office/drawing/2014/main" id="{4472E3C1-46DE-4F68-B86E-F93CEBFD1182}"/>
            </a:ext>
          </a:extLst>
        </xdr:cNvPr>
        <xdr:cNvSpPr/>
      </xdr:nvSpPr>
      <xdr:spPr>
        <a:xfrm>
          <a:off x="13071301" y="2029973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85984</xdr:colOff>
      <xdr:row>44</xdr:row>
      <xdr:rowOff>76726</xdr:rowOff>
    </xdr:from>
    <xdr:to>
      <xdr:col>10</xdr:col>
      <xdr:colOff>1606868</xdr:colOff>
      <xdr:row>50</xdr:row>
      <xdr:rowOff>84125</xdr:rowOff>
    </xdr:to>
    <xdr:sp macro="" textlink="">
      <xdr:nvSpPr>
        <xdr:cNvPr id="354" name="Rectangle 353">
          <a:extLst>
            <a:ext uri="{FF2B5EF4-FFF2-40B4-BE49-F238E27FC236}">
              <a16:creationId xmlns:a16="http://schemas.microsoft.com/office/drawing/2014/main" id="{C416DD5E-C7B5-46FB-8C33-EAD81808BC98}"/>
            </a:ext>
          </a:extLst>
        </xdr:cNvPr>
        <xdr:cNvSpPr/>
      </xdr:nvSpPr>
      <xdr:spPr>
        <a:xfrm>
          <a:off x="16188837" y="9904285"/>
          <a:ext cx="1520884"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No of days in</a:t>
          </a:r>
          <a:r>
            <a:rPr lang="en-AU" sz="900" b="1" baseline="0">
              <a:solidFill>
                <a:schemeClr val="bg1"/>
              </a:solidFill>
              <a:latin typeface="+mj-lt"/>
              <a:ea typeface="+mn-ea"/>
              <a:cs typeface="Arial" panose="020B0604020202020204" pitchFamily="34" charset="0"/>
            </a:rPr>
            <a:t> decision period</a:t>
          </a:r>
          <a:endParaRPr lang="en-AU" sz="900" b="1">
            <a:solidFill>
              <a:schemeClr val="bg1"/>
            </a:solidFill>
            <a:latin typeface="+mj-lt"/>
            <a:ea typeface="+mn-ea"/>
            <a:cs typeface="Arial" panose="020B0604020202020204" pitchFamily="34" charset="0"/>
          </a:endParaRPr>
        </a:p>
      </xdr:txBody>
    </xdr:sp>
    <xdr:clientData/>
  </xdr:twoCellAnchor>
  <xdr:twoCellAnchor>
    <xdr:from>
      <xdr:col>9</xdr:col>
      <xdr:colOff>1423146</xdr:colOff>
      <xdr:row>46</xdr:row>
      <xdr:rowOff>56026</xdr:rowOff>
    </xdr:from>
    <xdr:to>
      <xdr:col>10</xdr:col>
      <xdr:colOff>22411</xdr:colOff>
      <xdr:row>49</xdr:row>
      <xdr:rowOff>44819</xdr:rowOff>
    </xdr:to>
    <xdr:sp macro="" textlink="">
      <xdr:nvSpPr>
        <xdr:cNvPr id="356" name="Division Sign 355">
          <a:extLst>
            <a:ext uri="{FF2B5EF4-FFF2-40B4-BE49-F238E27FC236}">
              <a16:creationId xmlns:a16="http://schemas.microsoft.com/office/drawing/2014/main" id="{77997CB6-18A5-4B2A-B909-150F1D3DCB7F}"/>
            </a:ext>
          </a:extLst>
        </xdr:cNvPr>
        <xdr:cNvSpPr/>
      </xdr:nvSpPr>
      <xdr:spPr>
        <a:xfrm>
          <a:off x="15811499" y="10264585"/>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2525279</xdr:colOff>
      <xdr:row>99</xdr:row>
      <xdr:rowOff>5552</xdr:rowOff>
    </xdr:from>
    <xdr:to>
      <xdr:col>3</xdr:col>
      <xdr:colOff>661986</xdr:colOff>
      <xdr:row>102</xdr:row>
      <xdr:rowOff>148135</xdr:rowOff>
    </xdr:to>
    <xdr:sp macro="" textlink="">
      <xdr:nvSpPr>
        <xdr:cNvPr id="364" name="Rectangle 363">
          <a:extLst>
            <a:ext uri="{FF2B5EF4-FFF2-40B4-BE49-F238E27FC236}">
              <a16:creationId xmlns:a16="http://schemas.microsoft.com/office/drawing/2014/main" id="{ABAE0765-9D58-4D91-B609-09EC0F85A1F4}"/>
            </a:ext>
          </a:extLst>
        </xdr:cNvPr>
        <xdr:cNvSpPr/>
      </xdr:nvSpPr>
      <xdr:spPr>
        <a:xfrm>
          <a:off x="3242455"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($/day)</a:t>
          </a:r>
        </a:p>
      </xdr:txBody>
    </xdr:sp>
    <xdr:clientData/>
  </xdr:twoCellAnchor>
  <xdr:twoCellAnchor>
    <xdr:from>
      <xdr:col>6</xdr:col>
      <xdr:colOff>328923</xdr:colOff>
      <xdr:row>99</xdr:row>
      <xdr:rowOff>5552</xdr:rowOff>
    </xdr:from>
    <xdr:to>
      <xdr:col>7</xdr:col>
      <xdr:colOff>135307</xdr:colOff>
      <xdr:row>102</xdr:row>
      <xdr:rowOff>148135</xdr:rowOff>
    </xdr:to>
    <xdr:sp macro="" textlink="">
      <xdr:nvSpPr>
        <xdr:cNvPr id="367" name="Rectangle 366">
          <a:extLst>
            <a:ext uri="{FF2B5EF4-FFF2-40B4-BE49-F238E27FC236}">
              <a16:creationId xmlns:a16="http://schemas.microsoft.com/office/drawing/2014/main" id="{629DA65D-668C-4222-A214-C1E35F7FF5D8}"/>
            </a:ext>
          </a:extLst>
        </xdr:cNvPr>
        <xdr:cNvSpPr/>
      </xdr:nvSpPr>
      <xdr:spPr>
        <a:xfrm>
          <a:off x="9573776"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($/day)</a:t>
          </a:r>
        </a:p>
      </xdr:txBody>
    </xdr:sp>
    <xdr:clientData/>
  </xdr:twoCellAnchor>
  <xdr:twoCellAnchor>
    <xdr:from>
      <xdr:col>3</xdr:col>
      <xdr:colOff>1057308</xdr:colOff>
      <xdr:row>99</xdr:row>
      <xdr:rowOff>5552</xdr:rowOff>
    </xdr:from>
    <xdr:to>
      <xdr:col>4</xdr:col>
      <xdr:colOff>863692</xdr:colOff>
      <xdr:row>102</xdr:row>
      <xdr:rowOff>148135</xdr:rowOff>
    </xdr:to>
    <xdr:sp macro="" textlink="">
      <xdr:nvSpPr>
        <xdr:cNvPr id="370" name="Rectangle 369">
          <a:extLst>
            <a:ext uri="{FF2B5EF4-FFF2-40B4-BE49-F238E27FC236}">
              <a16:creationId xmlns:a16="http://schemas.microsoft.com/office/drawing/2014/main" id="{D66FB4B1-21D5-4228-AD4A-D16B253E9D3F}"/>
            </a:ext>
          </a:extLst>
        </xdr:cNvPr>
        <xdr:cNvSpPr/>
      </xdr:nvSpPr>
      <xdr:spPr>
        <a:xfrm>
          <a:off x="5158661"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Supply Charge ($/day)</a:t>
          </a:r>
        </a:p>
      </xdr:txBody>
    </xdr:sp>
    <xdr:clientData/>
  </xdr:twoCellAnchor>
  <xdr:twoCellAnchor>
    <xdr:from>
      <xdr:col>4</xdr:col>
      <xdr:colOff>1325429</xdr:colOff>
      <xdr:row>99</xdr:row>
      <xdr:rowOff>19244</xdr:rowOff>
    </xdr:from>
    <xdr:to>
      <xdr:col>5</xdr:col>
      <xdr:colOff>1131812</xdr:colOff>
      <xdr:row>102</xdr:row>
      <xdr:rowOff>161827</xdr:rowOff>
    </xdr:to>
    <xdr:sp macro="" textlink="">
      <xdr:nvSpPr>
        <xdr:cNvPr id="371" name="Rectangle 370">
          <a:extLst>
            <a:ext uri="{FF2B5EF4-FFF2-40B4-BE49-F238E27FC236}">
              <a16:creationId xmlns:a16="http://schemas.microsoft.com/office/drawing/2014/main" id="{760A07A7-CBB2-4C1D-9A7D-2CCA155F9119}"/>
            </a:ext>
          </a:extLst>
        </xdr:cNvPr>
        <xdr:cNvSpPr/>
      </xdr:nvSpPr>
      <xdr:spPr>
        <a:xfrm>
          <a:off x="7141282" y="20156215"/>
          <a:ext cx="1520883" cy="71408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4</xdr:col>
      <xdr:colOff>946540</xdr:colOff>
      <xdr:row>99</xdr:row>
      <xdr:rowOff>162763</xdr:rowOff>
    </xdr:from>
    <xdr:to>
      <xdr:col>4</xdr:col>
      <xdr:colOff>1306540</xdr:colOff>
      <xdr:row>101</xdr:row>
      <xdr:rowOff>141763</xdr:rowOff>
    </xdr:to>
    <xdr:sp macro="" textlink="">
      <xdr:nvSpPr>
        <xdr:cNvPr id="372" name="Multiplication Sign 371">
          <a:extLst>
            <a:ext uri="{FF2B5EF4-FFF2-40B4-BE49-F238E27FC236}">
              <a16:creationId xmlns:a16="http://schemas.microsoft.com/office/drawing/2014/main" id="{81691C69-885B-4970-81E0-D1A92355878E}"/>
            </a:ext>
          </a:extLst>
        </xdr:cNvPr>
        <xdr:cNvSpPr/>
      </xdr:nvSpPr>
      <xdr:spPr>
        <a:xfrm>
          <a:off x="6762393" y="2029973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1338743</xdr:colOff>
      <xdr:row>99</xdr:row>
      <xdr:rowOff>162767</xdr:rowOff>
    </xdr:from>
    <xdr:to>
      <xdr:col>5</xdr:col>
      <xdr:colOff>1698743</xdr:colOff>
      <xdr:row>101</xdr:row>
      <xdr:rowOff>140355</xdr:rowOff>
    </xdr:to>
    <xdr:sp macro="" textlink="">
      <xdr:nvSpPr>
        <xdr:cNvPr id="373" name="Plus Sign 372">
          <a:extLst>
            <a:ext uri="{FF2B5EF4-FFF2-40B4-BE49-F238E27FC236}">
              <a16:creationId xmlns:a16="http://schemas.microsoft.com/office/drawing/2014/main" id="{FB16B03C-08EC-47A8-B710-6BA0DB9795FC}"/>
            </a:ext>
          </a:extLst>
        </xdr:cNvPr>
        <xdr:cNvSpPr/>
      </xdr:nvSpPr>
      <xdr:spPr>
        <a:xfrm>
          <a:off x="8869096" y="20299738"/>
          <a:ext cx="360000" cy="358588"/>
        </a:xfrm>
        <a:prstGeom prst="mathPlus">
          <a:avLst>
            <a:gd name="adj1" fmla="val 1399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139712</xdr:colOff>
      <xdr:row>100</xdr:row>
      <xdr:rowOff>5884</xdr:rowOff>
    </xdr:from>
    <xdr:to>
      <xdr:col>7</xdr:col>
      <xdr:colOff>499712</xdr:colOff>
      <xdr:row>101</xdr:row>
      <xdr:rowOff>173972</xdr:rowOff>
    </xdr:to>
    <xdr:sp macro="" textlink="">
      <xdr:nvSpPr>
        <xdr:cNvPr id="374" name="Plus Sign 373">
          <a:extLst>
            <a:ext uri="{FF2B5EF4-FFF2-40B4-BE49-F238E27FC236}">
              <a16:creationId xmlns:a16="http://schemas.microsoft.com/office/drawing/2014/main" id="{C84484D9-A829-4589-8B06-7978E8EC4943}"/>
            </a:ext>
          </a:extLst>
        </xdr:cNvPr>
        <xdr:cNvSpPr/>
      </xdr:nvSpPr>
      <xdr:spPr>
        <a:xfrm>
          <a:off x="11099065" y="20333355"/>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2" name="Chart 2">
          <a:extLst>
            <a:ext uri="{FF2B5EF4-FFF2-40B4-BE49-F238E27FC236}">
              <a16:creationId xmlns:a16="http://schemas.microsoft.com/office/drawing/2014/main" id="{123A56CC-33A1-40A0-8702-223FA79C98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672353</xdr:colOff>
      <xdr:row>7</xdr:row>
      <xdr:rowOff>22412</xdr:rowOff>
    </xdr:from>
    <xdr:to>
      <xdr:col>10</xdr:col>
      <xdr:colOff>1288676</xdr:colOff>
      <xdr:row>8</xdr:row>
      <xdr:rowOff>33617</xdr:rowOff>
    </xdr:to>
    <xdr:sp macro="" textlink="">
      <xdr:nvSpPr>
        <xdr:cNvPr id="3" name="TextBox 2">
          <a:hlinkClick xmlns:r="http://schemas.openxmlformats.org/officeDocument/2006/relationships" r:id="rId2"/>
          <a:extLst>
            <a:ext uri="{FF2B5EF4-FFF2-40B4-BE49-F238E27FC236}">
              <a16:creationId xmlns:a16="http://schemas.microsoft.com/office/drawing/2014/main" id="{10D6A805-BB80-5964-C734-FEFEABEEF90D}"/>
            </a:ext>
          </a:extLst>
        </xdr:cNvPr>
        <xdr:cNvSpPr txBox="1"/>
      </xdr:nvSpPr>
      <xdr:spPr>
        <a:xfrm>
          <a:off x="15004677" y="2005853"/>
          <a:ext cx="616323" cy="21291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2" name="Chart 2">
          <a:extLst>
            <a:ext uri="{FF2B5EF4-FFF2-40B4-BE49-F238E27FC236}">
              <a16:creationId xmlns:a16="http://schemas.microsoft.com/office/drawing/2014/main" id="{9B19ED8B-8ED7-4EAB-B02E-C1E7CC263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963705</xdr:colOff>
      <xdr:row>5</xdr:row>
      <xdr:rowOff>11206</xdr:rowOff>
    </xdr:from>
    <xdr:to>
      <xdr:col>9</xdr:col>
      <xdr:colOff>239058</xdr:colOff>
      <xdr:row>30</xdr:row>
      <xdr:rowOff>141942</xdr:rowOff>
    </xdr:to>
    <xdr:graphicFrame macro="">
      <xdr:nvGraphicFramePr>
        <xdr:cNvPr id="2" name="Chart 2">
          <a:extLst>
            <a:ext uri="{FF2B5EF4-FFF2-40B4-BE49-F238E27FC236}">
              <a16:creationId xmlns:a16="http://schemas.microsoft.com/office/drawing/2014/main" id="{8F8FD5B0-B6E5-4671-B2CB-633CA45B8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7AC8A96D-5314-4AAF-BE7C-9A6F933F5E1C}" autoFormatId="16" applyNumberFormats="0" applyBorderFormats="0" applyFontFormats="0" applyPatternFormats="0" applyAlignmentFormats="0" applyWidthHeightFormats="0">
  <queryTableRefresh nextId="3">
    <queryTableFields count="2">
      <queryTableField id="1" name="VDO decision" tableColumnId="1"/>
      <queryTableField id="2" name="Index" tableColumnId="2"/>
    </queryTableFields>
  </queryTableRefresh>
</queryTable>
</file>

<file path=xl/tables/_rels/table38.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BD1385-BA07-4257-AD3D-3DA1CE15C89E}" name="Calc_CPI_1" displayName="Calc_CPI_1" ref="C147:I163" totalsRowShown="0" headerRowDxfId="898" headerRowBorderDxfId="897" tableBorderDxfId="896" headerRowCellStyle="Table col heading">
  <tableColumns count="7">
    <tableColumn id="1" xr3:uid="{8FC9CF68-E2DE-41D4-BB17-02577ACDFB50}" name="Cost item"/>
    <tableColumn id="3" xr3:uid="{FD52015C-7518-4114-9F0A-46942F5E409F}" name="Fixed/Variable" dataDxfId="895"/>
    <tableColumn id="10" xr3:uid="{237959CA-5760-4248-AC5A-20B45DB2CF50}" name="Unit" dataCellStyle="Table cell">
      <calculatedColumnFormula>INDEX(Input_ForRateCalc[Unit],MATCH(Calc_CPI_1[[#This Row],[Cost item]]&amp;" - base",Input_ForRateCalc[Cost item],0),1)</calculatedColumnFormula>
    </tableColumn>
    <tableColumn id="11" xr3:uid="{2F9D72AB-FD23-4CC4-8DF0-B118FF0D332F}" name="Customer type" dataDxfId="894" dataCellStyle="Table cell"/>
    <tableColumn id="2" xr3:uid="{ABF6348D-5120-4300-B5BD-4B7E3A2B2B25}" name="Adjust?" dataDxfId="893" dataCellStyle="Table cell">
      <calculatedColumnFormula>INDEX(Input_CostItemCPI[],MATCH(Calc_CPI_1[[#This Row],[Cost item]],Input_CostItemCPI[Cost item],0),MATCH($D$5,Input_CostItemCPI[#Headers],0))</calculatedColumnFormula>
    </tableColumn>
    <tableColumn id="4" xr3:uid="{471ED95C-B937-4145-872E-8E97F45D2329}" name="CPI increase" dataDxfId="892" dataCellStyle="Calculation">
      <calculatedColumnFormula array="1">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date",Inputs!C$15:Y$15,0)),
CPI[Period],0),1),"-"))</calculatedColumnFormula>
    </tableColumn>
    <tableColumn id="5" xr3:uid="{6CF381C8-E2E9-44F3-9929-828496EBF384}" name="CPI uplift factor" dataDxfId="891" dataCellStyle="Currency">
      <calculatedColumnFormula array="1">IFERROR((H148)*
INDEX(Input_ForRateCalc[],MATCH(Calc_CPI_1[[#This Row],[Cost item]:[Cost item]],Input_ForRateCalc[Cost item],0),MATCH($D$5,Inputs!$C$15:$AZ$15,0)),"-")</calculatedColumnFormula>
    </tableColumn>
  </tableColumns>
  <tableStyleInfo name="Default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4FAC06-3F6E-4512-BD9F-BAE6C54835E0}" name="Calc_Losses_1" displayName="Calc_Losses_1" ref="C166:K169" totalsRowShown="0" headerRowDxfId="890" headerRowBorderDxfId="889" tableBorderDxfId="888" headerRowCellStyle="Table col heading">
  <tableColumns count="9">
    <tableColumn id="1" xr3:uid="{10E55798-D969-4AA2-BE00-AAA77545944C}" name="Cost item"/>
    <tableColumn id="2" xr3:uid="{FEC04519-0B8D-4C04-8E79-9C2F2427947B}" name="Fixed/Variable"/>
    <tableColumn id="3" xr3:uid="{E3235E90-DD2F-4943-ADA4-D518E8138171}" name="Unit"/>
    <tableColumn id="9" xr3:uid="{66C6BD50-A578-4CF8-B8DB-BF3F050B98C7}" name="Customer type" dataDxfId="887" dataCellStyle="Table cell"/>
    <tableColumn id="4" xr3:uid="{A55B248B-2052-4BF2-80F1-7509C3DD67E6}" name="Ausnet" dataDxfId="886"/>
    <tableColumn id="5" xr3:uid="{1749CA31-EE62-4522-9DA3-1918155FD04F}" name="Citipower" dataDxfId="885"/>
    <tableColumn id="6" xr3:uid="{62DBB3BA-5557-45EF-B606-6DC96D6BCBBC}" name="Jemena" dataDxfId="884"/>
    <tableColumn id="7" xr3:uid="{83176F9D-4300-42DB-984A-9DB31B5A2B44}" name="Powercor" dataDxfId="883"/>
    <tableColumn id="8" xr3:uid="{AE5C4CA6-96AC-4429-B02F-825691E879EF}" name="United Energy" dataDxfId="882"/>
  </tableColumns>
  <tableStyleInfo name="Default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EC4D248-2A86-4C81-ACAF-1A81C2464FEF}" name="Calc_ROM_1" displayName="Calc_ROM_1" ref="C172:K173" totalsRowShown="0" headerRowDxfId="881" headerRowBorderDxfId="880" tableBorderDxfId="879" headerRowCellStyle="Table col heading" dataCellStyle="Table cell">
  <tableColumns count="9">
    <tableColumn id="1" xr3:uid="{E50EE705-B877-449E-A9E7-6E00096BAB36}" name="Cost item" dataCellStyle="Table cell"/>
    <tableColumn id="2" xr3:uid="{42FC858C-CF75-4833-8C3D-8346027CE60A}" name="Fixed/Variable" dataCellStyle="Table cell"/>
    <tableColumn id="3" xr3:uid="{76F3A43C-43A1-4562-B6AE-9B59FB2BA42A}" name="Unit" dataCellStyle="Table cell"/>
    <tableColumn id="9" xr3:uid="{891390CB-BDB7-4673-9B44-66FDD23D76FC}" name="Customer type" dataDxfId="878" dataCellStyle="Table cell"/>
    <tableColumn id="4" xr3:uid="{1B8319C1-3354-4608-B1AD-CE352E76C44D}" name="Ausnet" dataDxfId="877" dataCellStyle="Calculation">
      <calculatedColumnFormula array="1">IFERROR(INDEX(Input_ForRateCalc[],MATCH(Calc_ROM_1[[#This Row],[Cost item]:[Cost item]],Input_ForRateCalc[[Cost item]:[Cost item]],0),MATCH($D$5,Inputs!$C$15:$AZ$15,0)),"-")</calculatedColumnFormula>
    </tableColumn>
    <tableColumn id="5" xr3:uid="{270B5FD7-0783-496C-8F8F-0ECCD0DCC481}" name="Citipower" dataDxfId="876" dataCellStyle="Calculation">
      <calculatedColumnFormula array="1">IFERROR(INDEX(Input_ForRateCalc[],MATCH(Calc_ROM_1[[#This Row],[Cost item]:[Cost item]],Input_ForRateCalc[[Cost item]:[Cost item]],0),MATCH($D$5,Inputs!$C$15:$AZ$15,0)),"-")</calculatedColumnFormula>
    </tableColumn>
    <tableColumn id="6" xr3:uid="{1D6B1230-694F-46EA-BB16-EBFCD5B62014}" name="Jemena" dataDxfId="875" dataCellStyle="Calculation">
      <calculatedColumnFormula array="1">IFERROR(INDEX(Input_ForRateCalc[],MATCH(Calc_ROM_1[[#This Row],[Cost item]:[Cost item]],Input_ForRateCalc[[Cost item]:[Cost item]],0),MATCH($D$5,Inputs!$C$15:$AZ$15,0)),"-")</calculatedColumnFormula>
    </tableColumn>
    <tableColumn id="7" xr3:uid="{242863D3-BF23-4634-9E5D-A7018A29171E}" name="Powercor" dataDxfId="874" dataCellStyle="Calculation">
      <calculatedColumnFormula array="1">IFERROR(INDEX(Input_ForRateCalc[],MATCH(Calc_ROM_1[[#This Row],[Cost item]:[Cost item]],Input_ForRateCalc[[Cost item]:[Cost item]],0),MATCH($D$5,Inputs!$C$15:$AZ$15,0)),"-")</calculatedColumnFormula>
    </tableColumn>
    <tableColumn id="8" xr3:uid="{5FC9542C-F72B-41E3-8A90-17BB18C5781A}" name="United Energy" dataDxfId="873" dataCellStyle="Calculation">
      <calculatedColumnFormula array="1">IFERROR(INDEX(Input_ForRateCalc[],MATCH(Calc_ROM_1[[#This Row],[Cost item]:[Cost item]],Input_ForRateCalc[[Cost item]:[Cost item]],0),MATCH($D$5,Inputs!$C$15:$AZ$15,0)),"-")</calculatedColumnFormula>
    </tableColumn>
  </tableColumns>
  <tableStyleInfo name="Default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B9C0011-C252-438F-92DD-5559D2884E9C}" name="Calc_Retail_1" displayName="Calc_Retail_1" ref="C178:K180" totalsRowShown="0" headerRowDxfId="872" headerRowBorderDxfId="871" tableBorderDxfId="870" totalsRowBorderDxfId="869" headerRowCellStyle="Table col heading">
  <tableColumns count="9">
    <tableColumn id="1" xr3:uid="{F445E8BE-064F-4AAC-958B-34C99F7ED789}" name="Cost item"/>
    <tableColumn id="2" xr3:uid="{70EA2FAC-2F47-4380-BB77-21E81E84D12C}" name="Fixed/Variable"/>
    <tableColumn id="3" xr3:uid="{8055E5B5-7D33-4D16-AEC4-1E6FDA6D4A33}" name="Unit" dataCellStyle="Table cell"/>
    <tableColumn id="9" xr3:uid="{771301F1-5078-41E2-A27C-91512A9EEC84}" name="Customer type" dataDxfId="868" dataCellStyle="Table cell"/>
    <tableColumn id="4" xr3:uid="{F96F63E4-C2DD-4B05-A841-31283247F646}" name="Ausnet" dataDxfId="867" dataCellStyle="Calculation">
      <calculatedColumnFormula>IFERROR(
INDEX(Calc_CPI_1[CPI uplift factor],MATCH($C179,Calc_CPI_1[Cost item],0),1)+
INDEX(#REF!,MATCH(Calc_Rates!$C179,Input_ForRateCalc[Cost item],0),MATCH(Calc_Rates!$D$5,Inputs!$H$15:$Q$15,0)),"-")</calculatedColumnFormula>
    </tableColumn>
    <tableColumn id="5" xr3:uid="{10800705-822B-4A11-AEC0-B74310D50E53}" name="Citipower" dataDxfId="866" dataCellStyle="Calculation"/>
    <tableColumn id="6" xr3:uid="{F22E718A-40AB-4EDE-A90A-F8A05C1F401C}" name="Jemena" dataDxfId="865" dataCellStyle="Calculation"/>
    <tableColumn id="7" xr3:uid="{6892071D-DB57-4E65-AA1D-01B97E74119E}" name="Powercor" dataDxfId="864" dataCellStyle="Calculation"/>
    <tableColumn id="8" xr3:uid="{551F21FF-F88A-4814-8B08-9AF58152777E}" name="United Energy" dataDxfId="863" dataCellStyle="Calculation"/>
  </tableColumns>
  <tableStyleInfo name="Default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12EE65A-C36C-4D34-B21A-CC272CBBA0DB}" name="Calc_OtherCosts_1" displayName="Calc_OtherCosts_1" ref="C184:K199" totalsRowShown="0" headerRowDxfId="862" headerRowBorderDxfId="861" tableBorderDxfId="860" totalsRowBorderDxfId="859" headerRowCellStyle="Table col heading" dataCellStyle="Table cell">
  <tableColumns count="9">
    <tableColumn id="1" xr3:uid="{0C253945-E70F-4B36-AB64-0CBC3AC67A67}" name="Cost item" dataCellStyle="Table cell"/>
    <tableColumn id="2" xr3:uid="{1CD1F87C-1E3E-4116-8C9E-ACEB4BB1DF68}" name="Fixed/Variable" dataCellStyle="Table cell"/>
    <tableColumn id="3" xr3:uid="{A2E603E4-1536-4BF2-9BA6-F8B4EF2FBC90}" name="Unit" dataCellStyle="Table cell"/>
    <tableColumn id="9" xr3:uid="{366828D4-BD8E-423C-9F45-7A4329249E04}" name="Customer type" dataDxfId="858" dataCellStyle="Table cell"/>
    <tableColumn id="4" xr3:uid="{3A43E5BC-9425-48FE-8CB0-4D55B7BD3E2C}" name="Ausnet" dataDxfId="857"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item]],0),MATCH($D$5,Inputs!$C$15:$Y$15,0)))*IF(Calc_OtherCosts_1[[#This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item]],0),MATCH($D$5,Inputs!$C$15:$Y$15,0)))/1000),"-")</calculatedColumnFormula>
    </tableColumn>
    <tableColumn id="5" xr3:uid="{A49331E6-A367-4F26-B05E-C557F54FF5E6}" name="Citipower" dataDxfId="856"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item]],0),MATCH($D$5,Inputs!$C$15:$Y$15,0)))*IF(Calc_OtherCosts_1[[#This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item]],0),MATCH($D$5,Inputs!$C$15:$Y$15,0)))/1000),"-")</calculatedColumnFormula>
    </tableColumn>
    <tableColumn id="6" xr3:uid="{353E77CF-0ADF-4988-B8FC-04EE5A40696A}" name="Jemena" dataDxfId="855"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item]],0),MATCH($D$5,Inputs!$C$15:$Y$15,0)))*IF(Calc_OtherCosts_1[[#This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item]],0),MATCH($D$5,Inputs!$C$15:$Y$15,0)))/1000),"-")</calculatedColumnFormula>
    </tableColumn>
    <tableColumn id="7" xr3:uid="{8CC9324E-F871-48A4-839B-9B611C6D71DE}" name="Powercor" dataDxfId="854"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item]],0),MATCH($D$5,Inputs!$C$15:$Y$15,0)))*IF(Calc_OtherCosts_1[[#This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item]],0),MATCH($D$5,Inputs!$C$15:$Y$15,0)))/1000),"-")</calculatedColumnFormula>
    </tableColumn>
    <tableColumn id="8" xr3:uid="{3D5A3885-41F2-4263-88AB-98D0F239E959}" name="United Energy" dataDxfId="853"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item]],0),MATCH($D$5,Inputs!$C$15:$Y$15,0)))*IF(Calc_OtherCosts_1[[#This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item]],0),MATCH($D$5,Inputs!$C$15:$Y$15,0)))/1000),"-")</calculatedColumnFormula>
    </tableColumn>
  </tableColumns>
  <tableStyleInfo name="Default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A46CB06-9CE2-408A-8625-DD8BCCB6C58B}" name="Calc_NetworkF_1" displayName="Calc_NetworkF_1" ref="C204:K209" totalsRowShown="0" headerRowDxfId="852" headerRowBorderDxfId="851" tableBorderDxfId="850" totalsRowBorderDxfId="849" headerRowCellStyle="Table col heading">
  <tableColumns count="9">
    <tableColumn id="1" xr3:uid="{56073E6A-0A5A-4389-8095-CA6108D44EDE}" name="Cost item"/>
    <tableColumn id="2" xr3:uid="{9D1C14EC-8477-491A-A18B-2461900656B4}" name="Fixed/Variable"/>
    <tableColumn id="3" xr3:uid="{04FAE60D-417C-4194-995E-E316BF4B7879}" name="Unit" dataCellStyle="Table cell"/>
    <tableColumn id="9" xr3:uid="{7C0BD534-B842-49E1-AB3D-9239656FE01E}" name="Customer type" dataDxfId="848" dataCellStyle="Table cell"/>
    <tableColumn id="4" xr3:uid="{2C923C50-9004-4F23-A843-61F46462C741}" name="Ausnet" dataDxfId="847"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item]],0),MATCH($D$5,Inputs!$C$15:$Y$15,0)),"-")</calculatedColumnFormula>
    </tableColumn>
    <tableColumn id="5" xr3:uid="{44B5F431-564E-450E-BA21-D3F841DCC24C}" name="Citipower" dataDxfId="846"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item]],0),MATCH($D$5,Inputs!$C$15:$Y$15,0)),"-")</calculatedColumnFormula>
    </tableColumn>
    <tableColumn id="6" xr3:uid="{8B1A16F8-7E2C-4F24-91A7-E65029079EAB}" name="Jemena" dataDxfId="845"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item]],0),MATCH($D$5,Inputs!$C$15:$Y$15,0)),"-")</calculatedColumnFormula>
    </tableColumn>
    <tableColumn id="7" xr3:uid="{0BD42606-1294-49B4-B9B0-6637A6094781}" name="Powercor" dataDxfId="844"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item]],0),MATCH($D$5,Inputs!$C$15:$Y$15,0)),"-")</calculatedColumnFormula>
    </tableColumn>
    <tableColumn id="8" xr3:uid="{439ED9DE-5613-4EC5-A634-F87DAB4A0EDD}" name="United Energy" dataDxfId="843"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item]],0),MATCH($D$5,Inputs!$C$15:$Y$15,0)),"-")</calculatedColumnFormula>
    </tableColumn>
  </tableColumns>
  <tableStyleInfo name="Default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FD2BC5-019D-46C3-AFCA-304FF5306314}" name="Calc_NetworkV_1" displayName="Calc_NetworkV_1" ref="C212:K223" totalsRowShown="0" headerRowDxfId="842" dataDxfId="840" headerRowBorderDxfId="841" tableBorderDxfId="839" totalsRowBorderDxfId="838" headerRowCellStyle="Table col heading" dataCellStyle="Calculation">
  <tableColumns count="9">
    <tableColumn id="1" xr3:uid="{CB3706A5-D760-4216-A110-71D17D892BD9}" name="Cost item" dataCellStyle="Table cell"/>
    <tableColumn id="2" xr3:uid="{D1B03855-A0F0-4571-8777-57F1B8EFE353}" name="Fixed/Variable" dataCellStyle="Table cell"/>
    <tableColumn id="3" xr3:uid="{B8007A7D-00F8-40E4-A172-46152BC4D855}" name="Unit" dataCellStyle="Table cell"/>
    <tableColumn id="9" xr3:uid="{3B1062B7-38BA-41B7-A6D9-56E48484C881}" name="Customer type" dataDxfId="837" dataCellStyle="Table cell"/>
    <tableColumn id="4" xr3:uid="{D0986C2A-52E3-43DD-B77B-F20491BF5E18}" name="Ausnet" dataDxfId="836"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MATCH($D$5,Inputs!$C$15:$Y$15,0)))/100,"-")</calculatedColumnFormula>
    </tableColumn>
    <tableColumn id="5" xr3:uid="{FAD220BF-91B8-40CF-BEED-9FF89C64043D}" name="Citipower" dataDxfId="835"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MATCH($D$5,Inputs!$C$15:$Y$15,0)))/100,"-")</calculatedColumnFormula>
    </tableColumn>
    <tableColumn id="6" xr3:uid="{173506C0-F051-4700-B94B-6E65F6DA88D9}" name="Jemena" dataDxfId="834"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MATCH($D$5,Inputs!$C$15:$Y$15,0)))/100,"-")</calculatedColumnFormula>
    </tableColumn>
    <tableColumn id="7" xr3:uid="{EFD5A70F-CD3B-42A9-8883-15FA6ED5A35F}" name="Powercor" dataDxfId="833"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MATCH($D$5,Inputs!$C$15:$Y$15,0)))/100,"-")</calculatedColumnFormula>
    </tableColumn>
    <tableColumn id="8" xr3:uid="{377FA89E-EB31-4B31-9E9A-342277E4DF21}" name="United Energy" dataDxfId="832"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MATCH($D$5,Inputs!$C$15:$Y$15,0)))/100,"-")</calculatedColumnFormula>
    </tableColumn>
  </tableColumns>
  <tableStyleInfo name="Default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21C63D0-94B6-46DC-A492-0C052BBB88BB}" name="Calc_WholesaleRES_1" displayName="Calc_WholesaleRES_1" ref="C228:K231" totalsRowShown="0" headerRowDxfId="831" headerRowBorderDxfId="830" tableBorderDxfId="829" headerRowCellStyle="Table col heading">
  <tableColumns count="9">
    <tableColumn id="1" xr3:uid="{AD482BF5-2182-4A45-A6AB-28D6205185A5}" name="Cost item"/>
    <tableColumn id="2" xr3:uid="{6780DE84-17EF-42BE-A3D5-2F3E29FC3533}" name="Fixed/Variable"/>
    <tableColumn id="3" xr3:uid="{95A5239A-5566-4E5B-97EF-FB526385E720}" name="Unit"/>
    <tableColumn id="9" xr3:uid="{64D007E5-3C6C-44AD-ACBD-2443661BBA3B}" name="Customer type" dataCellStyle="Table cell"/>
    <tableColumn id="4" xr3:uid="{B3163460-5BD7-4AFE-BFF4-84ED5CB4E785}" name="Ausnet"/>
    <tableColumn id="5" xr3:uid="{CFCFA8FE-9C7A-42C2-ABCE-4A186A2ABE01}" name="Citipower"/>
    <tableColumn id="6" xr3:uid="{9CB017A1-D755-4DB7-99ED-BBD09DBA551F}" name="Jemena"/>
    <tableColumn id="7" xr3:uid="{4AC22AD2-E8DB-4CFE-A499-B1B31DA8F4B5}" name="Powercor"/>
    <tableColumn id="8" xr3:uid="{2C48CFB6-7323-4BF6-8C64-7E27C40FBBC0}" name="United Energy"/>
  </tableColumns>
  <tableStyleInfo name="Default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015ED8-C01F-493F-BC60-E70CACCEB2FD}" name="Calc_WholesaleSME_1" displayName="Calc_WholesaleSME_1" ref="C234:K237" totalsRowShown="0" headerRowDxfId="828" headerRowBorderDxfId="827" tableBorderDxfId="826" headerRowCellStyle="Table col heading">
  <tableColumns count="9">
    <tableColumn id="1" xr3:uid="{3685C95C-E94C-4E99-B630-F4FAE40BD6CA}" name="Cost item"/>
    <tableColumn id="2" xr3:uid="{B38073C0-122B-4A64-BFF7-4C59D4463DE5}" name="Fixed/Variable"/>
    <tableColumn id="3" xr3:uid="{AAEAD9CF-B74C-41AB-9559-180BCE3F3F3C}" name="Unit"/>
    <tableColumn id="9" xr3:uid="{BC42E5F3-6EAE-4C9C-8DE3-CCAD1E10CA66}" name="Customer type" dataCellStyle="Table cell"/>
    <tableColumn id="4" xr3:uid="{308996B6-C131-470D-BCF8-3278A29B0E46}" name="Ausnet"/>
    <tableColumn id="5" xr3:uid="{19939240-F265-46F0-81AA-EB185929723F}" name="Citipower"/>
    <tableColumn id="6" xr3:uid="{472F31F9-0445-4F60-ADA7-DA1781E4D1CE}" name="Jemena"/>
    <tableColumn id="7" xr3:uid="{0F209F68-2467-41B7-A6F3-3F182FEEFF31}" name="Powercor"/>
    <tableColumn id="8" xr3:uid="{EA8080F3-12EA-415C-8B0F-A9C3C7BE47C3}" name="United Energy"/>
  </tableColumns>
  <tableStyleInfo name="Default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91A3B44-F9C0-4A8B-8450-9F07D09A1A86}" name="Calc_EnviroVEU_1" displayName="Calc_EnviroVEU_1" ref="C242:K245" totalsRowShown="0" headerRowDxfId="825" headerRowBorderDxfId="824" tableBorderDxfId="823" headerRowCellStyle="Table col heading" dataCellStyle="Internal link/lookup">
  <tableColumns count="9">
    <tableColumn id="1" xr3:uid="{30D74465-1D99-43AF-8CAB-6E507855A3A4}" name="Cost item" dataCellStyle="Table cell"/>
    <tableColumn id="2" xr3:uid="{1600AA2F-0D95-42AF-83F2-66CBF45F3CA0}" name="Fixed/Variable" dataCellStyle="Table cell"/>
    <tableColumn id="3" xr3:uid="{164F3467-F6B3-4C63-8156-D333898A95EE}" name="Unit" dataCellStyle="Table cell"/>
    <tableColumn id="9" xr3:uid="{EF95EF79-FCA8-4A29-950C-B3FEC82FE49F}" name="Customer type" dataCellStyle="Table cell"/>
    <tableColumn id="4" xr3:uid="{FA5A43A2-D327-41C8-A5A5-BF22A9D1276E}" name="Ausnet" dataDxfId="822" dataCellStyle="Internal link/lookup"/>
    <tableColumn id="5" xr3:uid="{CB1D098F-76FA-4645-A017-A40B1C8931A0}" name="Citipower" dataDxfId="821" dataCellStyle="Internal link/lookup"/>
    <tableColumn id="6" xr3:uid="{6CB26880-0A29-48CB-8D27-40F6229EC6E1}" name="Jemena" dataDxfId="820" dataCellStyle="Internal link/lookup"/>
    <tableColumn id="7" xr3:uid="{37DC741F-B7B0-4F6D-8986-B2FED10372C0}" name="Powercor" dataDxfId="819" dataCellStyle="Internal link/lookup"/>
    <tableColumn id="8" xr3:uid="{146C5954-395B-4AF0-934E-F6F1F53FD175}" name="United Energy" dataDxfId="818" dataCellStyle="Internal link/lookup"/>
  </tableColumns>
  <tableStyleInfo name="Default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D7F4255-2560-4C7D-87B7-90E01C8879BD}" name="Calc_EnviroLRET_1" displayName="Calc_EnviroLRET_1" ref="C248:K251" totalsRowShown="0" headerRowDxfId="817" headerRowBorderDxfId="816" tableBorderDxfId="815" headerRowCellStyle="Table col heading" dataCellStyle="Internal link/lookup">
  <tableColumns count="9">
    <tableColumn id="1" xr3:uid="{A6BACB87-44CA-4E82-A714-C5FE69256FAF}" name="Cost item" dataCellStyle="Table cell"/>
    <tableColumn id="2" xr3:uid="{075EE753-82B6-4FA7-AC6F-FE6940B01335}" name="Fixed/Variable" dataCellStyle="Table cell"/>
    <tableColumn id="3" xr3:uid="{87C5857A-1190-4CD1-A7CA-F67806FBE4CE}" name="Unit" dataCellStyle="Table cell"/>
    <tableColumn id="9" xr3:uid="{0808E3E2-EE13-4D5D-BCCF-B993FB523556}" name="Customer type" dataCellStyle="Table cell"/>
    <tableColumn id="4" xr3:uid="{25BA2561-A041-4FBF-A998-FD3797782130}" name="Ausnet" dataDxfId="814" dataCellStyle="Internal link/lookup"/>
    <tableColumn id="5" xr3:uid="{E3001C65-68EA-4A0B-A9EC-0AEF2E84FBD6}" name="Citipower" dataDxfId="813" dataCellStyle="Internal link/lookup"/>
    <tableColumn id="6" xr3:uid="{B118E905-DC3D-47F2-80F3-239BFB2E12CB}" name="Jemena" dataDxfId="812" dataCellStyle="Internal link/lookup"/>
    <tableColumn id="7" xr3:uid="{4C60D58B-60A7-46F1-93E5-005D19EAAD81}" name="Powercor" dataDxfId="811" dataCellStyle="Internal link/lookup"/>
    <tableColumn id="8" xr3:uid="{67A92AE4-113B-4F60-9A08-53B7D7BBE29B}" name="United Energy" dataDxfId="810" dataCellStyle="Internal link/lookup"/>
  </tableColumns>
  <tableStyleInfo name="Default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E3EDBDF-1B04-4828-8F23-C85FCC2AFC8A}" name="Calc_EnviroSRES_1" displayName="Calc_EnviroSRES_1" ref="C254:K257" totalsRowShown="0" headerRowDxfId="809" headerRowBorderDxfId="808" tableBorderDxfId="807" headerRowCellStyle="Table col heading" dataCellStyle="Internal link/lookup">
  <tableColumns count="9">
    <tableColumn id="1" xr3:uid="{FBB72E81-32BC-476E-80F3-64EE236D4AA2}" name="Cost item" dataCellStyle="Table cell"/>
    <tableColumn id="2" xr3:uid="{5E322F16-D299-4FD0-8E26-3FB9272D73E5}" name="Fixed/Variable" dataCellStyle="Table cell"/>
    <tableColumn id="3" xr3:uid="{2F112381-7D54-4734-820D-C48BB8198AAB}" name="Unit" dataCellStyle="Table cell"/>
    <tableColumn id="9" xr3:uid="{6E851880-403E-4A11-A43C-42B46F7B71E5}" name="Customer type" dataCellStyle="Table cell"/>
    <tableColumn id="4" xr3:uid="{43477D4E-955D-4477-92D8-B68B99E47C99}" name="Ausnet" dataDxfId="806" dataCellStyle="Internal link/lookup"/>
    <tableColumn id="5" xr3:uid="{46DA8B4E-93BE-4D75-B964-43108072DBCA}" name="Citipower" dataDxfId="805" dataCellStyle="Internal link/lookup"/>
    <tableColumn id="6" xr3:uid="{B4FBE803-3A30-443C-AF14-4716F8DBA7B2}" name="Jemena" dataDxfId="804" dataCellStyle="Internal link/lookup"/>
    <tableColumn id="7" xr3:uid="{8791F4C9-6942-453C-8102-D4CBF1273CDC}" name="Powercor" dataDxfId="803" dataCellStyle="Internal link/lookup"/>
    <tableColumn id="8" xr3:uid="{103AD40C-04CA-4057-8483-C30B93760CD0}" name="United Energy" dataDxfId="802" dataCellStyle="Internal link/lookup"/>
  </tableColumns>
  <tableStyleInfo name="Default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A338246-BA11-41D9-8C6E-8C38BB16348D}" name="Calc_FiT_1" displayName="Calc_FiT_1" ref="C260:K261" totalsRowShown="0" headerRowDxfId="801" headerRowBorderDxfId="800" tableBorderDxfId="799" totalsRowBorderDxfId="798" headerRowCellStyle="Table col heading" dataCellStyle="Table cell">
  <tableColumns count="9">
    <tableColumn id="1" xr3:uid="{AFD9488A-7C4B-4F8E-ACF9-A4E4B8E8B998}" name="Cost item" dataDxfId="797" dataCellStyle="Table cell"/>
    <tableColumn id="2" xr3:uid="{16DB71A9-711A-4502-B5BF-7F371CCC192E}" name="Fixed/Variable" dataDxfId="796" dataCellStyle="Table cell"/>
    <tableColumn id="3" xr3:uid="{A88541AF-CF21-4C19-AF86-DD65AAFDF70F}" name="Unit" dataDxfId="795" dataCellStyle="Table cell"/>
    <tableColumn id="9" xr3:uid="{CCD1209E-6309-4A32-8212-14B34B01109C}" name="Customer type" dataDxfId="794" dataCellStyle="Table cell"/>
    <tableColumn id="4" xr3:uid="{EFC77A58-5F76-488A-A85D-5ED51551F605}" name="Ausnet" dataDxfId="793" dataCellStyle="Calculation"/>
    <tableColumn id="5" xr3:uid="{1E393C59-41B6-47B9-8C7C-DF1243695081}" name="Citipower" dataDxfId="792" dataCellStyle="Calculation"/>
    <tableColumn id="6" xr3:uid="{435400A7-321A-40E3-A6FB-8DA29E3C56CF}" name="Jemena" dataDxfId="791" dataCellStyle="Calculation"/>
    <tableColumn id="7" xr3:uid="{E838E498-62F7-48EC-9A33-8E46B6F2846E}" name="Powercor" dataDxfId="790" dataCellStyle="Calculation"/>
    <tableColumn id="8" xr3:uid="{E4EAE11B-C0B1-474A-AFE2-08D9725A3A2F}" name="United Energy" dataDxfId="789" dataCellStyle="Calculation"/>
  </tableColumns>
  <tableStyleInfo name="Default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DD51261-8483-4F72-A15D-EE34A34E1BAB}" name="Calc_Fixed_1" displayName="Calc_Fixed_1" ref="C9:K13" totalsRowShown="0" headerRowDxfId="788" dataDxfId="786" headerRowBorderDxfId="787" tableBorderDxfId="785" totalsRowBorderDxfId="784" headerRowCellStyle="Table col heading" dataCellStyle="Calculation">
  <tableColumns count="9">
    <tableColumn id="1" xr3:uid="{0DE4619C-AFE2-4FBE-9761-BAA79DB830F4}" name="Fixed costs" dataCellStyle="Table cell"/>
    <tableColumn id="2" xr3:uid="{E509A651-4C2C-44F0-B768-083D02C0617D}" name="Fixed/Variable" dataCellStyle="Table cell"/>
    <tableColumn id="3" xr3:uid="{EA8D5DA8-FE69-4B34-9288-63D99D8B64E2}" name="Unit" dataCellStyle="Table cell"/>
    <tableColumn id="4" xr3:uid="{7B42286D-64E9-4E5F-91BD-04A0111536FE}" name="Customer type" dataCellStyle="Table cell"/>
    <tableColumn id="5" xr3:uid="{11BA551C-7A3B-4DBA-8886-22B914901BA5}" name="Ausnet" dataDxfId="783" dataCellStyle="Calculation"/>
    <tableColumn id="6" xr3:uid="{C7D51D1D-F5A3-45D2-97BF-2D2C3522663C}" name="Citipower" dataDxfId="782" dataCellStyle="Calculation"/>
    <tableColumn id="7" xr3:uid="{98520615-2498-4B69-9E0F-1D3D02C38A91}" name="Jemena" dataDxfId="781" dataCellStyle="Calculation"/>
    <tableColumn id="8" xr3:uid="{9D038724-BFD4-4AE0-9E93-A285F400301A}" name="Powercor" dataDxfId="780" dataCellStyle="Calculation"/>
    <tableColumn id="9" xr3:uid="{7A6F7E36-B9EF-452A-B7C5-DCD9FEE784F5}" name="United Energy" dataDxfId="779" dataCellStyle="Calculation"/>
  </tableColumns>
  <tableStyleInfo name="Default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FF5E63F-6A48-4B35-938E-45458A34EE25}" name="Calc_Variable_1" displayName="Calc_Variable_1" ref="C50:K56" totalsRowShown="0" headerRowDxfId="778" dataDxfId="776" headerRowBorderDxfId="777" tableBorderDxfId="775" totalsRowBorderDxfId="774" headerRowCellStyle="Table col heading" dataCellStyle="Calculation">
  <tableColumns count="9">
    <tableColumn id="1" xr3:uid="{D01C5694-3942-4B70-B388-582619A4A730}" name="Variable costs" dataCellStyle="Table cell"/>
    <tableColumn id="2" xr3:uid="{7B18B367-5A4F-4675-BF52-307E9D2DFE67}" name="Fixed/Variable" dataCellStyle="Table cell"/>
    <tableColumn id="3" xr3:uid="{258FC869-F26D-469D-99EB-25477677C6D6}" name="Unit" dataCellStyle="Table cell"/>
    <tableColumn id="4" xr3:uid="{6772D669-4BEB-4A7B-8347-807634EAD556}" name="Customer type" dataCellStyle="Table cell"/>
    <tableColumn id="5" xr3:uid="{016FCE41-EF2A-4E35-9A7B-F1E430D7D105}" name="Ausnet" dataDxfId="773" dataCellStyle="Calculation">
      <calculatedColumnFormula>SUMIFS(Calc_NetworkV_1[Ausnet],Calc_NetworkV_1[[Cost item]:[Cost item]],$C51,Calc_NetworkV_1[[Customer type]:[Customer type]],$F51)</calculatedColumnFormula>
    </tableColumn>
    <tableColumn id="6" xr3:uid="{E2C0AA12-7131-46DC-85F6-23D2DC886FB0}" name="Citipower" dataDxfId="772" dataCellStyle="Calculation">
      <calculatedColumnFormula>SUMIFS(Calc_NetworkV_1[Citipower],Calc_NetworkV_1[[Cost item]:[Cost item]],$C51,Calc_NetworkV_1[[Customer type]:[Customer type]],$F51)</calculatedColumnFormula>
    </tableColumn>
    <tableColumn id="7" xr3:uid="{EF4DD9F0-6C3E-41F9-B55E-8140D1AD8185}" name="Jemena" dataDxfId="771" dataCellStyle="Calculation">
      <calculatedColumnFormula>SUMIFS(Calc_NetworkV_1[Jemena],Calc_NetworkV_1[[Cost item]:[Cost item]],$C51,Calc_NetworkV_1[[Customer type]:[Customer type]],$F51)</calculatedColumnFormula>
    </tableColumn>
    <tableColumn id="8" xr3:uid="{947CFCA4-E7A4-4A08-847F-78F175CA3E8A}" name="Powercor" dataDxfId="770" dataCellStyle="Calculation">
      <calculatedColumnFormula>SUMIFS(Calc_NetworkV_1[Powercor],Calc_NetworkV_1[[Cost item]:[Cost item]],$C51,Calc_NetworkV_1[[Customer type]:[Customer type]],$F51)</calculatedColumnFormula>
    </tableColumn>
    <tableColumn id="9" xr3:uid="{B3FA65E5-67A9-4C54-BE06-6A8BC367B8D2}" name="United Energy" dataDxfId="769" dataCellStyle="Calculation">
      <calculatedColumnFormula>SUMIFS(Calc_NetworkV_1[United Energy],Calc_NetworkV_1[[Cost item]:[Cost item]],$C51,Calc_NetworkV_1[[Customer type]:[Customer type]],$F51)</calculatedColumnFormula>
    </tableColumn>
  </tableColumns>
  <tableStyleInfo name="Default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42E7283-7EC9-4B31-8751-F22F33197074}" name="Calc_CPI_2" displayName="Calc_CPI_2" ref="C408:I424" totalsRowShown="0" headerRowDxfId="768" headerRowBorderDxfId="767" tableBorderDxfId="766" headerRowCellStyle="Table col heading">
  <tableColumns count="7">
    <tableColumn id="1" xr3:uid="{0392B365-335D-4A78-9B18-7271922DE1F6}" name="Cost item"/>
    <tableColumn id="3" xr3:uid="{048F43A9-A58B-455C-8B4D-B6DA137AECA7}" name="Fixed/Variable" dataDxfId="765"/>
    <tableColumn id="10" xr3:uid="{C0FE0C8C-F5D0-4BAB-8D99-F40D7F692479}" name="Unit" dataCellStyle="Table cell"/>
    <tableColumn id="11" xr3:uid="{73F71E33-E6A7-4E95-8250-4F73CE5393B0}" name="Customer type" dataDxfId="764" dataCellStyle="Table cell"/>
    <tableColumn id="2" xr3:uid="{EE0FDEAC-B5CB-423C-9DFF-2946D2F95BAB}" name="Adjust?" dataDxfId="763" dataCellStyle="Table cell">
      <calculatedColumnFormula>INDEX(Input_CostItemCPI[],MATCH(Calc_CPI_2[[#This Row],[Cost item]],Input_CostItemCPI[Cost item],0),MATCH(Calc_Rates!$D$266,Input_CostItemCPI[#Headers],0))</calculatedColumnFormula>
    </tableColumn>
    <tableColumn id="4" xr3:uid="{A927AA6D-A956-473D-9CBB-E2BEE704389A}" name="CPI increase" dataDxfId="762" dataCellStyle="Calculation">
      <calculatedColumnFormula array="1">IF(Calc_CPI_2[[#This Row],[Adjust?]]="No",0,
IFERROR(
($D$406-
INDEX(CPI[Indice],MATCH(
INDEX(Input_ForRateCalc[],MATCH(Calc_CPI_2[[#This Row],[Cost item]:[Cost item]],Input_ForRateCalc[Cost item],0),MATCH($D$266&amp;" - input date",Inputs!C$15:Y$15,0)),
CPI[Period],0),1))/
INDEX(CPI[Indice],MATCH(
INDEX(Input_ForRateCalc[],MATCH(Calc_CPI_2[[#This Row],[Cost item]:[Cost item]],Input_ForRateCalc[Cost item],0),MATCH($D$266&amp;" - input date",Inputs!C$15:Y$15,0)),
CPI[Period],0),1),"-"))</calculatedColumnFormula>
    </tableColumn>
    <tableColumn id="5" xr3:uid="{0AF73545-2A78-4EA1-9B7D-36FA6144550A}" name="CPI uplift factor" dataDxfId="761" dataCellStyle="Calculation">
      <calculatedColumnFormula array="1">IFERROR((H409)*
INDEX(Input_ForRateCalc[],MATCH(Calc_CPI_2[[#This Row],[Cost item]:[Cost item]],Input_ForRateCalc[Cost item],0),MATCH($D$266,Inputs!$C$15:$Y$15,0)),"-")</calculatedColumnFormula>
    </tableColumn>
  </tableColumns>
  <tableStyleInfo name="Default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EC6A44B-92E9-41E6-A5BE-92DF20C28082}" name="Calc_Losses_2" displayName="Calc_Losses_2" ref="C427:K430" totalsRowShown="0" headerRowDxfId="760" headerRowBorderDxfId="759" tableBorderDxfId="758" headerRowCellStyle="Table col heading">
  <tableColumns count="9">
    <tableColumn id="1" xr3:uid="{FF25D25B-B907-49F1-9788-25D8E0FAB9AB}" name="Cost item"/>
    <tableColumn id="2" xr3:uid="{C154E22A-4B96-4CA0-AE66-AA8979623137}" name="Fixed/Variable"/>
    <tableColumn id="3" xr3:uid="{7225B388-345E-4195-AF66-C05D1F0E3B4C}" name="Unit"/>
    <tableColumn id="9" xr3:uid="{875CEA24-D2EE-402A-AE5F-BA8557242C89}" name="Customer type" dataDxfId="757" dataCellStyle="Table cell"/>
    <tableColumn id="4" xr3:uid="{CB25BE8A-48BA-4885-8E65-317DB9BF37BB}" name="Ausnet" dataDxfId="756"/>
    <tableColumn id="5" xr3:uid="{0B2237C4-7DBE-4B58-8B34-036750CE9DF3}" name="Citipower" dataDxfId="755"/>
    <tableColumn id="6" xr3:uid="{E1C9F9AE-0936-4E2E-A598-882FD11E197E}" name="Jemena" dataDxfId="754"/>
    <tableColumn id="7" xr3:uid="{50A41108-5F62-4C52-92E2-598288A777B6}" name="Powercor" dataDxfId="753"/>
    <tableColumn id="8" xr3:uid="{5D722926-44FE-4315-8992-A62E3FA3705F}" name="United Energy" dataDxfId="752"/>
  </tableColumns>
  <tableStyleInfo name="Default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CE7EFF8-8CC4-49A5-A4B0-B1F772307F26}" name="Calc_ROM_2" displayName="Calc_ROM_2" ref="C433:K434" totalsRowShown="0" headerRowDxfId="751" headerRowBorderDxfId="750" tableBorderDxfId="749" headerRowCellStyle="Table col heading" dataCellStyle="Table cell">
  <tableColumns count="9">
    <tableColumn id="1" xr3:uid="{955F46BD-E98D-4FF8-89E3-604BDBAD5C15}" name="Cost item" dataCellStyle="Table cell"/>
    <tableColumn id="2" xr3:uid="{6E181835-1B30-4227-88B8-00DC0A938429}" name="Fixed/Variable" dataCellStyle="Table cell"/>
    <tableColumn id="3" xr3:uid="{B4F569B5-76F1-4840-94CD-ED51F23ABBB5}" name="Unit" dataCellStyle="Table cell"/>
    <tableColumn id="9" xr3:uid="{7D750D5E-3C29-452B-BA22-9541DF61C38D}" name="Customer type" dataDxfId="748" dataCellStyle="Table cell"/>
    <tableColumn id="4" xr3:uid="{E687E301-7097-4D98-AEE6-E06378C143BE}" name="Ausnet" dataDxfId="747" dataCellStyle="Calculation"/>
    <tableColumn id="5" xr3:uid="{1A564FEB-91D3-41D0-938B-AF81CFA2D721}" name="Citipower" dataDxfId="746" dataCellStyle="Internal link/lookup"/>
    <tableColumn id="6" xr3:uid="{A4210194-9161-4D9A-B76B-92DB41A3D078}" name="Jemena" dataDxfId="745" dataCellStyle="Internal link/lookup"/>
    <tableColumn id="7" xr3:uid="{C0C4DC3C-E147-4E1D-AC30-72D37EB7845B}" name="Powercor" dataDxfId="744" dataCellStyle="Internal link/lookup"/>
    <tableColumn id="8" xr3:uid="{E4E7EB2A-0FA6-46E9-B531-356F9F153E84}" name="United Energy" dataDxfId="743" dataCellStyle="Internal link/lookup"/>
  </tableColumns>
  <tableStyleInfo name="Default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7F880C2-B122-4BD6-AFB2-F6FEA0892944}" name="Calc_Retail_2" displayName="Calc_Retail_2" ref="C439:K441" totalsRowShown="0" headerRowDxfId="742" headerRowBorderDxfId="741" tableBorderDxfId="740" totalsRowBorderDxfId="739" headerRowCellStyle="Table col heading">
  <tableColumns count="9">
    <tableColumn id="1" xr3:uid="{5DBFD0B1-2F68-4D8D-9DD6-1CB8E0378AF5}" name="Cost item"/>
    <tableColumn id="2" xr3:uid="{DEEB39E3-E100-46E3-8373-164B77EDA971}" name="Fixed/Variable"/>
    <tableColumn id="3" xr3:uid="{E9B6E294-9507-43FE-8432-2DC6149A44BD}" name="Unit" dataCellStyle="Table cell"/>
    <tableColumn id="9" xr3:uid="{8E50245A-0ED0-4F17-87CE-4E85E60E4872}" name="Customer type" dataDxfId="738" dataCellStyle="Table cell"/>
    <tableColumn id="4" xr3:uid="{2CD61C95-A6E5-4E0F-9C24-3AEBDA5C897D}" name="Ausnet" dataDxfId="737" dataCellStyle="Calculation">
      <calculatedColumnFormula array="1">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item]],0),MATCH($D$266,Inputs!$C$15:$Y$15,0))+
INDEX(Input_ForRateCalc[],MATCH(Calc_Retail_2[[#This Row],[Cost item]:[Cost item]]&amp;" - 5 min settlement allowance",Input_ForRateCalc[[Cost item]:[Cost item]],0),MATCH($D$266,Inputs!$C$15:$Y$15,0))+
INDEX(Input_ForRateCalc[],MATCH(Calc_Retail_2[[#This Row],[Cost item]:[Cost item]]&amp;" - regulatory cost allowance",Input_ForRateCalc[[Cost item]:[Cost item]],0),MATCH($D$266,Inputs!$C$15:$Y$15,0))+
INDEX(Input_ForRateCalc[],MATCH(Calc_Retail_2[[#This Row],[Cost item]:[Cost item]]&amp;" - bad debt allowance",Input_ForRateCalc[[Cost item]:[Cost item]],0),MATCH($D$266,Inputs!$C$15:$Y$15,0)),"-")</calculatedColumnFormula>
    </tableColumn>
    <tableColumn id="5" xr3:uid="{4E050103-6C8B-4305-BD73-C70DDFA3DBF5}" name="Citipower" dataDxfId="736" dataCellStyle="Calculation">
      <calculatedColumnFormula array="1">IFERROR(
IFERROR(INDEX(Calc_CPI_2[[CPI uplift factor]:[CPI uplift factor]],MATCH($C440&amp;" - base",Calc_CPI_2[[Cost item]:[Cost item]],0),1),0)+
IFERROR(INDEX(Calc_CPI_2[[CPI uplift factor]:[CPI uplift factor]],MATCH($C440&amp;" - regulatory cost allowance",Calc_CPI_2[[Cost item]:[Cost item]],0),1),0)+
INDEX(Input_ForRateCalc[[F-PreviousVDO_InputDate]:[F-PreviousVDO_Input2]],MATCH(Calc_Retail_2[[#This Row],[Cost item]:[Cost item]]&amp;" - base",Input_ForRateCalc[[Cost item]:[Cost item]],0),MATCH($D$266,Inputs!$H$15:$U$15,0))+
INDEX(Input_ForRateCalc[[F-PreviousVDO_InputDate]:[F-PreviousVDO_Input2]],MATCH(Calc_Retail_2[[#This Row],[Cost item]:[Cost item]]&amp;" - 5 min settlement allowance",Input_ForRateCalc[[Cost item]:[Cost item]],0),MATCH($D$266,Inputs!$H$15:$U$15,0))+
INDEX(Input_ForRateCalc[[F-PreviousVDO_InputDate]:[F-PreviousVDO_Input2]],MATCH(Calc_Retail_2[[#This Row],[Cost item]:[Cost item]]&amp;" - regulatory cost allowance",Input_ForRateCalc[[Cost item]:[Cost item]],0),MATCH($D$266,Inputs!$H$15:$U$15,0))+
INDEX(Input_ForRateCalc[[F-PreviousVDO_InputDate]:[F-PreviousVDO_Input2]],MATCH(Calc_Retail_2[[#This Row],[Cost item]:[Cost item]]&amp;" - bad debt allowance",Input_ForRateCalc[[Cost item]:[Cost item]],0),MATCH($D$266,Inputs!$H$15:$U$15,0)),"-")</calculatedColumnFormula>
    </tableColumn>
    <tableColumn id="6" xr3:uid="{99907E92-AD35-4E5A-9AF4-6ADEACB6628B}" name="Jemena" dataDxfId="735" dataCellStyle="Calculation">
      <calculatedColumnFormula array="1">IFERROR(
IFERROR(INDEX(Calc_CPI_2[[CPI uplift factor]:[CPI uplift factor]],MATCH($C440&amp;" - base",Calc_CPI_2[[Cost item]:[Cost item]],0),1),0)+
IFERROR(INDEX(Calc_CPI_2[[CPI uplift factor]:[CPI uplift factor]],MATCH($C440&amp;" - regulatory cost allowance",Calc_CPI_2[[Cost item]:[Cost item]],0),1),0)+
INDEX(Input_ForRateCalc[[F-PreviousVDO_InputDate]:[F-PreviousVDO_Input2]],MATCH(Calc_Retail_2[[#This Row],[Cost item]:[Cost item]]&amp;" - base",Input_ForRateCalc[[Cost item]:[Cost item]],0),MATCH($D$266,Inputs!$H$15:$U$15,0))+
INDEX(Input_ForRateCalc[[F-PreviousVDO_InputDate]:[F-PreviousVDO_Input2]],MATCH(Calc_Retail_2[[#This Row],[Cost item]:[Cost item]]&amp;" - 5 min settlement allowance",Input_ForRateCalc[[Cost item]:[Cost item]],0),MATCH($D$266,Inputs!$H$15:$U$15,0))+
INDEX(Input_ForRateCalc[[F-PreviousVDO_InputDate]:[F-PreviousVDO_Input2]],MATCH(Calc_Retail_2[[#This Row],[Cost item]:[Cost item]]&amp;" - regulatory cost allowance",Input_ForRateCalc[[Cost item]:[Cost item]],0),MATCH($D$266,Inputs!$H$15:$U$15,0))+
INDEX(Input_ForRateCalc[[F-PreviousVDO_InputDate]:[F-PreviousVDO_Input2]],MATCH(Calc_Retail_2[[#This Row],[Cost item]:[Cost item]]&amp;" - bad debt allowance",Input_ForRateCalc[[Cost item]:[Cost item]],0),MATCH($D$266,Inputs!$H$15:$U$15,0)),"-")</calculatedColumnFormula>
    </tableColumn>
    <tableColumn id="7" xr3:uid="{85CED015-2903-4856-80DE-2EF0DF32CF22}" name="Powercor" dataDxfId="734" dataCellStyle="Calculation">
      <calculatedColumnFormula array="1">IFERROR(
IFERROR(INDEX(Calc_CPI_2[[CPI uplift factor]:[CPI uplift factor]],MATCH($C440&amp;" - base",Calc_CPI_2[[Cost item]:[Cost item]],0),1),0)+
IFERROR(INDEX(Calc_CPI_2[[CPI uplift factor]:[CPI uplift factor]],MATCH($C440&amp;" - regulatory cost allowance",Calc_CPI_2[[Cost item]:[Cost item]],0),1),0)+
INDEX(Input_ForRateCalc[[F-PreviousVDO_InputDate]:[F-PreviousVDO_Input2]],MATCH(Calc_Retail_2[[#This Row],[Cost item]:[Cost item]]&amp;" - base",Input_ForRateCalc[[Cost item]:[Cost item]],0),MATCH($D$266,Inputs!$H$15:$U$15,0))+
INDEX(Input_ForRateCalc[[F-PreviousVDO_InputDate]:[F-PreviousVDO_Input2]],MATCH(Calc_Retail_2[[#This Row],[Cost item]:[Cost item]]&amp;" - 5 min settlement allowance",Input_ForRateCalc[[Cost item]:[Cost item]],0),MATCH($D$266,Inputs!$H$15:$U$15,0))+
INDEX(Input_ForRateCalc[[F-PreviousVDO_InputDate]:[F-PreviousVDO_Input2]],MATCH(Calc_Retail_2[[#This Row],[Cost item]:[Cost item]]&amp;" - regulatory cost allowance",Input_ForRateCalc[[Cost item]:[Cost item]],0),MATCH($D$266,Inputs!$H$15:$U$15,0))+
INDEX(Input_ForRateCalc[[F-PreviousVDO_InputDate]:[F-PreviousVDO_Input2]],MATCH(Calc_Retail_2[[#This Row],[Cost item]:[Cost item]]&amp;" - bad debt allowance",Input_ForRateCalc[[Cost item]:[Cost item]],0),MATCH($D$266,Inputs!$H$15:$U$15,0)),"-")</calculatedColumnFormula>
    </tableColumn>
    <tableColumn id="8" xr3:uid="{E2C17A32-6146-4155-9533-31AA75FDB328}" name="United Energy" dataDxfId="733" dataCellStyle="Calculation">
      <calculatedColumnFormula array="1">IFERROR(
IFERROR(INDEX(Calc_CPI_2[[CPI uplift factor]:[CPI uplift factor]],MATCH($C440&amp;" - base",Calc_CPI_2[[Cost item]:[Cost item]],0),1),0)+
IFERROR(INDEX(Calc_CPI_2[[CPI uplift factor]:[CPI uplift factor]],MATCH($C440&amp;" - regulatory cost allowance",Calc_CPI_2[[Cost item]:[Cost item]],0),1),0)+
INDEX(Input_ForRateCalc[[F-PreviousVDO_InputDate]:[F-PreviousVDO_Input2]],MATCH(Calc_Retail_2[[#This Row],[Cost item]:[Cost item]]&amp;" - base",Input_ForRateCalc[[Cost item]:[Cost item]],0),MATCH($D$266,Inputs!$H$15:$U$15,0))+
INDEX(Input_ForRateCalc[[F-PreviousVDO_InputDate]:[F-PreviousVDO_Input2]],MATCH(Calc_Retail_2[[#This Row],[Cost item]:[Cost item]]&amp;" - 5 min settlement allowance",Input_ForRateCalc[[Cost item]:[Cost item]],0),MATCH($D$266,Inputs!$H$15:$U$15,0))+
INDEX(Input_ForRateCalc[[F-PreviousVDO_InputDate]:[F-PreviousVDO_Input2]],MATCH(Calc_Retail_2[[#This Row],[Cost item]:[Cost item]]&amp;" - regulatory cost allowance",Input_ForRateCalc[[Cost item]:[Cost item]],0),MATCH($D$266,Inputs!$H$15:$U$15,0))+
INDEX(Input_ForRateCalc[[F-PreviousVDO_InputDate]:[F-PreviousVDO_Input2]],MATCH(Calc_Retail_2[[#This Row],[Cost item]:[Cost item]]&amp;" - bad debt allowance",Input_ForRateCalc[[Cost item]:[Cost item]],0),MATCH($D$266,Inputs!$H$15:$U$15,0)),"-")</calculatedColumnFormula>
    </tableColumn>
  </tableColumns>
  <tableStyleInfo name="Default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01D12CF-C7E1-4924-9282-4EC84379844B}" name="Calc_OtherCosts_2" displayName="Calc_OtherCosts_2" ref="C445:K460" totalsRowShown="0" headerRowDxfId="732" headerRowBorderDxfId="731" tableBorderDxfId="730" totalsRowBorderDxfId="729" headerRowCellStyle="Table col heading" dataCellStyle="Table cell">
  <tableColumns count="9">
    <tableColumn id="1" xr3:uid="{A1B8058A-1AB1-41BC-8A43-72B5EA27A603}" name="Cost item" dataCellStyle="Table cell"/>
    <tableColumn id="2" xr3:uid="{D5EEF1DB-85C1-49E6-99B0-CF0394951EE2}" name="Fixed/Variable" dataCellStyle="Table cell"/>
    <tableColumn id="3" xr3:uid="{E4A2F631-BD69-4A5A-85B5-508D2E2B4A0C}" name="Unit" dataCellStyle="Table cell"/>
    <tableColumn id="9" xr3:uid="{0B803444-77B6-4D2D-BB75-CD29E2D46331}" name="Customer type" dataDxfId="728" dataCellStyle="Table cell"/>
    <tableColumn id="4" xr3:uid="{085016C6-CD9B-499F-9379-4BAE408451BD}" name="Ausnet" dataDxfId="727"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item]],0),MATCH($D$266,Inputs!$C$15:$Y$15,0)))*IF(Calc_OtherCosts_2[[#This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item]],0),MATCH($D$266,Inputs!$C$15:$Y$15,0)))/1000),"-")</calculatedColumnFormula>
    </tableColumn>
    <tableColumn id="5" xr3:uid="{D67C074D-746D-4063-961D-3BEBB731C5BF}" name="Citipower" dataDxfId="726"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item]],0),MATCH($D$266,Inputs!$C$15:$Y$15,0)))*IF(Calc_OtherCosts_2[[#This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item]],0),MATCH($D$266,Inputs!$C$15:$Y$15,0)))/1000),"-")</calculatedColumnFormula>
    </tableColumn>
    <tableColumn id="6" xr3:uid="{E2A0A5AD-48B1-4C7D-B517-722AFA356FB6}" name="Jemena" dataDxfId="725"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item]],0),MATCH($D$266,Inputs!$C$15:$Y$15,0)))*IF(Calc_OtherCosts_2[[#This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item]],0),MATCH($D$266,Inputs!$C$15:$Y$15,0)))/1000),"-")</calculatedColumnFormula>
    </tableColumn>
    <tableColumn id="7" xr3:uid="{F78830B5-0220-404E-AF64-292E9739DDDA}" name="Powercor" dataDxfId="724"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item]],0),MATCH($D$266,Inputs!$C$15:$Y$15,0)))*IF(Calc_OtherCosts_2[[#This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item]],0),MATCH($D$266,Inputs!$C$15:$Y$15,0)))/1000),"-")</calculatedColumnFormula>
    </tableColumn>
    <tableColumn id="8" xr3:uid="{79D9B0F6-4D30-4C42-89E5-7F30342FAA5E}" name="United Energy" dataDxfId="723"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item]],0),MATCH($D$266,Inputs!$C$15:$Y$15,0)))*IF(Calc_OtherCosts_2[[#This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item]],0),MATCH($D$266,Inputs!$C$15:$Y$15,0)))/1000),"-")</calculatedColumnFormula>
    </tableColumn>
  </tableColumns>
  <tableStyleInfo name="Default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E0A9ED2-8D00-4F48-8D30-FD08A8C765E7}" name="Calc_NetworkF_2" displayName="Calc_NetworkF_2" ref="C465:K470" totalsRowShown="0" headerRowDxfId="722" headerRowBorderDxfId="721" tableBorderDxfId="720" totalsRowBorderDxfId="719" headerRowCellStyle="Table col heading">
  <tableColumns count="9">
    <tableColumn id="1" xr3:uid="{D38E552C-C6A6-40C2-9CA0-7FC7197AE66A}" name="Cost item"/>
    <tableColumn id="2" xr3:uid="{03758CD2-D50C-40CD-98A0-210010BE529C}" name="Fixed/Variable"/>
    <tableColumn id="3" xr3:uid="{A465FF89-A6AC-4B33-AB2F-144AD4966E2B}" name="Unit" dataCellStyle="Table cell"/>
    <tableColumn id="9" xr3:uid="{BE863A71-0407-4CC5-A963-E85A55602C43}" name="Customer type" dataDxfId="718" dataCellStyle="Table cell"/>
    <tableColumn id="4" xr3:uid="{E263191F-A889-48FA-AAEA-BCE459A10C20}" name="Ausnet" dataDxfId="717" dataCellStyle="Calculation">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item]],0),MATCH($D$266,Inputs!$C$15:$Y$15,0)),"-")</calculatedColumnFormula>
    </tableColumn>
    <tableColumn id="5" xr3:uid="{E6E4BB6F-BD70-4891-95C8-F6841E10AE1F}" name="Citipower" dataDxfId="716">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item]],0),MATCH($D$266,Inputs!$C$15:$Y$15,0)),"-")</calculatedColumnFormula>
    </tableColumn>
    <tableColumn id="6" xr3:uid="{74B2C5CE-E472-453B-BE1E-199DD74C52A8}" name="Jemena" dataDxfId="715">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item]],0),MATCH($D$266,Inputs!$C$15:$Y$15,0)),"-")</calculatedColumnFormula>
    </tableColumn>
    <tableColumn id="7" xr3:uid="{BB022CED-F0B8-48AE-86ED-16EA04ED82D4}" name="Powercor" dataDxfId="714">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item]],0),MATCH($D$266,Inputs!$C$15:$Y$15,0)),"-")</calculatedColumnFormula>
    </tableColumn>
    <tableColumn id="8" xr3:uid="{37BB4DBB-2AA0-4B3B-B81D-A3BEDA786117}" name="United Energy" dataDxfId="713">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item]],0),MATCH($D$266,Inputs!$C$15:$Y$15,0)),"-")</calculatedColumnFormula>
    </tableColumn>
  </tableColumns>
  <tableStyleInfo name="Default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72C9E2E-BCF3-4E06-AE4B-999827903A85}" name="Calc_NetworkV_2" displayName="Calc_NetworkV_2" ref="C473:K484" totalsRowShown="0" headerRowDxfId="712" dataDxfId="710" headerRowBorderDxfId="711" tableBorderDxfId="709" totalsRowBorderDxfId="708" headerRowCellStyle="Table col heading" dataCellStyle="Calculation">
  <tableColumns count="9">
    <tableColumn id="1" xr3:uid="{A42221E9-38CD-4719-9CB9-680E3FE0AB3B}" name="Cost item" dataCellStyle="Table cell"/>
    <tableColumn id="2" xr3:uid="{427969E6-F9FD-4A2F-AE33-CB0C35F67BA9}" name="Fixed/Variable" dataCellStyle="Table cell"/>
    <tableColumn id="3" xr3:uid="{2BA6E17D-E067-4AAC-B77F-219CB9F95259}" name="Unit" dataCellStyle="Table cell"/>
    <tableColumn id="9" xr3:uid="{D92AB887-DC72-4FF5-AC76-00519F97E33D}" name="Customer type" dataDxfId="707" dataCellStyle="Table cell"/>
    <tableColumn id="4" xr3:uid="{036757F4-CC3E-4CFE-BEE6-59E663C8DD43}" name="Ausnet" dataDxfId="706"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MATCH($D$266,Inputs!$C$15:$Y$15,0)))/100,"-")</calculatedColumnFormula>
    </tableColumn>
    <tableColumn id="5" xr3:uid="{AE94E996-3010-41EE-98D2-09418CBEF705}" name="Citipower" dataDxfId="705"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MATCH($D$266,Inputs!$C$15:$Y$15,0)))/100,"-")</calculatedColumnFormula>
    </tableColumn>
    <tableColumn id="6" xr3:uid="{C3B601D0-315D-46AC-86AD-25A56993C77D}" name="Jemena" dataDxfId="704"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MATCH($D$266,Inputs!$C$15:$Y$15,0)))/100,"-")</calculatedColumnFormula>
    </tableColumn>
    <tableColumn id="7" xr3:uid="{75D9B400-5B56-4251-876D-D3B2AD0EDE08}" name="Powercor" dataDxfId="703"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MATCH($D$266,Inputs!$C$15:$Y$15,0)))/100,"-")</calculatedColumnFormula>
    </tableColumn>
    <tableColumn id="8" xr3:uid="{72E976D5-6CF4-4BF4-8596-EF5DDC69965F}" name="United Energy" dataDxfId="702"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MATCH($D$266,Inputs!$C$15:$Y$15,0)))/100,"-")</calculatedColumnFormula>
    </tableColumn>
  </tableColumns>
  <tableStyleInfo name="Default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43AECED-8885-4699-9018-976951DCEAEC}" name="Calc_WholesaleRES_2" displayName="Calc_WholesaleRES_2" ref="C489:K492" totalsRowShown="0" headerRowDxfId="701" headerRowBorderDxfId="700" tableBorderDxfId="699" headerRowCellStyle="Table col heading">
  <tableColumns count="9">
    <tableColumn id="1" xr3:uid="{55616D8A-0BC7-47DE-A9AD-A18C20CAD8E8}" name="Cost item"/>
    <tableColumn id="2" xr3:uid="{8849EA41-8407-4971-A187-A2595136364B}" name="Fixed/Variable"/>
    <tableColumn id="3" xr3:uid="{7467E916-F8C7-4E84-9658-A30010C5DDFB}" name="Unit"/>
    <tableColumn id="9" xr3:uid="{DD46CE72-BA1A-4017-990D-6941FE945045}" name="Customer type" dataDxfId="698" dataCellStyle="Table cell"/>
    <tableColumn id="4" xr3:uid="{809DE305-D85D-4DA6-9F81-6D2F651C2EC0}" name="Ausnet" dataDxfId="697"/>
    <tableColumn id="5" xr3:uid="{ED0D7F05-C22B-4EC1-8CDE-AF6D2FD6166E}" name="Citipower" dataDxfId="696"/>
    <tableColumn id="6" xr3:uid="{B4B973FC-6C95-4B31-B9D7-8BFBB8D04D0F}" name="Jemena" dataDxfId="695"/>
    <tableColumn id="7" xr3:uid="{52008CB4-E4CB-481A-A36B-0E4ECF3E2C84}" name="Powercor" dataDxfId="694"/>
    <tableColumn id="8" xr3:uid="{5F24B15A-3CAE-4F6C-B56E-177E8642134E}" name="United Energy" dataDxfId="693"/>
  </tableColumns>
  <tableStyleInfo name="Default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07C98C9-DEA2-499D-BCEC-1ADC2B76173B}" name="Calc_WholesaleSME_2" displayName="Calc_WholesaleSME_2" ref="C495:K498" totalsRowShown="0" headerRowDxfId="692" headerRowBorderDxfId="691" tableBorderDxfId="690" headerRowCellStyle="Table col heading">
  <tableColumns count="9">
    <tableColumn id="1" xr3:uid="{2F0330C9-FA4B-4B76-809A-3FFC706FA169}" name="Cost item"/>
    <tableColumn id="2" xr3:uid="{78653F00-2B8C-4BEB-99B3-5D899DAF194B}" name="Fixed/Variable"/>
    <tableColumn id="3" xr3:uid="{EB7E3CD7-5F6B-4CB7-9B55-B1A551960A87}" name="Unit"/>
    <tableColumn id="9" xr3:uid="{565AFD53-96DA-4A2D-874C-56C80926C3E1}" name="Customer type" dataDxfId="689" dataCellStyle="Table cell"/>
    <tableColumn id="4" xr3:uid="{2D68E5B7-6558-44D7-A7DD-E465C5C7F977}" name="Ausnet" dataDxfId="688"/>
    <tableColumn id="5" xr3:uid="{E0249D4F-24CE-4366-AD41-D943CD45AF8A}" name="Citipower" dataDxfId="687"/>
    <tableColumn id="6" xr3:uid="{05111774-1FD7-46E5-904E-F77A51A63099}" name="Jemena" dataDxfId="686"/>
    <tableColumn id="7" xr3:uid="{60E0B7A4-662F-4DCA-B8BD-3A1A03F20EC4}" name="Powercor" dataDxfId="685"/>
    <tableColumn id="8" xr3:uid="{BC8EA099-7982-4976-92A9-37CF7F323A04}" name="United Energy" dataDxfId="684"/>
  </tableColumns>
  <tableStyleInfo name="Default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8FABF61-76BF-48EF-B505-776F278BB84F}" name="Calc_EnviroVEU_2" displayName="Calc_EnviroVEU_2" ref="C503:K506" headerRowDxfId="683" headerRowBorderDxfId="682" tableBorderDxfId="681" headerRowCellStyle="Table col heading" dataCellStyle="Internal link/lookup">
  <tableColumns count="9">
    <tableColumn id="1" xr3:uid="{5EDF66C7-C7F9-42E7-B17E-0A2D1BB3D8EA}" name="Cost item" dataCellStyle="Table cell"/>
    <tableColumn id="2" xr3:uid="{1DD3DB1A-FA8C-40B9-96A5-CCF273541652}" name="Fixed/Variable" dataCellStyle="Table cell"/>
    <tableColumn id="3" xr3:uid="{F4DF5AAD-28C1-430F-A85B-FE98F6BCA66F}" name="Unit" dataCellStyle="Table cell"/>
    <tableColumn id="9" xr3:uid="{39F18777-7928-4E45-A6E5-4949449D9B17}" name="Customer type" dataCellStyle="Table cell"/>
    <tableColumn id="4" xr3:uid="{72BCCABF-61A1-496B-A1F1-313913406971}" name="Ausnet" dataDxfId="680" dataCellStyle="Internal link/lookup"/>
    <tableColumn id="5" xr3:uid="{3632AAF8-9994-487F-B2AE-D91E6898616F}" name="Citipower" dataDxfId="679" dataCellStyle="Internal link/lookup"/>
    <tableColumn id="6" xr3:uid="{2D670DF7-A7E1-4815-8D99-FEBF3D8719A9}" name="Jemena" dataDxfId="678" dataCellStyle="Internal link/lookup"/>
    <tableColumn id="7" xr3:uid="{F31CC8AE-80E4-4035-B43D-29D83AB0E44B}" name="Powercor" dataDxfId="677" dataCellStyle="Internal link/lookup"/>
    <tableColumn id="8" xr3:uid="{ABB21325-49FB-44E1-9BEE-EF0B2D015359}" name="United Energy" dataDxfId="676" dataCellStyle="Internal link/lookup"/>
  </tableColumns>
  <tableStyleInfo name="Default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BD7F563-8C27-44C8-A251-94ED92356BAB}" name="Calc_EnviroLRET_2" displayName="Calc_EnviroLRET_2" ref="C509:K512" totalsRowShown="0" headerRowDxfId="675" headerRowBorderDxfId="674" tableBorderDxfId="673" headerRowCellStyle="Table col heading" dataCellStyle="Internal link/lookup">
  <tableColumns count="9">
    <tableColumn id="1" xr3:uid="{2E796124-0F36-4D5C-9E02-8A0D3471F3AC}" name="Cost item" dataCellStyle="Table cell"/>
    <tableColumn id="2" xr3:uid="{C0EFC863-A147-4A4B-9CD5-3BEDACFA83D3}" name="Fixed/Variable" dataCellStyle="Table cell"/>
    <tableColumn id="3" xr3:uid="{3E3D2AF2-16D7-4872-891A-23E6EF08388C}" name="Unit" dataCellStyle="Table cell"/>
    <tableColumn id="9" xr3:uid="{6D9C9597-8B4B-456E-BE78-2619427622CB}" name="Customer type" dataDxfId="672" dataCellStyle="Table cell"/>
    <tableColumn id="4" xr3:uid="{D42DF87B-2F3A-445A-A591-A957064999AE}" name="Ausnet" dataDxfId="671" dataCellStyle="Internal link/lookup"/>
    <tableColumn id="5" xr3:uid="{0D536E01-9C54-40A5-872F-7AEC6B5E5964}" name="Citipower" dataDxfId="670" dataCellStyle="Internal link/lookup"/>
    <tableColumn id="6" xr3:uid="{61156598-626D-4F85-A017-2C9888B3AD91}" name="Jemena" dataDxfId="669" dataCellStyle="Internal link/lookup"/>
    <tableColumn id="7" xr3:uid="{4EE5EB45-9330-4B64-B7A3-C08F48938D41}" name="Powercor" dataDxfId="668" dataCellStyle="Internal link/lookup"/>
    <tableColumn id="8" xr3:uid="{99C9DEB0-D84E-402A-BBDC-1CDA9A808BD7}" name="United Energy" dataDxfId="667" dataCellStyle="Internal link/lookup"/>
  </tableColumns>
  <tableStyleInfo name="Default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14BBD54-9845-4747-B0FC-4306CC6FFD10}" name="Calc_EnviroSRES_2" displayName="Calc_EnviroSRES_2" ref="C515:K518" totalsRowShown="0" headerRowDxfId="666" headerRowBorderDxfId="665" tableBorderDxfId="664" headerRowCellStyle="Table col heading" dataCellStyle="Internal link/lookup">
  <tableColumns count="9">
    <tableColumn id="1" xr3:uid="{791A5626-6473-40AB-9ACB-89DB21A7706B}" name="Cost item" dataCellStyle="Table cell"/>
    <tableColumn id="2" xr3:uid="{5511F733-1BC6-4C83-BDCA-2DACD06711C1}" name="Fixed/Variable" dataCellStyle="Table cell"/>
    <tableColumn id="3" xr3:uid="{4BB6E085-34C6-4694-AFAC-02FEBC452056}" name="Unit" dataCellStyle="Table cell"/>
    <tableColumn id="9" xr3:uid="{23533F4A-2712-4732-89B5-7AA0D1A80ABF}" name="Customer type" dataDxfId="663" dataCellStyle="Table cell"/>
    <tableColumn id="4" xr3:uid="{5C3D7028-D35B-4243-9BD5-803DE0C1F090}" name="Ausnet" dataDxfId="662" dataCellStyle="Internal link/lookup"/>
    <tableColumn id="5" xr3:uid="{2A46EF8F-490F-41DC-BB79-D94A9890A10A}" name="Citipower" dataDxfId="661" dataCellStyle="Internal link/lookup"/>
    <tableColumn id="6" xr3:uid="{9CEE5387-7B05-4CC5-82B7-0186B5B65A5A}" name="Jemena" dataDxfId="660" dataCellStyle="Internal link/lookup"/>
    <tableColumn id="7" xr3:uid="{81F3FABF-D50E-455F-9DE6-D4EE60D73723}" name="Powercor" dataDxfId="659" dataCellStyle="Internal link/lookup"/>
    <tableColumn id="8" xr3:uid="{B347FCC2-B745-42AC-8178-54348C53A812}" name="United Energy" dataDxfId="658" dataCellStyle="Internal link/lookup"/>
  </tableColumns>
  <tableStyleInfo name="Default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51D2367-9227-4BB4-96FF-F19EC747EAA3}" name="Calc_FiT_2" displayName="Calc_FiT_2" ref="C521:K522" totalsRowShown="0" headerRowDxfId="657" headerRowBorderDxfId="656" tableBorderDxfId="655" totalsRowBorderDxfId="654" headerRowCellStyle="Table col heading" dataCellStyle="Table cell">
  <tableColumns count="9">
    <tableColumn id="1" xr3:uid="{87D3B033-452C-4EAA-8C49-35E3405C2143}" name="Cost item" dataDxfId="653" dataCellStyle="Table cell"/>
    <tableColumn id="2" xr3:uid="{88359BC3-F007-4EE1-9B81-A4C460102BB2}" name="Fixed/Variable" dataDxfId="652" dataCellStyle="Table cell"/>
    <tableColumn id="3" xr3:uid="{6626E15A-F702-4BE7-A73A-E6EA86DA6540}" name="Unit" dataDxfId="651" dataCellStyle="Table cell"/>
    <tableColumn id="9" xr3:uid="{375ED3D3-A6C3-4331-B4C7-7DB2F31B8B1F}" name="Customer type" dataDxfId="650" dataCellStyle="Table cell"/>
    <tableColumn id="4" xr3:uid="{36245F65-6230-4EA2-BF7F-0CC113135C97}" name="Ausnet" dataDxfId="649" dataCellStyle="Calculation"/>
    <tableColumn id="5" xr3:uid="{CA2D09F7-DE00-4523-8ABA-06C29613DAF0}" name="Citipower" dataDxfId="648" dataCellStyle="Calculation"/>
    <tableColumn id="6" xr3:uid="{2815AC9D-D500-4E33-A24F-57B0B3A74BA5}" name="Jemena" dataDxfId="647" dataCellStyle="Calculation"/>
    <tableColumn id="7" xr3:uid="{F06523DB-0763-4ABE-944B-6D5B8C4BAA9D}" name="Powercor" dataDxfId="646" dataCellStyle="Calculation"/>
    <tableColumn id="8" xr3:uid="{FE932EEE-12EB-40EF-9237-94951095FD12}" name="United Energy" dataDxfId="645" dataCellStyle="Calculation"/>
  </tableColumns>
  <tableStyleInfo name="Default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CD68F95-F088-46C9-93E7-6B5656B787E5}" name="Calc_Fixed_2" displayName="Calc_Fixed_2" ref="C270:K274" totalsRowShown="0" headerRowDxfId="644" dataDxfId="642" headerRowBorderDxfId="643" tableBorderDxfId="641" totalsRowBorderDxfId="640" headerRowCellStyle="Table col heading" dataCellStyle="Calculation">
  <tableColumns count="9">
    <tableColumn id="1" xr3:uid="{6D433DCD-FDD1-461C-BE51-5F64B0028857}" name="Fixed costs" dataCellStyle="Table cell"/>
    <tableColumn id="2" xr3:uid="{ADD02781-6CE5-4079-841C-11C03E2E9665}" name="Fixed/Variable" dataCellStyle="Table cell"/>
    <tableColumn id="3" xr3:uid="{1A92D67E-B492-4C85-8E9E-B5B091B406F6}" name="Unit" dataCellStyle="Table cell"/>
    <tableColumn id="4" xr3:uid="{472EC734-2FCF-49D5-9742-7BF822185EDF}" name="Customer type" dataCellStyle="Table cell"/>
    <tableColumn id="5" xr3:uid="{D7EEA12E-6348-4F58-8BC0-7924D6482FE3}" name="Ausnet" dataDxfId="639" dataCellStyle="Calculation"/>
    <tableColumn id="6" xr3:uid="{6CBEE716-3155-4B4C-AF50-A4352518DBD3}" name="Citipower" dataDxfId="638" dataCellStyle="Calculation"/>
    <tableColumn id="7" xr3:uid="{F520C065-E9F5-4EDB-8DA0-EBF051D23BA5}" name="Jemena" dataDxfId="637" dataCellStyle="Calculation"/>
    <tableColumn id="8" xr3:uid="{D9BCCDE5-85BC-4D9C-9B03-D4A1BA943D08}" name="Powercor" dataDxfId="636" dataCellStyle="Calculation"/>
    <tableColumn id="9" xr3:uid="{7F674C9A-9F59-4BC3-B55A-1EF91EB24F45}" name="United Energy" dataDxfId="635" dataCellStyle="Calculation"/>
  </tableColumns>
  <tableStyleInfo name="Default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7C4114-DAEF-40E2-A897-DCCBA31E9DF7}" name="Calc_Variable_2" displayName="Calc_Variable_2" ref="C311:K317" totalsRowShown="0" headerRowDxfId="634" dataDxfId="632" headerRowBorderDxfId="633" tableBorderDxfId="631" totalsRowBorderDxfId="630" headerRowCellStyle="Table col heading" dataCellStyle="Calculation">
  <tableColumns count="9">
    <tableColumn id="1" xr3:uid="{E9428663-265E-4639-87C7-9F3BDBC5CB8E}" name="Variable costs" dataCellStyle="Table cell"/>
    <tableColumn id="2" xr3:uid="{4887F817-6E0C-4AC4-8D7F-575231CC1492}" name="Fixed/Variable" dataCellStyle="Table cell"/>
    <tableColumn id="3" xr3:uid="{A9B72F22-10DA-429E-8D83-86BB113D7F7D}" name="Unit" dataCellStyle="Table cell"/>
    <tableColumn id="4" xr3:uid="{25484AC1-7C71-4B3F-B0B2-22999836C216}" name="Customer type" dataCellStyle="Table cell"/>
    <tableColumn id="5" xr3:uid="{A6B6DA7D-C141-458D-B657-090C44FFD74B}" name="Ausnet" dataDxfId="629" dataCellStyle="Calculation">
      <calculatedColumnFormula>SUMIFS(Calc_NetworkV_1[Ausnet],Calc_NetworkV_1[[Cost item]:[Cost item]],$C312,Calc_NetworkV_1[[Customer type]:[Customer type]],$F312)</calculatedColumnFormula>
    </tableColumn>
    <tableColumn id="6" xr3:uid="{847207F5-00A7-4B3E-AEB3-B65DA23D2D91}" name="Citipower" dataDxfId="628" dataCellStyle="Calculation">
      <calculatedColumnFormula>SUMIFS(Calc_NetworkV_1[Citipower],Calc_NetworkV_1[[Cost item]:[Cost item]],$C312,Calc_NetworkV_1[[Customer type]:[Customer type]],$F312)</calculatedColumnFormula>
    </tableColumn>
    <tableColumn id="7" xr3:uid="{0C1FD2BC-AE5F-4E00-AC3A-28398FA94E09}" name="Jemena" dataDxfId="627" dataCellStyle="Calculation">
      <calculatedColumnFormula>SUMIFS(Calc_NetworkV_1[Jemena],Calc_NetworkV_1[[Cost item]:[Cost item]],$C312,Calc_NetworkV_1[[Customer type]:[Customer type]],$F312)</calculatedColumnFormula>
    </tableColumn>
    <tableColumn id="8" xr3:uid="{E174452F-B3A9-4A57-BB2E-7C173F27A50E}" name="Powercor" dataDxfId="626" dataCellStyle="Calculation">
      <calculatedColumnFormula>SUMIFS(Calc_NetworkV_1[Powercor],Calc_NetworkV_1[[Cost item]:[Cost item]],$C312,Calc_NetworkV_1[[Customer type]:[Customer type]],$F312)</calculatedColumnFormula>
    </tableColumn>
    <tableColumn id="9" xr3:uid="{141CD577-64AA-4FBA-A116-0412EB02F72E}" name="United Energy" dataDxfId="625" dataCellStyle="Calculation">
      <calculatedColumnFormula>SUMIFS(Calc_NetworkV_1[United Energy],Calc_NetworkV_1[[Cost item]:[Cost item]],$C312,Calc_NetworkV_1[[Customer type]:[Customer type]],$F312)</calculatedColumnFormula>
    </tableColumn>
  </tableColumns>
  <tableStyleInfo name="Default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0CA320-6B21-4206-97D5-A5D7F802DD0F}" name="Input_ForRateCalc" displayName="Input_ForRateCalc" ref="C17:AC141" totalsRowShown="0" dataDxfId="624" tableBorderDxfId="623" totalsRowBorderDxfId="622" headerRowCellStyle="Table col heading" dataCellStyle="Table cell">
  <autoFilter ref="C17:AC141" xr:uid="{EF0CA320-6B21-4206-97D5-A5D7F802DD0F}"/>
  <tableColumns count="27">
    <tableColumn id="1" xr3:uid="{6FF7576B-C0F4-4642-91C7-CDE91D19F3FC}" name="Cost element" dataDxfId="621" dataCellStyle="Table cell"/>
    <tableColumn id="2" xr3:uid="{3E9E5691-2790-4800-A001-FB9B30AEDE59}" name="Cost item" dataDxfId="620" dataCellStyle="Table cell"/>
    <tableColumn id="3" xr3:uid="{54D809A2-64C6-4A88-80A0-2E0B0AA01C18}" name="Fixed/Variable" dataDxfId="619" dataCellStyle="Table cell"/>
    <tableColumn id="4" xr3:uid="{FB95BD42-C055-4EA9-8F55-291F37426B18}" name="Unit" dataDxfId="618" dataCellStyle="Table cell"/>
    <tableColumn id="12" xr3:uid="{5E2B3B73-6771-45B4-82B8-0AA35BD8F705}" name="Customer type" dataDxfId="617" dataCellStyle="Table cell"/>
    <tableColumn id="6" xr3:uid="{DF24FCA2-F0DF-4144-8F1B-F3129138F4F5}" name="F-PreviousVDO_InputDate" dataDxfId="616" dataCellStyle="Hard-coded"/>
    <tableColumn id="7" xr3:uid="{FEEE9B98-F1B9-4BCE-9D75-0B157C256B9D}" name="F-PreviousVDO_Input" dataDxfId="615" dataCellStyle="Hard-coded"/>
    <tableColumn id="15" xr3:uid="{6D1A57CC-2A5F-4FB3-AF79-9C864D73D509}" name="VD-PreviousVDO_InputDate" dataDxfId="614" dataCellStyle="Hard-coded"/>
    <tableColumn id="5" xr3:uid="{6D90D13D-7691-408E-920D-28F33BBC643F}" name="VD-PreviousVDO_Input" dataDxfId="613" dataCellStyle="Hard-coded"/>
    <tableColumn id="8" xr3:uid="{BB001EDA-14C6-46F4-A3C8-E04970BC08B1}" name="VF-PreviousVDO_InputDate" dataDxfId="612" dataCellStyle="Input"/>
    <tableColumn id="9" xr3:uid="{302B1A04-0D91-4254-A1B4-2AB36404D5F0}" name="VF-PreviousVDO_Input" dataDxfId="611" dataCellStyle="Input"/>
    <tableColumn id="10" xr3:uid="{2436021E-5060-4C27-B7E4-385ED60FB6EE}" name="D-PreviousVDO_InputDate" dataDxfId="610" dataCellStyle="Input"/>
    <tableColumn id="11" xr3:uid="{43EE2DE0-3DFA-4DE9-ADDA-BFF46482A280}" name="D-PreviousVDO_Input" dataDxfId="609" dataCellStyle="Input"/>
    <tableColumn id="13" xr3:uid="{B112B93D-14AA-4188-8F83-F4632E3F87B4}" name="F-PreviousVDO_InputDate2" dataDxfId="608" dataCellStyle="Input"/>
    <tableColumn id="14" xr3:uid="{A72BF82C-154B-4AC9-94D3-5ABCF1780432}" name="F-PreviousVDO_Input2" dataDxfId="607" dataCellStyle="Input"/>
    <tableColumn id="16" xr3:uid="{C3200C27-3D9E-40EE-91BB-A7D148D90B40}" name="D-PreviousVDO_InputDate2" dataDxfId="606" dataCellStyle="Input"/>
    <tableColumn id="17" xr3:uid="{02D71021-0274-4B3D-BF3C-EA419DDC2411}" name="D-PreviousVDO_Input2" dataDxfId="605" dataCellStyle="Input"/>
    <tableColumn id="18" xr3:uid="{EF0422F6-3FE3-472A-AA92-DA9E94E9F107}" name="F-PreviousVDO_InputDate3" dataDxfId="604" dataCellStyle="Input"/>
    <tableColumn id="19" xr3:uid="{FBD0015D-FE84-47B9-986B-16AB073C36A1}" name="F-PreviousVDO_Input3" dataDxfId="603" dataCellStyle="Input"/>
    <tableColumn id="20" xr3:uid="{DA5E7DBB-575E-45FB-8A80-D2F4868AF00B}" name="D-CurrentVDO_InputDate" dataDxfId="602" dataCellStyle="Input"/>
    <tableColumn id="21" xr3:uid="{298A0794-4500-42AF-8E90-132C2B9F6D02}" name="D-CurrentVDO_Input" dataDxfId="601" dataCellStyle="Input"/>
    <tableColumn id="22" xr3:uid="{04B9D19D-D3C3-4ADB-8452-B7B66C1BF2FE}" name="F-CurrentVDO_InputDate" dataDxfId="600" dataCellStyle="Input"/>
    <tableColumn id="23" xr3:uid="{E0C3FDC7-6168-47C0-8A8D-D645C4F64871}" name="F-CurrentVDO_Input" dataDxfId="599" dataCellStyle="Input"/>
    <tableColumn id="26" xr3:uid="{AFE26890-8D99-4C89-8BDD-DB4C04166607}" name="D-NextVDO_InputDate" dataDxfId="598" dataCellStyle="Input"/>
    <tableColumn id="25" xr3:uid="{1D603D0A-AF1C-4447-B74A-FBCBD62C4C4B}" name="D-NextVDO_Input" dataDxfId="597" dataCellStyle="Input"/>
    <tableColumn id="28" xr3:uid="{3EFC7705-6E6A-496F-89D9-01FA1AEB3B6B}" name="F-NextVDO_InputDate" dataDxfId="596" dataCellStyle="Input"/>
    <tableColumn id="27" xr3:uid="{D87453A7-A108-41DD-BF71-ADEB72F38555}" name="F-NextVDO_Input" dataDxfId="595" dataCellStyle="Input"/>
  </tableColumns>
  <tableStyleInfo name="Default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42B58B-E9F1-491B-8349-034E16DC1DC1}" name="Input_TUEnv_Actual" displayName="Input_TUEnv_Actual" ref="C193:AC199" totalsRowShown="0" headerRowDxfId="594" dataDxfId="592" headerRowBorderDxfId="593" tableBorderDxfId="591" headerRowCellStyle="Table col heading">
  <tableColumns count="27">
    <tableColumn id="2" xr3:uid="{C2979B50-E72C-4905-B762-B1FBD0FC7D84}" name="Cost element" dataDxfId="590" dataCellStyle="Table cell"/>
    <tableColumn id="1" xr3:uid="{7606E00A-72BB-46DC-B82D-8B19AE194ECC}" name="Cost item" dataDxfId="589" dataCellStyle="Table cell"/>
    <tableColumn id="3" xr3:uid="{FB39537C-58C4-45FA-AE28-8587403EDED7}" name="Fixed/Variable" dataDxfId="588" dataCellStyle="Table cell"/>
    <tableColumn id="4" xr3:uid="{37BADC74-6350-4579-AA1C-AA157FB39315}" name="Unit" dataDxfId="587" dataCellStyle="Table cell"/>
    <tableColumn id="7" xr3:uid="{9AD583A2-1E35-44CE-8B8E-BFB97CF15160}" name="Customer type" dataDxfId="586" dataCellStyle="Table cell"/>
    <tableColumn id="11" xr3:uid="{390D42D7-0AA8-418B-B847-28B79F13CBB2}" name="[blank]" dataDxfId="585" dataCellStyle="Hard-coded"/>
    <tableColumn id="10" xr3:uid="{91C3BF11-950D-4602-BB8A-7802100863A1}" name="F-PreviousVDO_Input" dataDxfId="584" dataCellStyle="Input"/>
    <tableColumn id="18" xr3:uid="{B2048DC2-6F10-41D7-8FC9-8986E242181A}" name="[blank]2" dataDxfId="583" dataCellStyle="Input"/>
    <tableColumn id="5" xr3:uid="{7C467E70-DBCE-4B3B-9E84-9672A5BB6AB5}" name="VD-PreviousVDO_Input" dataDxfId="582" dataCellStyle="Input"/>
    <tableColumn id="19" xr3:uid="{842BDF6A-C7BC-47E3-BF9D-051065679011}" name="[blank]3" dataDxfId="581" dataCellStyle="Input"/>
    <tableColumn id="6" xr3:uid="{B4F80362-EB75-43DD-B60D-B5C1D9FC2436}" name="VF-PreviousVDO_Input" dataDxfId="580" dataCellStyle="Input"/>
    <tableColumn id="20" xr3:uid="{C219D0BD-B805-471F-B969-AEF87A8BEEF1}" name="[blank]4" dataDxfId="579" dataCellStyle="Input"/>
    <tableColumn id="8" xr3:uid="{B9E9AE44-0D3C-445F-A128-E99F54F5ABB6}" name="D-PreviousVDO_Input" dataDxfId="578" dataCellStyle="Input"/>
    <tableColumn id="21" xr3:uid="{204E4A50-0E64-47BA-A158-797E82655F03}" name="[blank]5" dataDxfId="577"/>
    <tableColumn id="9" xr3:uid="{9E2ECB50-146D-4C5C-91ED-CC4439548BF4}" name="F-PreviousVDO_Input2" dataDxfId="576" dataCellStyle="Input"/>
    <tableColumn id="22" xr3:uid="{8E1C694F-B8AA-4D35-8050-C2CEC6494048}" name="[blank]6" dataDxfId="575"/>
    <tableColumn id="12" xr3:uid="{6F7733AE-138E-44CF-B1A0-BFC1AB0FAF0D}" name="D-PreviousVDO_Input2" dataDxfId="574" dataCellStyle="Input"/>
    <tableColumn id="23" xr3:uid="{75522056-26BC-44B2-999E-DCF9A8367841}" name="[blank]7" dataDxfId="573"/>
    <tableColumn id="13" xr3:uid="{C1FBE4D8-13D1-41FD-8772-4A1C908157C5}" name="F-PreviousVDO_Input3" dataDxfId="572" dataCellStyle="Input"/>
    <tableColumn id="24" xr3:uid="{617A2B6B-0C8A-4F4B-87AC-35FCB93CD965}" name="[blank]8" dataDxfId="571" dataCellStyle="Input"/>
    <tableColumn id="14" xr3:uid="{94E3EB60-64D2-4E27-BEB3-DABF613C5A5C}" name="D-CurrentVDO_Input" dataDxfId="570" dataCellStyle="Input"/>
    <tableColumn id="25" xr3:uid="{8BDAEE17-2A45-4271-AC42-C22807967F66}" name="[blank]9" dataDxfId="569" dataCellStyle="Input"/>
    <tableColumn id="15" xr3:uid="{A7A9FD3E-8FD4-45D1-BA2C-FB33EC145E7C}" name="F-CurrentVDO_Input" dataDxfId="568" dataCellStyle="Input"/>
    <tableColumn id="26" xr3:uid="{5FF4A85D-E320-4235-8E9D-F93B8E66DFBE}" name="[blank]10" dataDxfId="567" dataCellStyle="Input"/>
    <tableColumn id="16" xr3:uid="{D15C0BB4-88E7-4AFE-A4F1-512507E49F84}" name="D-NextVDO_Input" dataDxfId="566" dataCellStyle="Input">
      <calculatedColumnFormula>INDEX(Input_ForRateCalc[],MATCH(Input_TUEnv_Actual[[#This Row],[Cost item]],Input_ForRateCalc[Cost item],0),MATCH(AA$191,$C$15:$AA$15,0))</calculatedColumnFormula>
    </tableColumn>
    <tableColumn id="28" xr3:uid="{C91C296C-1321-486C-A5DC-069F82B5595C}" name="[blank]11" dataDxfId="565" dataCellStyle="Input"/>
    <tableColumn id="17" xr3:uid="{7EA0DE3D-42F7-415A-BB41-5ED37A030AD8}" name="F-NextVDO_Input" dataDxfId="564" dataCellStyle="Input"/>
  </tableColumns>
  <tableStyleInfo name="Default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15BD5932-7FB5-4CCD-B50A-1852C0628C64}" name="Input_DecisionActual" displayName="Input_DecisionActual" ref="C222:E233" totalsRowShown="0" headerRowBorderDxfId="563" tableBorderDxfId="562" totalsRowBorderDxfId="561">
  <tableColumns count="3">
    <tableColumn id="1" xr3:uid="{5AFC207A-A190-4EF0-9F07-F0B6DD207690}" name="VDO period" dataDxfId="560" dataCellStyle="Hard-coded"/>
    <tableColumn id="2" xr3:uid="{BA40EB1C-8734-45B1-BEF3-B4AAB668727E}" name="Actual" dataDxfId="559" dataCellStyle="Hard-coded"/>
    <tableColumn id="3" xr3:uid="{EC536779-C89D-4795-9638-A578F8187C0C}" name="Decision" dataDxfId="558" dataCellStyle="Hard-coded"/>
  </tableColumns>
  <tableStyleInfo name="Default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C5B26F8-6641-412E-849B-B69FADA0CDB5}" name="Input_TU_Periods" displayName="Input_TU_Periods" ref="C205:AC207" totalsRowShown="0" headerRowDxfId="557" headerRowBorderDxfId="556" tableBorderDxfId="555" headerRowCellStyle="Table col heading">
  <tableColumns count="27">
    <tableColumn id="12" xr3:uid="{4A8F5994-E48F-4F05-BD7D-C9B3555EBC97}" name="Item" dataDxfId="554" dataCellStyle="Table cell"/>
    <tableColumn id="1" xr3:uid="{8FCB2327-57E7-4735-A4C5-C5DE9A2465D7}" name="Item2" dataDxfId="553" dataCellStyle="Table cell"/>
    <tableColumn id="2" xr3:uid="{B9AC8812-3C0A-4350-A58B-47B777CCB01C}" name="Unit" dataDxfId="552" dataCellStyle="Table cell"/>
    <tableColumn id="27" xr3:uid="{80E2A97F-186B-4A39-8C8F-0EA6E6885532}" name="[blank]" dataDxfId="551" dataCellStyle="Table cell"/>
    <tableColumn id="26" xr3:uid="{E54E876A-401D-4B58-8F47-4B1B68233A73}" name="[blank]2" dataDxfId="550" dataCellStyle="Table cell"/>
    <tableColumn id="25" xr3:uid="{1B2A8C11-A07E-4433-A3E3-E4CFE7DA0D75}" name="[blank]3" dataDxfId="549" dataCellStyle="Hard-coded"/>
    <tableColumn id="3" xr3:uid="{0345C767-3ED1-4D4E-A3EA-93A995889499}" name="F-PreviousVDO_Input" dataCellStyle="Input"/>
    <tableColumn id="15" xr3:uid="{439E214C-9EEC-4D77-83BC-B13536AA6603}" name="[blank]4" dataCellStyle="Input"/>
    <tableColumn id="4" xr3:uid="{46CC919D-E1F1-4AF2-AB8B-2719E145382B}" name="VD-PreviousVDO_Input" dataCellStyle="Input"/>
    <tableColumn id="16" xr3:uid="{46A62703-196D-48D2-B5CE-AA3A32629676}" name="[blank]5" dataCellStyle="Input"/>
    <tableColumn id="5" xr3:uid="{EB10D9F4-15DC-43A5-9786-20AB218AB079}" name="VF-PreviousVDO_Input" dataCellStyle="Input"/>
    <tableColumn id="17" xr3:uid="{961C1FEF-F004-4124-8BDC-8B7F55B02666}" name="[blank]6" dataCellStyle="Input"/>
    <tableColumn id="6" xr3:uid="{84360244-BED1-48A8-9B1E-452A67AB9B79}" name="D-PreviousVDO_Input" dataCellStyle="Input"/>
    <tableColumn id="18" xr3:uid="{BDBD9C6D-D8B0-46FB-8A0C-E96DD834FE7E}" name="[blank]7" dataCellStyle="Input"/>
    <tableColumn id="7" xr3:uid="{254EE791-2BB6-4600-A16D-B6C42632EC43}" name="F-PreviousVDO_Input2" dataDxfId="548" dataCellStyle="Input"/>
    <tableColumn id="19" xr3:uid="{7FB1E33D-76D0-4D1B-9AC9-7F24A52EBFA1}" name="[blank]8" dataCellStyle="Input"/>
    <tableColumn id="8" xr3:uid="{2ADFBA22-2281-4A62-A379-A89015C8DD9C}" name="D-PreviousVDO_Input2" dataCellStyle="Input"/>
    <tableColumn id="20" xr3:uid="{5C1EA508-D4F7-4A31-84B9-FBDD309A8FE6}" name="[blank]9" dataCellStyle="Input"/>
    <tableColumn id="9" xr3:uid="{D712A1E2-F321-4116-9B42-8E12F26089FB}" name="F-PreviousVDO_Input3" dataCellStyle="Input"/>
    <tableColumn id="21" xr3:uid="{77DDC558-DD9B-460D-8E21-BA1865DA822C}" name="[blank]10" dataCellStyle="Input"/>
    <tableColumn id="10" xr3:uid="{8A7D08F3-BFB1-47BB-8712-809C908D992D}" name="D-CurrentVDO_Input" dataDxfId="547" dataCellStyle="Input"/>
    <tableColumn id="22" xr3:uid="{E7D15C40-F465-4C4F-B282-7C5EC7870E49}" name="[blank]11" dataCellStyle="Input"/>
    <tableColumn id="11" xr3:uid="{2A253BF2-2A19-47D4-9CB9-D617D24C195B}" name="F-CurrentVDO_Input" dataDxfId="546" dataCellStyle="Input"/>
    <tableColumn id="23" xr3:uid="{0A1D7B86-B1F8-4336-A2E4-B0DC3302EA11}" name="[blank]12" dataCellStyle="Input"/>
    <tableColumn id="13" xr3:uid="{B83088F8-C4B4-4396-98FB-923FA0A6D841}" name="D-NextVDO_Input" dataCellStyle="Input"/>
    <tableColumn id="24" xr3:uid="{91A4D76A-307D-4C03-A2CF-B45B6492C116}" name="[blank]13" dataCellStyle="Input"/>
    <tableColumn id="14" xr3:uid="{22A6B960-1215-4350-BE64-62B77B1FA8A1}" name="F-NextVDO_Input" dataCellStyle="Input"/>
  </tableColumns>
  <tableStyleInfo name="Default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ABCDFCA7-C9BC-4264-B4D0-8CDF4236827C}" name="Year_IN" displayName="Year_IN" ref="C8:G10" totalsRowShown="0" headerRowDxfId="545" tableBorderDxfId="544" headerRowCellStyle="Table col heading">
  <autoFilter ref="C8:G10" xr:uid="{ABCDFCA7-C9BC-4264-B4D0-8CDF4236827C}"/>
  <tableColumns count="5">
    <tableColumn id="1" xr3:uid="{A9633572-9E28-4C25-9B18-02C08596C210}" name="Description" dataDxfId="543"/>
    <tableColumn id="2" xr3:uid="{5C540F41-9553-4798-845D-6210A635C5FB}" name="Period type" dataDxfId="542"/>
    <tableColumn id="3" xr3:uid="{A3523E80-6276-4279-8D57-27D44C5AA6F0}" name="Decision" dataDxfId="541" dataCellStyle="Input"/>
    <tableColumn id="4" xr3:uid="{D48C9739-1753-4EE7-8E60-1D179D803DD8}" name="Start date" dataDxfId="540" dataCellStyle="Input"/>
    <tableColumn id="5" xr3:uid="{632E9A14-BCCC-4DE7-8152-FA63855EFDE4}" name="End date" dataDxfId="539" dataCellStyle="Input"/>
  </tableColumns>
  <tableStyleInfo name="Default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C355DAC7-8CE5-463B-8A69-8656BA62ECB1}" name="Input_TU_YesNo" displayName="Input_TU_YesNo" ref="C212:AC219" totalsRowShown="0" dataDxfId="537" headerRowBorderDxfId="538" tableBorderDxfId="536" totalsRowBorderDxfId="535">
  <autoFilter ref="C212:AC219" xr:uid="{C355DAC7-8CE5-463B-8A69-8656BA62ECB1}"/>
  <tableColumns count="27">
    <tableColumn id="1" xr3:uid="{D8CB4137-94C1-4F0B-8FDD-EE1A3B14420B}" name="Cost element" dataDxfId="534" dataCellStyle="Table cell"/>
    <tableColumn id="2" xr3:uid="{4713FF6C-D02E-4877-B6B4-B113B5B7D111}" name="Component" dataDxfId="533" dataCellStyle="Table cell"/>
    <tableColumn id="3" xr3:uid="{2F836FB7-256A-4043-9402-47BB4A54C3CD}" name="[blank]" dataDxfId="532" dataCellStyle="Table cell"/>
    <tableColumn id="17" xr3:uid="{9586C87A-8453-405D-8D94-21868D8D8FD8}" name="[blank]2" dataDxfId="531" dataCellStyle="Table cell"/>
    <tableColumn id="16" xr3:uid="{6D8334EA-2D51-42C5-BCEF-B1D4F301BB49}" name="[blank]3" dataDxfId="530" dataCellStyle="Table cell"/>
    <tableColumn id="15" xr3:uid="{4A700BD8-4BCD-4C6E-8A42-649D555F1DA9}" name="[blank]4" dataDxfId="529" dataCellStyle="Hard-coded"/>
    <tableColumn id="4" xr3:uid="{FC30291C-B2EC-4295-AB4C-A7A4F56E4E86}" name="F-PreviousVDO_Input" dataDxfId="528" dataCellStyle="Input"/>
    <tableColumn id="18" xr3:uid="{B261ECA7-7752-425F-ABA3-D2064DAA6842}" name="[blank]5" dataDxfId="527" dataCellStyle="Input"/>
    <tableColumn id="5" xr3:uid="{5E8626D2-AB2C-4060-BB4B-7A776EB8F027}" name="VD-PreviousVDO_Input" dataDxfId="526" dataCellStyle="Input"/>
    <tableColumn id="19" xr3:uid="{08326EC5-A024-42CF-863D-60A855CF3FEA}" name="[blank]6" dataDxfId="525" dataCellStyle="Input"/>
    <tableColumn id="6" xr3:uid="{5681205C-007D-4AEF-BB96-39C72D1A51D2}" name="VF-PreviousVDO_Input" dataDxfId="524" dataCellStyle="Input"/>
    <tableColumn id="20" xr3:uid="{CC2450A9-D99F-460F-96BC-2620C3E859FD}" name="[blank]7" dataDxfId="523" dataCellStyle="Input"/>
    <tableColumn id="7" xr3:uid="{C06B0BB8-A8F4-464D-907A-B9E4BC393805}" name="D-PreviousVDO_Input" dataDxfId="522" dataCellStyle="Input"/>
    <tableColumn id="21" xr3:uid="{D7528D32-5AC5-44B3-8CA7-C1C5972EE063}" name="[blank]8" dataDxfId="521" dataCellStyle="Input"/>
    <tableColumn id="8" xr3:uid="{01D7B7AA-26F1-4847-8A6D-11C985991A5C}" name="F-PreviousVDO_Input2" dataDxfId="520" dataCellStyle="Input"/>
    <tableColumn id="22" xr3:uid="{85B1F1AA-F539-4BE3-BBEE-3C59B6C753A5}" name="[blank]9" dataDxfId="519" dataCellStyle="Input"/>
    <tableColumn id="9" xr3:uid="{FEB941AC-0BDD-47DF-861F-CEA9DA84176B}" name="D-PreviousVDO_Input2" dataDxfId="518" dataCellStyle="Input"/>
    <tableColumn id="23" xr3:uid="{7C2A9E91-6D6B-4C83-9C46-425004B29789}" name="[blank]10" dataDxfId="517" dataCellStyle="Input"/>
    <tableColumn id="10" xr3:uid="{8EF24A7A-4A70-480A-84A7-C52BB8418505}" name="F-PreviousVDO_Input3" dataDxfId="516" dataCellStyle="Input"/>
    <tableColumn id="24" xr3:uid="{8DBAEC19-FEB5-4C43-9B5C-AB68873D729A}" name="[blank]11" dataDxfId="515" dataCellStyle="Input"/>
    <tableColumn id="11" xr3:uid="{9D57F16E-D1C0-4734-A8E6-725611069D92}" name="D-CurrentVDO_Input" dataDxfId="514" dataCellStyle="Input"/>
    <tableColumn id="25" xr3:uid="{D3C51D6E-985B-4861-A8A7-BDDCF24EA23F}" name="[blank]12" dataDxfId="513" dataCellStyle="Input"/>
    <tableColumn id="12" xr3:uid="{145EEE36-7755-4145-B615-67F03062FF26}" name="F-CurrentVDO_Input" dataDxfId="512" dataCellStyle="Input"/>
    <tableColumn id="26" xr3:uid="{84B238C9-7C2A-4050-8E0C-21D32F897F9C}" name="[blank]13" dataDxfId="511" dataCellStyle="Input"/>
    <tableColumn id="13" xr3:uid="{85658039-E169-4A68-9D96-4D4CDE03111A}" name="D-NextVDO_Input" dataDxfId="510" dataCellStyle="Input"/>
    <tableColumn id="27" xr3:uid="{A81A4F97-F5D7-49D3-8E74-5D4B678EF941}" name="[blank]14" dataDxfId="509" dataCellStyle="Input"/>
    <tableColumn id="14" xr3:uid="{FC44ACEE-294A-4C39-9005-16805E52B063}" name="F-NextVDO_Input" dataDxfId="508" dataCellStyle="Input"/>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E96751-A1E6-4DEE-B2B9-0F040E8F63EF}" name="Input_Usage" displayName="Input_Usage" ref="C149:AC186" totalsRowShown="0" headerRowDxfId="507" headerRowBorderDxfId="506" tableBorderDxfId="505" headerRowCellStyle="Table col heading">
  <autoFilter ref="C149:AC186" xr:uid="{A8CBA6DB-0725-4AA8-918D-36864191E63C}">
    <filterColumn colId="0">
      <filters>
        <filter val="Residential - medium"/>
        <filter val="Small business - medium"/>
      </filters>
    </filterColumn>
  </autoFilter>
  <tableColumns count="27">
    <tableColumn id="1" xr3:uid="{59724C2C-A166-49CF-BDB5-A76DD8676FC3}" name="Profile name" dataCellStyle="Table cell"/>
    <tableColumn id="2" xr3:uid="{62ED141C-4F5B-422D-B430-A67E0474CA3D}" name="Usage type" dataCellStyle="Table cell"/>
    <tableColumn id="3" xr3:uid="{07131193-CC4C-4576-890F-C94EB38C9100}" name="Ref" dataCellStyle="Table cell">
      <calculatedColumnFormula>Input_Usage[[#This Row],[Profile name]]&amp;" - "&amp;Input_Usage[[#This Row],[Usage type]]</calculatedColumnFormula>
    </tableColumn>
    <tableColumn id="8" xr3:uid="{16817664-CDEB-415C-99EE-275702065598}" name="Customer Type" dataDxfId="504" dataCellStyle="Table cell"/>
    <tableColumn id="6" xr3:uid="{F4B24122-E533-4718-A2AE-9A2459EEEC0D}" name="Tariff type" dataDxfId="503" dataCellStyle="Table cell"/>
    <tableColumn id="4" xr3:uid="{FD6BEA00-FE3A-42E8-8E5A-DD4ABDCF49AC}" name="Unit" dataDxfId="502" dataCellStyle="Hard-coded"/>
    <tableColumn id="9" xr3:uid="{6CDD316C-3B29-4CEC-9CCD-D147749461C1}" name="F-PreviousVDO_Input" dataDxfId="501" dataCellStyle="Hard-coded"/>
    <tableColumn id="18" xr3:uid="{1EB2EEC0-DD87-4CA2-89CC-A3C0D02C51DC}" name="[blank]2" dataDxfId="500" dataCellStyle="Hard-coded"/>
    <tableColumn id="5" xr3:uid="{C361A281-3CA0-4144-918C-AEA2C11D4EB2}" name="VD-PreviousVDO_Input" dataDxfId="499" dataCellStyle="Input"/>
    <tableColumn id="19" xr3:uid="{0C0787CD-FB2E-4F01-8327-4BEE52EBD78E}" name="[blank]3" dataDxfId="498" dataCellStyle="Input"/>
    <tableColumn id="10" xr3:uid="{2410741E-5CE5-456C-A356-652B30948C54}" name="VF-PreviousVDO_Input" dataDxfId="497" dataCellStyle="Input"/>
    <tableColumn id="20" xr3:uid="{6C9055AE-0E33-4710-9F0E-F5946DB8D49E}" name="[blank]4" dataDxfId="496" dataCellStyle="Input"/>
    <tableColumn id="11" xr3:uid="{F7854B3F-CA63-497E-B7DD-24F6A26E4662}" name="D-PreviousVDO_Input" dataDxfId="495" dataCellStyle="Input"/>
    <tableColumn id="21" xr3:uid="{13B8B487-2899-4B16-8C69-77EF925310DA}" name="[blank]5" dataDxfId="494" dataCellStyle="Input"/>
    <tableColumn id="12" xr3:uid="{CA8A5057-1374-4829-9D1E-D3E16BD46339}" name="F-PreviousVDO_Input2" dataDxfId="493" dataCellStyle="Input"/>
    <tableColumn id="22" xr3:uid="{2D111032-921E-4CFC-8F1A-D1AA4240A76D}" name="[blank]6" dataDxfId="492" dataCellStyle="Input"/>
    <tableColumn id="7" xr3:uid="{C01DDC59-A45A-4996-B136-A6B979D84972}" name="D-PreviousVDO_Input2" dataDxfId="491" dataCellStyle="Input"/>
    <tableColumn id="23" xr3:uid="{99EFB47E-19CE-4115-ABB4-EC622557EBF2}" name="[blank]7" dataDxfId="490" dataCellStyle="Input"/>
    <tableColumn id="13" xr3:uid="{976C8AB7-C3C5-46DE-B8C1-C998755F48D8}" name="F-PreviousVDO_Input3" dataDxfId="489" dataCellStyle="Input"/>
    <tableColumn id="24" xr3:uid="{7FC3CF5F-9F0A-48A9-99EE-1CD2C0B335B4}" name="[blank]8" dataDxfId="488" dataCellStyle="Input"/>
    <tableColumn id="14" xr3:uid="{D272C3B0-FBF9-40DA-B6C7-62B1121A774A}" name="D-CurrentVDO_Input" dataDxfId="487" dataCellStyle="Input"/>
    <tableColumn id="25" xr3:uid="{20CBA90C-2205-424E-AAC8-BB66EFAF429D}" name="[blank]9" dataDxfId="486" dataCellStyle="Input"/>
    <tableColumn id="15" xr3:uid="{8BD9FB8E-6A4F-46F1-B465-894946B36C55}" name="F-CurrentVDO_Input" dataDxfId="485" dataCellStyle="Input"/>
    <tableColumn id="26" xr3:uid="{036B0F82-40F9-417E-9F2F-39E371A73879}" name="[blank]10" dataDxfId="484" dataCellStyle="Input"/>
    <tableColumn id="16" xr3:uid="{D4BCAC32-D5E7-4DA8-A2CB-65BD64DF8E62}" name="D-NextVDO_Input" dataDxfId="483" dataCellStyle="Input"/>
    <tableColumn id="27" xr3:uid="{D47FC9AD-A306-48CD-830B-6A7175245430}" name="[blank]11" dataDxfId="482" dataCellStyle="Input"/>
    <tableColumn id="17" xr3:uid="{30B9DDC8-D3C4-4B4F-9471-E94025DBCBF7}" name="F-NextVDO_Input" dataDxfId="481" dataCellStyle="Input"/>
  </tableColumns>
  <tableStyleInfo name="Default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04957F-79CC-4A0B-9F3C-7ED44B133D9D}" name="VDOdecisions" displayName="VDOdecisions" ref="C30:D35" tableType="queryTable" totalsRowShown="0" dataDxfId="480" dataCellStyle="Auto-populated">
  <tableColumns count="2">
    <tableColumn id="1" xr3:uid="{E095E8C5-EFB3-403E-AA31-BE5930A54881}" uniqueName="1" name="VDO decision" queryTableFieldId="1" dataDxfId="479" dataCellStyle="Auto-populated"/>
    <tableColumn id="2" xr3:uid="{2FB823D1-94AB-43A2-9393-44A217C3B50C}" uniqueName="2" name="Index" queryTableFieldId="2" dataDxfId="478" dataCellStyle="Auto-populated"/>
  </tableColumns>
  <tableStyleInfo name="Default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D37C0D-F81D-404D-9D4D-999445A3BF5F}" name="CPI" displayName="CPI" ref="C31:D79" totalsRowShown="0" headerRowDxfId="477" dataDxfId="475" headerRowBorderDxfId="476" tableBorderDxfId="474">
  <tableColumns count="2">
    <tableColumn id="1" xr3:uid="{9AA9E4FD-AEA6-406E-B536-E0A3240360A5}" name="Period" dataDxfId="473" dataCellStyle="Table cell"/>
    <tableColumn id="3" xr3:uid="{9BE9725C-E6DE-44E0-8817-4E84A297FEDC}" name="Indice" dataDxfId="472" dataCellStyle="Input"/>
  </tableColumns>
  <tableStyleInfo name="Default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D98B252-0493-456C-9FF8-D3A3C4E4B6C1}" name="Input_CPI" displayName="Input_CPI" ref="C7:E21" totalsRowShown="0" headerRowDxfId="471" dataDxfId="469" headerRowBorderDxfId="470" tableBorderDxfId="468">
  <tableColumns count="3">
    <tableColumn id="1" xr3:uid="{E8446AF5-A1A4-4342-A74F-83AC0A1E0759}" name="Decision paper" dataDxfId="467" dataCellStyle="Table cell"/>
    <tableColumn id="2" xr3:uid="{59E16007-75E9-4AF1-B2EE-5F57503967A5}" name="Date" dataDxfId="466" dataCellStyle="Hard-coded"/>
    <tableColumn id="3" xr3:uid="{B00403BA-623F-461C-A57F-1A628BADCABC}" name="Indice" dataDxfId="465" dataCellStyle="Auto-populated">
      <calculatedColumnFormula>IFERROR(INDEX(CPI[Indice],MATCH(D8,CPI[Period],0),1),"-")</calculatedColumnFormula>
    </tableColumn>
  </tableColumns>
  <tableStyleInfo name="Default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89C9C582-8686-4E87-8AEB-A24AEF036B26}" name="Input_CostItemCPI" displayName="Input_CostItemCPI" ref="C84:N100" totalsRowShown="0">
  <tableColumns count="12">
    <tableColumn id="1" xr3:uid="{0D014813-4592-4A76-9F85-7E31C35F5F07}" name="Cost item"/>
    <tableColumn id="2" xr3:uid="{43EA9C8A-818D-4C08-B5BB-65B2A872736C}" name="VDO 2021 - Final" dataCellStyle="Input"/>
    <tableColumn id="3" xr3:uid="{D576BC92-5639-4C2B-89E7-C1A9D3C71B8B}" name="VDO 2021 - Variation draft" dataCellStyle="Input"/>
    <tableColumn id="4" xr3:uid="{CB4AA906-4EC4-4ECA-BEED-A4D88472738A}" name="VDO 2021 - Variation final" dataCellStyle="Input"/>
    <tableColumn id="5" xr3:uid="{9C198365-D838-4E7C-8732-383A5C0B4BC2}" name="VDO 2022 - Draft" dataCellStyle="Input"/>
    <tableColumn id="6" xr3:uid="{42D201D9-C45B-416B-9904-1345845CA9AA}" name="VDO 2022 - Final" dataCellStyle="Input"/>
    <tableColumn id="7" xr3:uid="{DAC0FFD0-79FB-42CE-9275-CB0712C0D7E2}" name="VDO 2022-23 - Draft" dataCellStyle="Input"/>
    <tableColumn id="8" xr3:uid="{BE6F0D71-6FFB-4DF9-A322-B20C81A650EE}" name="VDO 2022-23 - Final" dataDxfId="464" dataCellStyle="Input"/>
    <tableColumn id="9" xr3:uid="{AC2E8093-5F0C-40B5-B193-5B40228DB2EF}" name="VDO 2023-24 - Draft" dataDxfId="463" dataCellStyle="Input"/>
    <tableColumn id="10" xr3:uid="{882ED173-DAA0-4C31-81D6-EC9865415F76}" name="VDO 2023-24 - Final" dataDxfId="462" dataCellStyle="Input"/>
    <tableColumn id="11" xr3:uid="{D9699B1A-A892-4562-84F8-A016147D7629}" name="VDO 2024-25 - Draft" dataDxfId="461" dataCellStyle="Input"/>
    <tableColumn id="12" xr3:uid="{18D73D59-15CC-4F15-9978-A0549929C00E}" name="VDO 2024-25 - Final" dataDxfId="460" dataCellStyle="Input"/>
  </tableColumns>
  <tableStyleInfo name="Default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D4BA07-FFEF-46D7-8C6B-485F53BD797C}" name="Calc_TUV_Env_1" displayName="Calc_TUV_Env_1" ref="C15:O54" totalsRowShown="0" headerRowDxfId="459" headerRowBorderDxfId="458" tableBorderDxfId="457" headerRowCellStyle="Table col heading" dataCellStyle="Table cell">
  <tableColumns count="13">
    <tableColumn id="1" xr3:uid="{9A3E1522-EF60-458C-A033-8259CC991250}" name="Cost item" dataCellStyle="Table cell"/>
    <tableColumn id="3" xr3:uid="{AA6A5485-9931-42FB-A21B-7887DFCCA014}" name="VDO decision" dataCellStyle="Table cell"/>
    <tableColumn id="11" xr3:uid="{63469E02-A8E6-4904-A4D1-AA605090A9A1}" name="Decision/Actual" dataCellStyle="Table cell"/>
    <tableColumn id="13" xr3:uid="{6A4C01CA-5362-400A-B621-C790E4ECD057}" name="Decision ref" dataCellStyle="Table cell"/>
    <tableColumn id="4" xr3:uid="{8ABEC6A4-07CC-490E-98FE-DD358CAF5DEF}" name="Pass through (Yes/No)" dataCellStyle="Table cell"/>
    <tableColumn id="12" xr3:uid="{9AA432CC-A2AE-4FBD-93D9-8298E3AA8C5C}" name="Fixed/Variable" dataCellStyle="Table cell"/>
    <tableColumn id="2" xr3:uid="{83818C8B-F883-42B7-993F-A248AF1DD74B}" name="Unit" dataCellStyle="Table cell"/>
    <tableColumn id="5" xr3:uid="{768912C1-1664-4D27-8D20-D52821CA2B28}" name="Customer type" dataCellStyle="Table cell"/>
    <tableColumn id="6" xr3:uid="{04DDD5E9-508C-40C4-947C-1D357D975B8B}" name="Ausnet" dataDxfId="456" dataCellStyle="Table cell"/>
    <tableColumn id="7" xr3:uid="{CD0C679D-D835-4294-85E9-654B7B6E8BE3}" name="Citipower" dataDxfId="455" dataCellStyle="Table cell"/>
    <tableColumn id="8" xr3:uid="{02ABE665-7668-45F8-AD39-37CF4EF95002}" name="Jemena" dataDxfId="454" dataCellStyle="Table cell"/>
    <tableColumn id="9" xr3:uid="{79A5E329-7BA6-4A9F-8AC8-3B57AFA0DAD3}" name="Powercor" dataDxfId="453" dataCellStyle="Table cell"/>
    <tableColumn id="10" xr3:uid="{1C09CFC8-36A6-407C-B07B-AAF64193F92A}" name="United Energy" dataDxfId="452" dataCellStyle="Table cell"/>
  </tableColumns>
  <tableStyleInfo name="Default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8368D-D2AA-4ABB-80C1-FE62922A7BBF}" name="Calc_TUV_Env_2" displayName="Calc_TUV_Env_2" ref="C234:O273" totalsRowShown="0" headerRowDxfId="451" headerRowBorderDxfId="450" tableBorderDxfId="449" headerRowCellStyle="Table col heading" dataCellStyle="Table cell">
  <tableColumns count="13">
    <tableColumn id="1" xr3:uid="{DEAB59F0-3313-48E1-848D-A0C5FC8C4A7D}" name="Cost item" dataCellStyle="Table cell"/>
    <tableColumn id="11" xr3:uid="{07468E5A-1C05-4869-8028-31B5FD6FE643}" name="VDO decision" dataCellStyle="Table cell"/>
    <tableColumn id="12" xr3:uid="{E0CA252D-08A0-47E0-AE7D-A94CDBF23AEB}" name="Decision/Actual" dataCellStyle="Table cell"/>
    <tableColumn id="13" xr3:uid="{8E626171-48B0-4F76-8FBA-CD121EEF8146}" name="Decision ref" dataCellStyle="Table cell"/>
    <tableColumn id="4" xr3:uid="{90758148-81F3-46AE-977E-3B565EE1655E}" name="Pass through (Yes/No)" dataCellStyle="Table cell"/>
    <tableColumn id="3" xr3:uid="{F3E9F982-5696-4FC0-9018-6739485A8E32}" name="Fixed/Variable" dataCellStyle="Table cell"/>
    <tableColumn id="2" xr3:uid="{E2711737-C5E5-4DFE-B4D7-6C39AB9F3BBA}" name="Unit" dataCellStyle="Table cell"/>
    <tableColumn id="5" xr3:uid="{F1CEFF4A-CFB0-4FB8-B8F7-00ACC7559123}" name="Customer type" dataCellStyle="Table cell"/>
    <tableColumn id="6" xr3:uid="{19C836A4-81F0-4E02-8F62-124FF79FB078}" name="Ausnet" dataDxfId="448" dataCellStyle="Table cell"/>
    <tableColumn id="7" xr3:uid="{AEE24C25-A8BC-420E-B521-18899E5AA37E}" name="Citipower" dataDxfId="447" dataCellStyle="Table cell"/>
    <tableColumn id="8" xr3:uid="{AEB8CFC9-76A8-427E-A724-08B3A335C7AF}" name="Jemena" dataDxfId="446" dataCellStyle="Table cell"/>
    <tableColumn id="9" xr3:uid="{96BC78E1-488C-466C-AC22-9843F217394B}" name="Powercor" dataDxfId="445" dataCellStyle="Table cell"/>
    <tableColumn id="10" xr3:uid="{745E68ED-8623-427C-AE81-7FDF8DAA9F5A}" name="United Energy" dataDxfId="444" dataCellStyle="Table cell"/>
  </tableColumns>
  <tableStyleInfo name="Default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6B3887C2-F913-4ADF-BCE5-B4DB6FECDE42}" name="Calc_TUV_Net_1" displayName="Calc_TUV_Net_1" ref="C100:O219" totalsRowShown="0" headerRowDxfId="443" headerRowBorderDxfId="442" tableBorderDxfId="441" headerRowCellStyle="Table col heading" dataCellStyle="Table cell">
  <tableColumns count="13">
    <tableColumn id="1" xr3:uid="{C8BD7E1E-1DD8-46D7-A978-1371F62E5C22}" name="Cost item" dataCellStyle="Table cell"/>
    <tableColumn id="3" xr3:uid="{BB851345-3385-4E9C-BBF0-1BB75D6986E3}" name="VDO decision" dataCellStyle="Table cell"/>
    <tableColumn id="11" xr3:uid="{2B5E42B7-64E5-4CF9-903A-7E0F07472F89}" name="Decision/Actual" dataDxfId="440" dataCellStyle="Table cell"/>
    <tableColumn id="13" xr3:uid="{97AFA7C6-4729-480D-A539-A29F6733B180}" name="Decision ref" dataDxfId="439" dataCellStyle="Table cell"/>
    <tableColumn id="4" xr3:uid="{6C80B2D3-AB24-44F7-9DCD-E09360E88A84}" name="Pass through (Yes/No)" dataCellStyle="Table cell"/>
    <tableColumn id="12" xr3:uid="{FAF72939-7F43-4CA3-84B9-7001023E887A}" name="Fixed/Variable" dataCellStyle="Table cell"/>
    <tableColumn id="2" xr3:uid="{2B3E2C74-E92B-4B9B-BB93-24F7CEA69A4D}" name="Unit" dataCellStyle="Table cell"/>
    <tableColumn id="5" xr3:uid="{4C99CA6A-B8ED-4428-9001-5AF3B5520E55}" name="Customer type" dataCellStyle="Table cell"/>
    <tableColumn id="6" xr3:uid="{CF828979-524A-4DF9-B9B9-A6566CC50F44}" name="Ausnet" dataDxfId="438" dataCellStyle="Table cell">
      <calculatedColumnFormula>INDEX(Input_ForRateCalc[],MATCH($C101&amp;" - "&amp;K$100,Input_ForRateCalc[Cost item],0),MATCH(#REF!,Inputs!$C$15:$Q$15,0))</calculatedColumnFormula>
    </tableColumn>
    <tableColumn id="7" xr3:uid="{E72609C9-3164-4E3F-A82E-30ED89F2C915}" name="Citipower" dataDxfId="437" dataCellStyle="Table cell"/>
    <tableColumn id="8" xr3:uid="{ACFA6199-47C9-4850-BA0D-492483CB2DEB}" name="Jemena" dataDxfId="436" dataCellStyle="Table cell"/>
    <tableColumn id="9" xr3:uid="{0CCEDAC3-4F03-43F7-BBA9-1A2EBDE5BE72}" name="Powercor" dataDxfId="435" dataCellStyle="Table cell"/>
    <tableColumn id="10" xr3:uid="{AAB1F354-BEAF-414F-BA5C-28182E45CA95}" name="United Energy" dataDxfId="434" dataCellStyle="Table cell"/>
  </tableColumns>
  <tableStyleInfo name="Default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F98EC66F-AA68-4EDB-80C0-49E40603808F}" name="Calc_TUV_Net_2" displayName="Calc_TUV_Net_2" ref="C320:O438" totalsRowShown="0" headerRowDxfId="433" headerRowBorderDxfId="432" tableBorderDxfId="431" headerRowCellStyle="Table col heading" dataCellStyle="Table cell">
  <tableColumns count="13">
    <tableColumn id="1" xr3:uid="{802AF59F-8604-4B66-B903-49ADFE4E3CCF}" name="Cost item" dataCellStyle="Table cell"/>
    <tableColumn id="3" xr3:uid="{8EB27DDD-18AE-433F-A5B3-E76F9D20AD45}" name="VDO decision" dataCellStyle="Table cell"/>
    <tableColumn id="11" xr3:uid="{054988D7-4073-41D7-B3ED-090DF14BF35A}" name="Decision/Actual" dataDxfId="430" dataCellStyle="Table cell"/>
    <tableColumn id="13" xr3:uid="{BA0352E2-EB7C-493C-8993-65E9EE06C836}" name="Decision ref" dataDxfId="429" dataCellStyle="Table cell"/>
    <tableColumn id="4" xr3:uid="{B8CE70A9-6CC9-4624-8AEC-7C8BCC92192C}" name="Pass through (Yes/No)" dataCellStyle="Table cell"/>
    <tableColumn id="12" xr3:uid="{FEDE33B8-16DB-4276-A069-90785447428F}" name="Fixed/Variable" dataCellStyle="Table cell"/>
    <tableColumn id="2" xr3:uid="{ACF285C0-BF63-4F73-AB4F-234265ED90CC}" name="Unit" dataCellStyle="Table cell"/>
    <tableColumn id="5" xr3:uid="{ADAC2617-D3E7-4BB8-A4F4-61EC5A4F109C}" name="Customer type" dataCellStyle="Table cell"/>
    <tableColumn id="6" xr3:uid="{DA662F0E-03DC-4EB7-A888-9EACD0EA6005}" name="Ausnet" dataDxfId="428" dataCellStyle="Table cell">
      <calculatedColumnFormula>INDEX(Input_ForRateCalc[],MATCH($C321&amp;" - "&amp;K$100,Input_ForRateCalc[Cost item],0),MATCH(#REF!,Inputs!$C$15:$Q$15,0))</calculatedColumnFormula>
    </tableColumn>
    <tableColumn id="7" xr3:uid="{7DB7A116-3678-474F-83C5-D1168C6C71C3}" name="Citipower" dataDxfId="427" dataCellStyle="Table cell"/>
    <tableColumn id="8" xr3:uid="{B5696C6B-ABCE-4541-B404-66A016EC8947}" name="Jemena" dataDxfId="426" dataCellStyle="Table cell"/>
    <tableColumn id="9" xr3:uid="{D039B53D-61BC-47A9-9CFB-2D46DD3B9A03}" name="Powercor" dataDxfId="425" dataCellStyle="Table cell"/>
    <tableColumn id="10" xr3:uid="{EF8C0228-0A1F-40C9-B385-AB92F6CA0C3C}" name="United Energy" dataDxfId="424" dataCellStyle="Table cell"/>
  </tableColumns>
  <tableStyleInfo name="Default tab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2D055C5D-D1CA-45B7-8D3A-DEFFFED99BA7}" name="TUNet_Usage_Actual_2" displayName="TUNet_Usage_Actual_2" ref="C301:F308" totalsRowShown="0" headerRowDxfId="423" headerRowBorderDxfId="422" tableBorderDxfId="421" totalsRowBorderDxfId="420" headerRowCellStyle="Table col heading">
  <tableColumns count="4">
    <tableColumn id="1" xr3:uid="{28874C8A-C156-40BF-A055-DDB875FFA0D4}" name="Description"/>
    <tableColumn id="4" xr3:uid="{1B4BDA76-AE03-4FF7-9CFC-38F17C7DF6E4}" name="VDO decision"/>
    <tableColumn id="2" xr3:uid="{17A7A0D3-28A8-4CE6-936E-F72D83CD961B}" name="Customer type" dataDxfId="419" dataCellStyle="Table cell"/>
    <tableColumn id="3" xr3:uid="{7E3A8B2D-4674-4822-AF6C-48930867276F}" name="Value" dataDxfId="418" dataCellStyle="Table cell"/>
  </tableColumns>
  <tableStyleInfo name="Default tab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5D4EB641-0DAC-4188-BFB1-262EBF68F214}" name="TUNet_Usage_Actual_1" displayName="TUNet_Usage_Actual_1" ref="C81:F88" totalsRowShown="0" headerRowDxfId="417" headerRowBorderDxfId="416" tableBorderDxfId="415" totalsRowBorderDxfId="414" headerRowCellStyle="Table col heading">
  <tableColumns count="4">
    <tableColumn id="1" xr3:uid="{DF878388-1FA3-415B-AEDD-161C1919B838}" name="Description"/>
    <tableColumn id="4" xr3:uid="{84EADD7B-F51E-412C-8E94-AC0CBC19B57F}" name="VDO decision" dataDxfId="413" dataCellStyle="Auto-populated">
      <calculatedColumnFormula>INDEX(Inputs!$H$17:$Q$17,1,MATCH($D$5,Inputs!$H$15:$Q$15,0))</calculatedColumnFormula>
    </tableColumn>
    <tableColumn id="2" xr3:uid="{425C28FB-44A3-4B7F-9A78-0A22116B43DA}" name="Customer type" dataDxfId="412" dataCellStyle="Table cell"/>
    <tableColumn id="3" xr3:uid="{E37F2044-12A9-4467-A63A-24B0657C5167}" name="Value" dataDxfId="411" dataCellStyle="Table cell"/>
  </tableColumns>
  <tableStyleInfo name="Default tab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F45BCF77-CD47-4788-AE60-2582F6BED31B}" name="TUNet_Usage_PerRate_2" displayName="TUNet_Usage_PerRate_2" ref="C311:J317" totalsRowShown="0" headerRowDxfId="410" dataDxfId="408" headerRowBorderDxfId="409" tableBorderDxfId="407" headerRowCellStyle="Table col heading" dataCellStyle="Table cell">
  <tableColumns count="8">
    <tableColumn id="1" xr3:uid="{E8C7C3E9-1B26-46E0-A663-1DE39AE4D2C0}" name="Description" dataDxfId="406" dataCellStyle="Table cell"/>
    <tableColumn id="2" xr3:uid="{DF74788D-B1C9-4A01-B1A6-5EAF60A5F171}" name="VDO decision" dataDxfId="405" dataCellStyle="Auto-populated">
      <calculatedColumnFormula>INDEX(Inputs!$H$17:$Q$17,1,MATCH($D$224,Inputs!$H$15:$Q$15,0))</calculatedColumnFormula>
    </tableColumn>
    <tableColumn id="3" xr3:uid="{83EEC5EB-CF34-4F33-8180-0BEEF7880743}" name="Customer type" dataDxfId="404" dataCellStyle="Table cell"/>
    <tableColumn id="4" xr3:uid="{C1263D2C-8A88-4BC9-BAA1-B9848AFA365B}" name="Ausnet" dataDxfId="403" dataCellStyle="Table cell"/>
    <tableColumn id="5" xr3:uid="{3CF3B8DA-29D3-4ECD-9F95-B43381124E67}" name="Citipower" dataDxfId="402" dataCellStyle="Table cell"/>
    <tableColumn id="6" xr3:uid="{8443C700-E09C-4871-8A19-F1CF5F7F18C5}" name="Jemena" dataDxfId="401" dataCellStyle="Table cell"/>
    <tableColumn id="7" xr3:uid="{C0C7F693-766A-44F0-9355-01AF25816965}" name="Powercor" dataDxfId="400" dataCellStyle="Table cell"/>
    <tableColumn id="8" xr3:uid="{164E8A61-7E00-4646-A499-3A3CF12C6416}" name="United Energy" dataDxfId="399" dataCellStyle="Table cell"/>
  </tableColumns>
  <tableStyleInfo name="Default tab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290D667-A4D7-4671-9874-2284EC2678F4}" name="TUNet_Usage_PerRate_1" displayName="TUNet_Usage_PerRate_1" ref="C91:J97" totalsRowShown="0" headerRowDxfId="398" dataDxfId="396" headerRowBorderDxfId="397" tableBorderDxfId="395" headerRowCellStyle="Table col heading" dataCellStyle="Table cell">
  <tableColumns count="8">
    <tableColumn id="1" xr3:uid="{6A8EE9E9-FD7F-4BAE-9667-4BEE14FBF643}" name="Description" dataDxfId="394" dataCellStyle="Table cell"/>
    <tableColumn id="2" xr3:uid="{71F24345-BDE3-4B02-B60B-052DAE341DAA}" name="VDO decision" dataDxfId="393" dataCellStyle="Auto-populated">
      <calculatedColumnFormula>INDEX(Inputs!$H$17:$Q$17,1,MATCH($D$5,Inputs!$H$15:$Q$15,0))</calculatedColumnFormula>
    </tableColumn>
    <tableColumn id="3" xr3:uid="{2DE31F73-71D0-4149-8C55-8C6CB0899630}" name="Customer type" dataDxfId="392" dataCellStyle="Table cell"/>
    <tableColumn id="4" xr3:uid="{559B296F-1ED7-477A-9A22-F41F2956040E}" name="Ausnet" dataDxfId="391" dataCellStyle="Table cell"/>
    <tableColumn id="5" xr3:uid="{9E6DF55C-DF9C-470F-87BB-1DE64F2879D3}" name="Citipower" dataDxfId="390" dataCellStyle="Table cell"/>
    <tableColumn id="6" xr3:uid="{DEB90EB0-CBB8-48EC-ACA0-948C53D65573}" name="Jemena" dataDxfId="389" dataCellStyle="Table cell"/>
    <tableColumn id="7" xr3:uid="{BCB28824-5A3E-47B5-B8F4-1BDD7B8F06D3}" name="Powercor" dataDxfId="388" dataCellStyle="Table cell"/>
    <tableColumn id="8" xr3:uid="{08441778-95AA-43DA-B706-B90571C5C6CA}" name="United Energy" dataDxfId="387" dataCellStyle="Table cell"/>
  </tableColumns>
  <tableStyleInfo name="Default tab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4D2CFF59-1E5D-4A47-96A5-64C9EA3C528A}" name="Calc_TUV_NetGroup_1" displayName="Calc_TUV_NetGroup_1" ref="C10:L19" totalsRowShown="0" headerRowDxfId="386" headerRowBorderDxfId="385" tableBorderDxfId="384" totalsRowBorderDxfId="383" headerRowCellStyle="Table col heading" dataCellStyle="Table cell">
  <tableColumns count="10">
    <tableColumn id="1" xr3:uid="{8EF54E5A-D91D-4298-89FD-EFC67CFE0DD4}" name="Cost item" dataCellStyle="Table cell"/>
    <tableColumn id="2" xr3:uid="{84190791-6BFC-4A79-B93B-C4866579D043}" name="Fixed/Variable" dataCellStyle="Table cell"/>
    <tableColumn id="3" xr3:uid="{769CC324-A856-4800-B91F-1A2F23BCF882}" name="Unit" dataDxfId="382" dataCellStyle="Table cell"/>
    <tableColumn id="4" xr3:uid="{0869432B-AD12-48DC-AA94-60F2AF283928}" name="Customer type" dataCellStyle="Table cell"/>
    <tableColumn id="10" xr3:uid="{2D9A4D99-6B97-45E1-BFC0-B4B5F1A63637}" name="Cost element" dataCellStyle="Table cell"/>
    <tableColumn id="5" xr3:uid="{633ADCA7-E47D-4FBF-B95A-08C92B09A782}" name="Ausnet" dataCellStyle="Table cell">
      <calculatedColumnFormula array="1">IFERROR(SUMIFS(INDEX(Calc_TUV_Net_1[[Ausnet]:[United Energy]],0,MATCH(Calc_TUV_NetGroup_1[[#Headers],[Ausnet]],Calc_TUV_Net_1[[#Headers],[Ausnet]:[United Energy]],0)),
Calc_TUV_Net_1[Cost item],Calc_TUV_NetGroup_1[[#This Row],[Cost item]]&amp;" cost true up",
Calc_TUV_Net_1[Customer type],Calc_TUV_NetGroup_1[[#This Row],[Customer type]]),"-")</calculatedColumnFormula>
    </tableColumn>
    <tableColumn id="6" xr3:uid="{F041680C-4CA3-4784-93F1-6F2393CEA3D1}" name="Citipower" dataCellStyle="Table cell">
      <calculatedColumnFormula array="1">IFERROR(SUMIFS(INDEX(Calc_TUV_Net_1[[Ausnet]:[United Energy]],0,MATCH(Calc_TUV_NetGroup_1[[#Headers],[Citipower]],Calc_TUV_Net_1[[#Headers],[Ausnet]:[United Energy]],0)),
Calc_TUV_Net_1[Cost item],Calc_TUV_NetGroup_1[[#This Row],[Cost item]]&amp;" cost true up",
Calc_TUV_Net_1[Customer type],Calc_TUV_NetGroup_1[[#This Row],[Customer type]]),"-")</calculatedColumnFormula>
    </tableColumn>
    <tableColumn id="7" xr3:uid="{EAEA72E6-8228-47AC-A1B7-9E9AD032E3C2}" name="Jemena" dataCellStyle="Table cell">
      <calculatedColumnFormula array="1">IFERROR(SUMIFS(INDEX(Calc_TUV_Net_1[[Ausnet]:[United Energy]],0,MATCH(Calc_TUV_NetGroup_1[[#Headers],[Jemena]],Calc_TUV_Net_1[[#Headers],[Ausnet]:[United Energy]],0)),
Calc_TUV_Net_1[Cost item],Calc_TUV_NetGroup_1[[#This Row],[Cost item]]&amp;" cost true up",
Calc_TUV_Net_1[Customer type],Calc_TUV_NetGroup_1[[#This Row],[Customer type]]),"-")</calculatedColumnFormula>
    </tableColumn>
    <tableColumn id="8" xr3:uid="{4375E2F2-823F-43AA-9CF8-D2D45DCDED3C}" name="Powercor" dataCellStyle="Table cell">
      <calculatedColumnFormula array="1">IFERROR(SUMIFS(INDEX(Calc_TUV_Net_1[[Ausnet]:[United Energy]],0,MATCH(Calc_TUV_NetGroup_1[[#Headers],[Powercor]],Calc_TUV_Net_1[[#Headers],[Ausnet]:[United Energy]],0)),
Calc_TUV_Net_1[Cost item],Calc_TUV_NetGroup_1[[#This Row],[Cost item]]&amp;" cost true up",
Calc_TUV_Net_1[Customer type],Calc_TUV_NetGroup_1[[#This Row],[Customer type]]),"-")</calculatedColumnFormula>
    </tableColumn>
    <tableColumn id="9" xr3:uid="{CEE57B37-3775-45C1-98C7-DD7F7D8E2BA0}" name="United Energy" dataDxfId="381" dataCellStyle="Internal link/lookup">
      <calculatedColumnFormula array="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calculatedColumnFormula>
    </tableColumn>
  </tableColumns>
  <tableStyleInfo name="Default tab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A1D5CE5C-A7FD-4197-8202-4CC5CB5898FF}" name="Calc_TUR_Net_1" displayName="Calc_TUR_Net_1" ref="C27:L31" totalsRowShown="0" headerRowDxfId="380" headerRowBorderDxfId="379" tableBorderDxfId="378" totalsRowBorderDxfId="377" headerRowCellStyle="Table col heading" dataCellStyle="Table cell">
  <tableColumns count="10">
    <tableColumn id="1" xr3:uid="{96F69DDD-7037-4C9B-A249-9FA4BE31F052}" name="Rate type" dataCellStyle="Table cell"/>
    <tableColumn id="2" xr3:uid="{51C955C3-5452-4093-B916-4551E0C3E040}" name="Fixed/Variable" dataCellStyle="Table cell"/>
    <tableColumn id="3" xr3:uid="{E1277D1F-56B0-47A1-9F4F-B169635AF99E}" name="Unit" dataDxfId="376" dataCellStyle="Table cell"/>
    <tableColumn id="4" xr3:uid="{3E7740D7-E476-4509-87CD-7D23F9E3747F}" name="Customer type" dataCellStyle="Table cell"/>
    <tableColumn id="10" xr3:uid="{15876CB1-BDA5-40C1-AC3B-33A0F20AAC93}" name="Cost element" dataCellStyle="Table cell"/>
    <tableColumn id="5" xr3:uid="{7F803B0D-7C22-4C4A-9B48-AA4986ED7D5F}" name="Ausnet" dataDxfId="375" dataCellStyle="Table cell">
      <calculatedColumnFormula array="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6" xr3:uid="{AA7550F8-9E8A-49A7-9D44-4F718B588574}" name="Citipower" dataCellStyle="Table cell">
      <calculatedColumnFormula array="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7" xr3:uid="{39C8AE9E-CD64-486E-A690-2982460B8CBA}" name="Jemena" dataCellStyle="Table cell">
      <calculatedColumnFormula array="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8" xr3:uid="{F9ECED3E-FBA7-4474-85E3-046AD064484D}" name="Powercor" dataCellStyle="Table cell">
      <calculatedColumnFormula array="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9" xr3:uid="{3F3EEF4C-7BBA-4E7C-BF35-6557F7A4646C}" name="United Energy" dataCellStyle="Table cell">
      <calculatedColumnFormula array="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s>
  <tableStyleInfo name="Default tab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FF52C258-3781-49C1-93FF-ED4580772ABC}" name="Calc_TUV_NetGroup_2" displayName="Calc_TUV_NetGroup_2" ref="C140:L149" totalsRowShown="0" headerRowDxfId="374" headerRowBorderDxfId="373" tableBorderDxfId="372" totalsRowBorderDxfId="371" headerRowCellStyle="Table col heading" dataCellStyle="Table cell">
  <tableColumns count="10">
    <tableColumn id="1" xr3:uid="{96D57AE1-EAFB-4AE0-9A16-5641BF28AB88}" name="Cost item" dataCellStyle="Table cell"/>
    <tableColumn id="2" xr3:uid="{45E5DC47-42D8-4C19-A53B-34F01C430921}" name="Fixed/Variable" dataCellStyle="Table cell"/>
    <tableColumn id="3" xr3:uid="{8A839F41-6127-4498-BB74-2A33BD70C444}" name="Unit" dataDxfId="370" dataCellStyle="Table cell"/>
    <tableColumn id="4" xr3:uid="{4AA6621C-AD01-4FA5-A52D-3B9C375567E2}" name="Customer type" dataCellStyle="Table cell"/>
    <tableColumn id="10" xr3:uid="{895BEAC1-AD7F-4A6E-97EF-2E1519C868CA}" name="Cost element" dataCellStyle="Table cell"/>
    <tableColumn id="5" xr3:uid="{74F5D4C2-2436-4C64-B88E-48412B7FA8CF}" name="Ausnet" dataDxfId="369" dataCellStyle="Internal link/lookup">
      <calculatedColumnFormula array="1">IFERROR(SUMIFS(INDEX(Calc_TUV_Net_2[[Ausnet]:[United Energy]],0,MATCH(Calc_TUV_NetGroup_2[[#Headers],[Ausnet]],Calc_TUV_Net_2[[#Headers],[Ausnet]:[United Energy]],0)),
Calc_TUV_Net_2[Cost item],Calc_TUV_NetGroup_2[[#This Row],[Cost item]]&amp;" cost true up",
Calc_TUV_Net_2[Customer type],Calc_TUV_NetGroup_2[[#This Row],[Customer type]]),"-")</calculatedColumnFormula>
    </tableColumn>
    <tableColumn id="6" xr3:uid="{74FFEFDF-9C46-4F0B-8874-6F37BD69D5B7}" name="Citipower" dataCellStyle="Table cell">
      <calculatedColumnFormula array="1">IFERROR(SUMIFS(INDEX(Calc_TUV_Net_2[[Ausnet]:[United Energy]],0,MATCH(Calc_TUV_NetGroup_2[[#Headers],[Citipower]],Calc_TUV_Net_2[[#Headers],[Ausnet]:[United Energy]],0)),
Calc_TUV_Net_2[Cost item],Calc_TUV_NetGroup_2[[#This Row],[Cost item]]&amp;" cost true up",
Calc_TUV_Net_2[Customer type],Calc_TUV_NetGroup_2[[#This Row],[Customer type]]),"-")</calculatedColumnFormula>
    </tableColumn>
    <tableColumn id="7" xr3:uid="{0FDAD0C1-BE4E-41E2-BF53-BA901AB1B2F3}" name="Jemena" dataCellStyle="Table cell">
      <calculatedColumnFormula array="1">IFERROR(SUMIFS(INDEX(Calc_TUV_Net_2[[Ausnet]:[United Energy]],0,MATCH(Calc_TUV_NetGroup_2[[#Headers],[Jemena]],Calc_TUV_Net_2[[#Headers],[Ausnet]:[United Energy]],0)),
Calc_TUV_Net_2[Cost item],Calc_TUV_NetGroup_2[[#This Row],[Cost item]]&amp;" cost true up",
Calc_TUV_Net_2[Customer type],Calc_TUV_NetGroup_2[[#This Row],[Customer type]]),"-")</calculatedColumnFormula>
    </tableColumn>
    <tableColumn id="8" xr3:uid="{B1FD8009-9B3A-4206-977D-C65BF274EDE2}" name="Powercor" dataCellStyle="Table cell">
      <calculatedColumnFormula array="1">IFERROR(SUMIFS(INDEX(Calc_TUV_Net_2[[Ausnet]:[United Energy]],0,MATCH(Calc_TUV_NetGroup_2[[#Headers],[Powercor]],Calc_TUV_Net_2[[#Headers],[Ausnet]:[United Energy]],0)),
Calc_TUV_Net_2[Cost item],Calc_TUV_NetGroup_2[[#This Row],[Cost item]]&amp;" cost true up",
Calc_TUV_Net_2[Customer type],Calc_TUV_NetGroup_2[[#This Row],[Customer type]]),"-")</calculatedColumnFormula>
    </tableColumn>
    <tableColumn id="9" xr3:uid="{72761EAB-764C-4B07-AEDE-D8BF0E5F5B5C}" name="United Energy" dataCellStyle="Table cell">
      <calculatedColumnFormula array="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calculatedColumnFormula>
    </tableColumn>
  </tableColumns>
  <tableStyleInfo name="Default tab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4DC4A019-850F-494F-98C1-0BFBD305CF6C}" name="Calc_TUR_Net_2" displayName="Calc_TUR_Net_2" ref="C157:L161" totalsRowShown="0" headerRowDxfId="368" headerRowBorderDxfId="367" tableBorderDxfId="366" totalsRowBorderDxfId="365" headerRowCellStyle="Table col heading" dataCellStyle="Table cell">
  <tableColumns count="10">
    <tableColumn id="1" xr3:uid="{508F5893-0986-4EA2-B925-B2EFB5554C3F}" name="Rate type" dataCellStyle="Table cell"/>
    <tableColumn id="2" xr3:uid="{B7A36EFE-FB09-4217-904A-912BBEC39451}" name="Fixed/Variable" dataCellStyle="Table cell"/>
    <tableColumn id="3" xr3:uid="{AA5BEA6C-3068-493A-9312-D43ED42985A2}" name="Unit" dataDxfId="364" dataCellStyle="Table cell"/>
    <tableColumn id="4" xr3:uid="{6849D791-ED42-40F6-88F6-33FD3B78900C}" name="Customer type" dataCellStyle="Table cell"/>
    <tableColumn id="10" xr3:uid="{CAFC397D-BF7C-4BA6-BEFB-0F1D12042B14}" name="Cost element" dataCellStyle="Table cell"/>
    <tableColumn id="5" xr3:uid="{1A63BAF3-86BD-4481-AB28-EA4C2604DE32}" name="Ausnet" dataDxfId="363" dataCellStyle="Table cell">
      <calculatedColumnFormula array="1">IFERROR(
IF(OR(
AND(Calc_TUR_Net_2[[#Headers],[Ausnet]]="Ausnet",Calc_TUR_Net_2[[#This Row],[Rate type]]="Single rate"),
AND(Calc_TUR_Net_2[[#Headers],[Ausnet]]&lt;&gt;"Ausnet",OR(Calc_TUR_Net_2[[#This Row],[Rate type]]="Block 1",Calc_TUR_Net_2[[#This Row],[Rate type]]="Balance"))),"-",
IF(Calc_TUR_Net_2[[#This Row],[Fixed/Variable]]="Fixed",
SUMIFS(Calc_TUV_NetGroup_2[Ausnet],
Calc_TUV_NetGroup_2[Cost item],Calc_TUR_Net_2[[#This Row],[Rate type]],
Calc_TUV_NetGroup_2[Customer type],Calc_TUR_Net_2[[#This Row],[Customer type]],
Calc_TUV_NetGroup_2[Cost element],Calc_TUR_Net_2[[#This Row],[Cost element]])/_xlfn.DAYS(TUR_EndDate,TUR_StartDate),
(SUMIFS(Calc_TUV_NetGroup_2[Ausnet],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type]],Input_Usage[Ref],0),MATCH(Calc_TU_rates!$D$135,Inputs!$I$147:$Q$147,0))*
(TU_NET_RateMths/MiY)))*INDEX(#REF!,MATCH(Calc_TUR_Net_2[[#This Row],[Rate type]],#REF!,0),MATCH(Calc_TUR_Net_2[[#This Row],[Customer type]],#REF!,0)))),"-")</calculatedColumnFormula>
    </tableColumn>
    <tableColumn id="6" xr3:uid="{AD72CD18-01CA-4969-807E-1EF3C8B94066}" name="Citipower" dataCellStyle="Table cell">
      <calculatedColumnFormula array="1">IFERROR(
IF(OR(
AND(Calc_TUR_Net_2[[#Headers],[Citipower]]="Ausnet",Calc_TUR_Net_2[[#This Row],[Rate type]]="Single rate"),
AND(Calc_TUR_Net_2[[#Headers],[Citipower]]&lt;&gt;"Ausnet",OR(Calc_TUR_Net_2[[#This Row],[Rate type]]="Block 1",Calc_TUR_Net_2[[#This Row],[Rate type]]="Balance"))),"-",
IF(Calc_TUR_Net_2[[#This Row],[Fixed/Variable]]="Fixed",
SUMIFS(Calc_TUV_NetGroup_2[Citipower],
Calc_TUV_NetGroup_2[Cost item],Calc_TUR_Net_2[[#This Row],[Rate type]],
Calc_TUV_NetGroup_2[Customer type],Calc_TUR_Net_2[[#This Row],[Customer type]],
Calc_TUV_NetGroup_2[Cost element],Calc_TUR_Net_2[[#This Row],[Cost element]])/_xlfn.DAYS(TUR_EndDate,TUR_StartDate),
(SUMIFS(Calc_TUV_NetGroup_2[Citipower],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type]],Input_Usage[Ref],0),MATCH(Calc_TU_rates!$D$135,Inputs!$I$147:$Q$147,0))*
(TU_NET_RateMths/MiY)))*INDEX(#REF!,MATCH(Calc_TUR_Net_2[[#This Row],[Rate type]],#REF!,0),MATCH(Calc_TUR_Net_2[[#This Row],[Customer type]],#REF!,0)))),"-")</calculatedColumnFormula>
    </tableColumn>
    <tableColumn id="7" xr3:uid="{BDACC691-E68C-4508-B968-4DA4567D6FDC}" name="Jemena" dataCellStyle="Table cell">
      <calculatedColumnFormula array="1">IFERROR(
IF(OR(
AND(Calc_TUR_Net_2[[#Headers],[Jemena]]="Ausnet",Calc_TUR_Net_2[[#This Row],[Rate type]]="Single rate"),
AND(Calc_TUR_Net_2[[#Headers],[Jemena]]&lt;&gt;"Ausnet",OR(Calc_TUR_Net_2[[#This Row],[Rate type]]="Block 1",Calc_TUR_Net_2[[#This Row],[Rate type]]="Balance"))),"-",
IF(Calc_TUR_Net_2[[#This Row],[Fixed/Variable]]="Fixed",
SUMIFS(Calc_TUV_NetGroup_2[Jemena],
Calc_TUV_NetGroup_2[Cost item],Calc_TUR_Net_2[[#This Row],[Rate type]],
Calc_TUV_NetGroup_2[Customer type],Calc_TUR_Net_2[[#This Row],[Customer type]],
Calc_TUV_NetGroup_2[Cost element],Calc_TUR_Net_2[[#This Row],[Cost element]])/_xlfn.DAYS(TUR_EndDate,TUR_StartDate),
(SUMIFS(Calc_TUV_NetGroup_2[Jemena],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type]],Input_Usage[Ref],0),MATCH(Calc_TU_rates!$D$135,Inputs!$I$147:$Q$147,0))*
(TU_NET_RateMths/MiY)))*INDEX(#REF!,MATCH(Calc_TUR_Net_2[[#This Row],[Rate type]],#REF!,0),MATCH(Calc_TUR_Net_2[[#This Row],[Customer type]],#REF!,0)))),"-")</calculatedColumnFormula>
    </tableColumn>
    <tableColumn id="8" xr3:uid="{DFE8DC4B-790A-4026-BDAA-688FB431C951}" name="Powercor" dataCellStyle="Table cell">
      <calculatedColumnFormula array="1">IFERROR(
IF(OR(
AND(Calc_TUR_Net_2[[#Headers],[Powercor]]="Ausnet",Calc_TUR_Net_2[[#This Row],[Rate type]]="Single rate"),
AND(Calc_TUR_Net_2[[#Headers],[Powercor]]&lt;&gt;"Ausnet",OR(Calc_TUR_Net_2[[#This Row],[Rate type]]="Block 1",Calc_TUR_Net_2[[#This Row],[Rate type]]="Balance"))),"-",
IF(Calc_TUR_Net_2[[#This Row],[Fixed/Variable]]="Fixed",
SUMIFS(Calc_TUV_NetGroup_2[Powercor],
Calc_TUV_NetGroup_2[Cost item],Calc_TUR_Net_2[[#This Row],[Rate type]],
Calc_TUV_NetGroup_2[Customer type],Calc_TUR_Net_2[[#This Row],[Customer type]],
Calc_TUV_NetGroup_2[Cost element],Calc_TUR_Net_2[[#This Row],[Cost element]])/_xlfn.DAYS(TUR_EndDate,TUR_StartDate),
(SUMIFS(Calc_TUV_NetGroup_2[Powercor],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type]],Input_Usage[Ref],0),MATCH(Calc_TU_rates!$D$135,Inputs!$I$147:$Q$147,0))*
(TU_NET_RateMths/MiY)))*INDEX(#REF!,MATCH(Calc_TUR_Net_2[[#This Row],[Rate type]],#REF!,0),MATCH(Calc_TUR_Net_2[[#This Row],[Customer type]],#REF!,0)))),"-")</calculatedColumnFormula>
    </tableColumn>
    <tableColumn id="9" xr3:uid="{116286F6-B1EA-474F-919D-97933C9FFD8E}" name="United Energy" dataCellStyle="Table cell">
      <calculatedColumnFormula array="1">IFERROR(
IF(OR(
AND(Calc_TUR_Net_2[[#Headers],[United Energy]]="Ausnet",Calc_TUR_Net_2[[#This Row],[Rate type]]="Single rate"),
AND(Calc_TUR_Net_2[[#Headers],[United Energy]]&lt;&gt;"Ausnet",OR(Calc_TUR_Net_2[[#This Row],[Rate type]]="Block 1",Calc_TUR_Net_2[[#This Row],[Rate type]]="Balance"))),"-",
IF(Calc_TUR_Net_2[[#This Row],[Fixed/Variable]]="Fixed",
SUMIFS(Calc_TUV_NetGroup_2[United Energy],
Calc_TUV_NetGroup_2[Cost item],Calc_TUR_Net_2[[#This Row],[Rate type]],
Calc_TUV_NetGroup_2[Customer type],Calc_TUR_Net_2[[#This Row],[Customer type]],
Calc_TUV_NetGroup_2[Cost element],Calc_TUR_Net_2[[#This Row],[Cost element]])/_xlfn.DAYS(TUR_EndDate,TUR_StartDate),
(SUMIFS(Calc_TUV_NetGroup_2[United Energy],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type]],Input_Usage[Ref],0),MATCH(Calc_TU_rates!$D$135,Inputs!$I$147:$Q$147,0))*
(TU_NET_RateMths/MiY)))*INDEX(#REF!,MATCH(Calc_TUR_Net_2[[#This Row],[Rate type]],#REF!,0),MATCH(Calc_TUR_Net_2[[#This Row],[Customer type]],#REF!,0)))),"-")</calculatedColumnFormula>
    </tableColumn>
  </tableColumns>
  <tableStyleInfo name="Default tab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6098B90B-1344-4E60-B447-B890077F8628}" name="Calc_TUR_Env_1" displayName="Calc_TUR_Env_1" ref="C63:L96" totalsRowShown="0" headerRowDxfId="362" headerRowBorderDxfId="361" tableBorderDxfId="360" totalsRowBorderDxfId="359" headerRowCellStyle="Table col heading" dataCellStyle="Table cell">
  <autoFilter ref="C63:L96" xr:uid="{6098B90B-1344-4E60-B447-B890077F8628}"/>
  <sortState xmlns:xlrd2="http://schemas.microsoft.com/office/spreadsheetml/2017/richdata2" ref="C64:L96">
    <sortCondition ref="F63:F96"/>
  </sortState>
  <tableColumns count="10">
    <tableColumn id="1" xr3:uid="{E332C2D4-CE8D-433A-9ADC-D8857F562942}" name="Rate type" dataCellStyle="Table cell"/>
    <tableColumn id="2" xr3:uid="{FD1AF85E-E765-4BB5-8EC8-A06734719E82}" name="True up" dataCellStyle="Table cell"/>
    <tableColumn id="3" xr3:uid="{66195402-7784-4DD6-BFD4-6D91BEEDF8B0}" name="Unit" dataDxfId="358" dataCellStyle="Table cell"/>
    <tableColumn id="4" xr3:uid="{EAE4A069-891C-411F-9742-DF18ADDA3EA8}" name="Customer type" dataCellStyle="Table cell"/>
    <tableColumn id="5" xr3:uid="{ACC8F195-ADA3-40DC-919D-25E00F5290C5}" name="Cost element" dataDxfId="357" dataCellStyle="Table cell"/>
    <tableColumn id="6" xr3:uid="{A72E99F3-93C6-4BF6-B455-BB551880D6F9}" name="Ausnet" dataDxfId="356" dataCellStyle="Table cell">
      <calculatedColumnFormula array="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calculatedColumnFormula>
    </tableColumn>
    <tableColumn id="7" xr3:uid="{5A3D3D9B-379A-4FAE-B0D3-6769ACEE354F}" name="Citipower" dataDxfId="355" dataCellStyle="Table cell">
      <calculatedColumnFormula array="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calculatedColumnFormula>
    </tableColumn>
    <tableColumn id="8" xr3:uid="{3AA2F046-55C7-4C97-8768-89AA876C4F26}" name="Jemena" dataDxfId="354" dataCellStyle="Table cell">
      <calculatedColumnFormula array="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calculatedColumnFormula>
    </tableColumn>
    <tableColumn id="9" xr3:uid="{892CB232-15D1-4FBB-B203-B4FB00635D8D}" name="Powercor" dataDxfId="353" dataCellStyle="Table cell">
      <calculatedColumnFormula array="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calculatedColumnFormula>
    </tableColumn>
    <tableColumn id="10" xr3:uid="{3A2D3832-2CE2-4857-A3A9-52809919DD21}" name="United Energy" dataDxfId="352" dataCellStyle="Table cell">
      <calculatedColumnFormula array="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calculatedColumnFormula>
    </tableColumn>
  </tableColumns>
  <tableStyleInfo name="Default tab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ABD8EC13-7FD6-4873-9A8A-AF27A1752654}" name="Calc_TUR_ENV_2" displayName="Calc_TUR_ENV_2" ref="C193:L226" totalsRowShown="0" headerRowDxfId="351" headerRowBorderDxfId="350" tableBorderDxfId="349" totalsRowBorderDxfId="348" headerRowCellStyle="Table col heading" dataCellStyle="Table cell">
  <tableColumns count="10">
    <tableColumn id="1" xr3:uid="{D7402472-7D51-45A2-9F7E-32054A9C2AD1}" name="Rate type" dataCellStyle="Table cell"/>
    <tableColumn id="2" xr3:uid="{F4F50483-5EB8-47B9-8D7E-627214C0558E}" name="True up" dataCellStyle="Table cell"/>
    <tableColumn id="3" xr3:uid="{07E06059-0FC6-4AB4-8825-B95E8D18E5B8}" name="Unit" dataDxfId="347" dataCellStyle="Table cell"/>
    <tableColumn id="4" xr3:uid="{EAD4F5E9-2E38-4436-A301-DED41D02DFE3}" name="Customer type" dataCellStyle="Table cell"/>
    <tableColumn id="5" xr3:uid="{0DC1F14F-359A-46F9-BCA5-E770B1F92F26}" name="Cost element" dataDxfId="346" dataCellStyle="Table cell"/>
    <tableColumn id="6" xr3:uid="{29A716A7-E637-4169-A549-5FF4D3815C70}" name="Ausnet" dataDxfId="345" dataCellStyle="Table cell">
      <calculatedColumnFormula array="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calculatedColumnFormula>
    </tableColumn>
    <tableColumn id="7" xr3:uid="{BB0FA067-EEAA-48E9-BA9B-E23C98706BA6}" name="Citipower" dataDxfId="344" dataCellStyle="Table cell">
      <calculatedColumnFormula array="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calculatedColumnFormula>
    </tableColumn>
    <tableColumn id="8" xr3:uid="{F79E3A5D-B4CB-4D5B-B931-80D771F44DFA}" name="Jemena" dataDxfId="343" dataCellStyle="Table cell">
      <calculatedColumnFormula array="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calculatedColumnFormula>
    </tableColumn>
    <tableColumn id="9" xr3:uid="{7C67EE55-D28A-4FC5-ADEA-A4209390FD33}" name="Powercor" dataDxfId="342" dataCellStyle="Table cell">
      <calculatedColumnFormula array="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calculatedColumnFormula>
    </tableColumn>
    <tableColumn id="10" xr3:uid="{B4D050EC-0A71-4081-81A2-AFA078DCC264}" name="United Energy" dataDxfId="341" dataCellStyle="Table cell">
      <calculatedColumnFormula array="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calculatedColumnFormula>
    </tableColumn>
  </tableColumns>
  <tableStyleInfo name="Default tab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48CEC897-179F-44BD-825C-BF0EE47BDAFA}" name="Calc_TUV_EnvGroup_1" displayName="Calc_TUV_EnvGroup_1" ref="C53:L56" totalsRowShown="0" headerRowDxfId="340" headerRowBorderDxfId="339" tableBorderDxfId="338" totalsRowBorderDxfId="337" headerRowCellStyle="Table col heading" dataCellStyle="Table cell">
  <tableColumns count="10">
    <tableColumn id="1" xr3:uid="{771BEA51-0FCE-4793-A637-2E8F5130E753}" name="Cost item" dataCellStyle="Table cell"/>
    <tableColumn id="2" xr3:uid="{3C34CCF2-954E-4687-8C99-E8D7D3C7ED75}" name="Fixed/Variable" dataCellStyle="Table cell"/>
    <tableColumn id="3" xr3:uid="{3C619B4E-BAC1-47C4-8ECC-6C46384996FD}" name="Unit" dataDxfId="336" dataCellStyle="Table cell"/>
    <tableColumn id="4" xr3:uid="{1503A5BC-F78F-4CF2-8C21-4A9FDC822142}" name="Customer type" dataCellStyle="Table cell"/>
    <tableColumn id="10" xr3:uid="{DE17B893-52B8-4859-B65F-88EF53883407}" name="Cost element" dataCellStyle="Table cell"/>
    <tableColumn id="5" xr3:uid="{629ABBA2-7FF9-4A02-9450-29C885B8A013}" name="Ausnet" dataCellStyle="Table cell"/>
    <tableColumn id="6" xr3:uid="{A7018C6B-64E8-46E4-8B26-2CC338AA6532}" name="Citipower" dataCellStyle="Table cell"/>
    <tableColumn id="7" xr3:uid="{94C35522-202F-48D0-8FA8-A1D7265F3B2F}" name="Jemena" dataCellStyle="Table cell"/>
    <tableColumn id="8" xr3:uid="{FEB8FEBC-4FE0-4AB3-97D0-522C200D0F26}" name="Powercor" dataCellStyle="Table cell"/>
    <tableColumn id="9" xr3:uid="{0B954CA1-2B1F-466E-85CC-83463172A299}" name="United Energy" dataDxfId="335" dataCellStyle="Internal link/lookup"/>
  </tableColumns>
  <tableStyleInfo name="Default tabl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86494F6-C76D-4BC0-9178-C720B04554FE}" name="Calc_TUV_ENVGroup_2" displayName="Calc_TUV_ENVGroup_2" ref="C183:L186" totalsRowShown="0" headerRowDxfId="334" headerRowBorderDxfId="333" tableBorderDxfId="332" totalsRowBorderDxfId="331" headerRowCellStyle="Table col heading" dataCellStyle="Table cell">
  <tableColumns count="10">
    <tableColumn id="1" xr3:uid="{F0BC8329-99A3-492E-B008-C6618C682212}" name="Cost item" dataCellStyle="Table cell"/>
    <tableColumn id="2" xr3:uid="{261548EE-86CB-4D51-A270-6FBA44A0057A}" name="Fixed/Variable" dataCellStyle="Table cell"/>
    <tableColumn id="3" xr3:uid="{2124D95F-7020-4F59-A852-6176E8CC21B4}" name="Unit" dataDxfId="330" dataCellStyle="Table cell"/>
    <tableColumn id="4" xr3:uid="{71CD4922-C40D-4E7C-9EA0-A9982C2437A5}" name="Customer type" dataCellStyle="Table cell"/>
    <tableColumn id="10" xr3:uid="{435000DE-70B4-4E67-9743-C7CF9651578E}" name="Cost element" dataDxfId="329" dataCellStyle="Table cell"/>
    <tableColumn id="5" xr3:uid="{E6640A9F-DA07-42FE-9755-14B74DDFEF89}" name="Ausnet" dataDxfId="328" dataCellStyle="Table cell"/>
    <tableColumn id="6" xr3:uid="{A0AEEBC5-C581-4732-B8E1-39B16BDC01CD}" name="Citipower" dataDxfId="327" dataCellStyle="Table cell">
      <calculatedColumnFormula array="1">IFERROR(SUMIFS(INDEX(Calc_TUV_Net_2[[Ausnet]:[United Energy]],0,MATCH(Calc_TUV_ENVGroup_2[[#Headers],[Citipower]],Calc_TUV_Net_2[[#Headers],[Ausnet]:[United Energy]],0)),
Calc_TUV_Net_2[Cost item],Calc_TUV_ENVGroup_2[[#This Row],[Cost item]]&amp;" cost true up",
Calc_TUV_Net_2[Customer type],Calc_TUV_ENVGroup_2[[#This Row],[Customer type]]),"-")</calculatedColumnFormula>
    </tableColumn>
    <tableColumn id="7" xr3:uid="{6686C12D-E8CE-44B6-86AA-D3D4B4EEC21A}" name="Jemena" dataDxfId="326" dataCellStyle="Table cell">
      <calculatedColumnFormula array="1">IFERROR(SUMIFS(INDEX(Calc_TUV_Net_2[[Ausnet]:[United Energy]],0,MATCH(Calc_TUV_ENVGroup_2[[#Headers],[Jemena]],Calc_TUV_Net_2[[#Headers],[Ausnet]:[United Energy]],0)),
Calc_TUV_Net_2[Cost item],Calc_TUV_ENVGroup_2[[#This Row],[Cost item]]&amp;" cost true up",
Calc_TUV_Net_2[Customer type],Calc_TUV_ENVGroup_2[[#This Row],[Customer type]]),"-")</calculatedColumnFormula>
    </tableColumn>
    <tableColumn id="8" xr3:uid="{2B48CA0E-7C6A-447D-84BC-7C8DC5D8197A}" name="Powercor" dataDxfId="325" dataCellStyle="Table cell">
      <calculatedColumnFormula array="1">IFERROR(SUMIFS(INDEX(Calc_TUV_Net_2[[Ausnet]:[United Energy]],0,MATCH(Calc_TUV_ENVGroup_2[[#Headers],[Powercor]],Calc_TUV_Net_2[[#Headers],[Ausnet]:[United Energy]],0)),
Calc_TUV_Net_2[Cost item],Calc_TUV_ENVGroup_2[[#This Row],[Cost item]]&amp;" cost true up",
Calc_TUV_Net_2[Customer type],Calc_TUV_ENVGroup_2[[#This Row],[Customer type]]),"-")</calculatedColumnFormula>
    </tableColumn>
    <tableColumn id="9" xr3:uid="{D5759CE0-CE25-4D79-9B28-831164F69512}" name="United Energy" dataDxfId="324" dataCellStyle="Table cell">
      <calculatedColumnFormula array="1">IFERROR(SUMIFS(INDEX(Calc_TUV_Net_2[[Ausnet]:[United Energy]],0,MATCH(Calc_TUV_ENVGroup_2[[#Headers],[United Energy]],Calc_TUV_Net_2[[#Headers],[Ausnet]:[United Energy]],0)),
Calc_TUV_Net_2[Cost item],Calc_TUV_ENVGroup_2[[#This Row],[Cost item]]&amp;" cost true up",
Calc_TUV_Net_2[Customer type],Calc_TUV_ENVGroup_2[[#This Row],[Customer type]]),"-")</calculatedColumnFormula>
    </tableColumn>
  </tableColumns>
  <tableStyleInfo name="Default tabl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2119432-BFD7-410E-AC02-B994D7186C74}" name="Calc_TUR_NetCL_2" displayName="Calc_TUR_NetCL_2" ref="C169:L170" totalsRowShown="0" headerRowDxfId="323" headerRowBorderDxfId="322" tableBorderDxfId="321" totalsRowBorderDxfId="320" headerRowCellStyle="Table col heading" dataCellStyle="Table cell">
  <tableColumns count="10">
    <tableColumn id="1" xr3:uid="{250CD9E3-6609-471C-9E86-99C77F0D99AD}" name="Rate type" dataCellStyle="Table cell"/>
    <tableColumn id="2" xr3:uid="{F56014D6-7A66-4938-9EA2-05BCBE838096}" name="Fixed/Variable" dataCellStyle="Table cell"/>
    <tableColumn id="3" xr3:uid="{27488AE4-DCA7-4E26-AC06-EA3AC43E6F02}" name="Unit" dataDxfId="319" dataCellStyle="Table cell"/>
    <tableColumn id="4" xr3:uid="{E6C5C828-5404-4056-A7FF-A47AAAE4C1FA}" name="Customer type" dataCellStyle="Table cell"/>
    <tableColumn id="10" xr3:uid="{352754BD-2E48-49B6-B8BC-35ECD0C11618}" name="Cost element" dataCellStyle="Table cell"/>
    <tableColumn id="5" xr3:uid="{C89509F0-7280-48A9-9C33-75CABE27E750}" name="Ausnet" dataDxfId="318" dataCellStyle="Table cell">
      <calculatedColumnFormula array="1">IFERROR(
(SUMIFS(Calc_TUV_NetGroup_2[Ausnet],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SUMIFS(Calc_TUV_NetGroup_2[Ausnet],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calculatedColumnFormula>
    </tableColumn>
    <tableColumn id="6" xr3:uid="{EF042FEE-7E15-4F68-AC3F-9FD7707A4D9B}" name="Citipower" dataCellStyle="Table cell"/>
    <tableColumn id="7" xr3:uid="{06249A30-F6F3-4247-93BB-2C86EEC6DEC5}" name="Jemena" dataCellStyle="Table cell"/>
    <tableColumn id="8" xr3:uid="{ADFB6444-F462-4C6B-9C8C-5540AFAAD687}" name="Powercor" dataCellStyle="Table cell"/>
    <tableColumn id="9" xr3:uid="{A7722DF8-138B-4745-8DD1-C510A66F4E73}" name="United Energy" dataCellStyle="Table cell"/>
  </tableColumns>
  <tableStyleInfo name="Default tabl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6227F24C-42F8-4AE0-9A70-1BD0C12EA8EE}" name="Calc_TUR_NetCL_1" displayName="Calc_TUR_NetCL_1" ref="C39:L40" totalsRowShown="0" headerRowDxfId="317" headerRowBorderDxfId="316" tableBorderDxfId="315" totalsRowBorderDxfId="314" headerRowCellStyle="Table col heading" dataCellStyle="Table cell">
  <tableColumns count="10">
    <tableColumn id="1" xr3:uid="{DA6CC4AC-9652-47ED-82AB-B9B19FD9C7F5}" name="Rate type" dataCellStyle="Table cell"/>
    <tableColumn id="2" xr3:uid="{6D1E7D9E-190F-45ED-9632-337B0D472194}" name="Fixed/Variable" dataCellStyle="Table cell"/>
    <tableColumn id="3" xr3:uid="{ED7F7BCC-3930-4637-8921-40D1E00C361C}" name="Unit" dataDxfId="313" dataCellStyle="Table cell"/>
    <tableColumn id="4" xr3:uid="{7A785ECA-F808-441B-9B5D-1B9DEA6F34D7}" name="Customer type" dataCellStyle="Table cell"/>
    <tableColumn id="10" xr3:uid="{B9966583-1E1A-492D-9408-6C4009A57E6A}" name="Cost element" dataCellStyle="Table cell"/>
    <tableColumn id="5" xr3:uid="{EA04CD4D-68AC-48C2-B0BF-3ECC0EE5787D}" name="Ausnet" dataDxfId="312" dataCellStyle="Table cell">
      <calculatedColumnFormula array="1">IFERROR(
(SUMIFS(Calc_TUV_NetGroup_1[Ausnet],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SUMIFS(Calc_TUV_NetGroup_1[Ausnet],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6" xr3:uid="{46821881-310C-4951-A3CF-F7A6C66F0869}" name="Citipower" dataCellStyle="Table cell">
      <calculatedColumnFormula array="1">IFERROR(
(SUMIFS(Calc_TUV_NetGroup_1[Citipower],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SUMIFS(Calc_TUV_NetGroup_1[Citipower],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7" xr3:uid="{31D12BC3-067D-425E-BF1D-6123D7808287}" name="Jemena" dataCellStyle="Table cell">
      <calculatedColumnFormula array="1">IFERROR(
(SUMIFS(Calc_TUV_NetGroup_1[Jemena],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SUMIFS(Calc_TUV_NetGroup_1[Jemena],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8" xr3:uid="{64F8C960-1857-4A7B-8766-D9D6EF3483A6}" name="Powercor" dataCellStyle="Table cell">
      <calculatedColumnFormula array="1">IFERROR(
(SUMIFS(Calc_TUV_NetGroup_1[Powercor],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SUMIFS(Calc_TUV_NetGroup_1[Powercor],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9" xr3:uid="{C652B29B-6227-4922-92CB-9F9FA949DA57}" name="United Energy" dataCellStyle="Table cell">
      <calculatedColumnFormula array="1">IFERROR(
(SUMIFS(Calc_TUV_NetGroup_1[United Energy],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SUMIFS(Calc_TUV_NetGroup_1[United Energy],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s>
  <tableStyleInfo name="Default tabl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F9E3F01-29C8-44C9-A414-7871D361A8AB}" name="CostStackCalcs_RES_1" displayName="CostStackCalcs_RES_1" ref="C55:I67" totalsRowShown="0" headerRowDxfId="311" dataDxfId="309" headerRowBorderDxfId="310" tableBorderDxfId="308" totalsRowBorderDxfId="307" headerRowCellStyle="Table col heading" dataCellStyle="Table cell">
  <tableColumns count="7">
    <tableColumn id="1" xr3:uid="{D106242E-21EB-4A0E-B344-1AB2FF19A01B}" name="Labels" dataDxfId="306" totalsRowDxfId="305" dataCellStyle="Table cell" totalsRowCellStyle="Table cell"/>
    <tableColumn id="2" xr3:uid="{3C70B015-29DB-4964-972A-695201DCF3BC}" name="Ausnet" dataDxfId="304" totalsRowDxfId="303" dataCellStyle="Table cell" totalsRowCellStyle="Table cell"/>
    <tableColumn id="3" xr3:uid="{0AD4E9C4-5D09-4770-901B-5C1E3759883B}" name="Citipower" dataDxfId="302" totalsRowDxfId="301" dataCellStyle="Table cell" totalsRowCellStyle="Table cell"/>
    <tableColumn id="4" xr3:uid="{BF620EA6-2229-4539-B3B0-5BC29CC007DD}" name="Jemena" dataDxfId="300" totalsRowDxfId="299" dataCellStyle="Table cell" totalsRowCellStyle="Table cell"/>
    <tableColumn id="5" xr3:uid="{4133A035-3084-4EEF-A863-1EC0692E3CC2}" name="Powercor" dataDxfId="298" totalsRowDxfId="297" dataCellStyle="Table cell" totalsRowCellStyle="Table cell"/>
    <tableColumn id="6" xr3:uid="{A843CB81-15B3-4B2D-84D5-26699752FA91}" name="United Energy" dataDxfId="296" totalsRowDxfId="295" dataCellStyle="Table cell" totalsRowCellStyle="Table cell"/>
    <tableColumn id="7" xr3:uid="{50EEE76A-8C20-4F06-B255-968B1E0C54FD}" name="Average" dataDxfId="294" totalsRowDxfId="293" dataCellStyle="Table cell" totalsRowCellStyle="Table cell">
      <calculatedColumnFormula>AVERAGE(D56:H56)</calculatedColumnFormula>
    </tableColumn>
  </tableColumns>
  <tableStyleInfo name="Default tabl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6179DB5-FA7C-453D-BCAA-CFC8D6B6B71C}" name="CostStackCalcs_RES_2" displayName="CostStackCalcs_RES_2" ref="K55:Q67" totalsRowShown="0" headerRowDxfId="292" dataDxfId="290" headerRowBorderDxfId="291" tableBorderDxfId="289" totalsRowBorderDxfId="288" headerRowCellStyle="Table col heading" dataCellStyle="Table cell">
  <tableColumns count="7">
    <tableColumn id="1" xr3:uid="{DE7FFC73-2AD0-47FF-A4F7-7571FF420246}" name="Labels" dataDxfId="287" dataCellStyle="Table cell"/>
    <tableColumn id="2" xr3:uid="{69D5ADF0-E7AC-497D-949C-17575A9CFE5A}" name="Ausnet" dataDxfId="286" dataCellStyle="Table cell"/>
    <tableColumn id="3" xr3:uid="{67A4DAED-588E-4FE9-9BC6-81A483ACFE9D}" name="Citipower" dataDxfId="285" dataCellStyle="Table cell"/>
    <tableColumn id="4" xr3:uid="{DEE0DA33-879A-4CB0-B36E-4211E6462461}" name="Jemena" dataDxfId="284" dataCellStyle="Table cell"/>
    <tableColumn id="5" xr3:uid="{CB4323C2-850F-462B-967E-A38994ABFA74}" name="Powercor" dataDxfId="283" dataCellStyle="Table cell"/>
    <tableColumn id="6" xr3:uid="{B24BAD99-7BC5-48BD-B5A9-07A1D77B671B}" name="United Energy" dataDxfId="282" dataCellStyle="Table cell"/>
    <tableColumn id="7" xr3:uid="{A155A648-45F0-43A2-9EC9-85FF59A92B09}" name="Average" dataDxfId="281" dataCellStyle="Table cell">
      <calculatedColumnFormula>AVERAGE(L56:P56)</calculatedColumnFormula>
    </tableColumn>
  </tableColumns>
  <tableStyleInfo name="Default tabl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2BFC032-C67D-4F25-84A0-9FF8B4AC0657}" name="CostStackCalcs_SME_4" displayName="CostStackCalcs_SME_4" ref="K54:Q66" totalsRowShown="0" headerRowDxfId="280" dataDxfId="278" headerRowBorderDxfId="279" tableBorderDxfId="277" totalsRowBorderDxfId="276" headerRowCellStyle="Table col heading" dataCellStyle="Table cell">
  <tableColumns count="7">
    <tableColumn id="1" xr3:uid="{C835B070-4461-4876-902C-0F5AF9B162E9}" name="Labels" dataDxfId="275" dataCellStyle="Table cell"/>
    <tableColumn id="2" xr3:uid="{371BE483-E9D6-481E-B785-DC8DAE679F0B}" name="Ausnet" dataDxfId="274" dataCellStyle="Table cell"/>
    <tableColumn id="3" xr3:uid="{33E94B34-FB95-4398-8BCC-6C0A1700A67E}" name="Citipower" dataDxfId="273" dataCellStyle="Table cell"/>
    <tableColumn id="4" xr3:uid="{DC5EE271-7A12-4CBF-AC05-CADD247ACBDB}" name="Jemena" dataDxfId="272" dataCellStyle="Table cell"/>
    <tableColumn id="5" xr3:uid="{D6B09DFB-9202-45D6-B441-4597B46F8633}" name="Powercor" dataDxfId="271" dataCellStyle="Table cell"/>
    <tableColumn id="6" xr3:uid="{D645039C-FAD6-4D1C-A2B0-4F5976390C80}" name="United Energy" dataDxfId="270" dataCellStyle="Table cell"/>
    <tableColumn id="7" xr3:uid="{A83BAA7E-36F8-4E56-9DAF-E656708F91D8}" name="Average" dataDxfId="269" dataCellStyle="Table cell">
      <calculatedColumnFormula>AVERAGE(L55:P55)</calculatedColumnFormula>
    </tableColumn>
  </tableColumns>
  <tableStyleInfo name="Default tabl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B05DA7F-10F3-4A8F-B518-D52987D620B3}" name="CostStackCalcs_SME_3" displayName="CostStackCalcs_SME_3" ref="C54:I66" totalsRowShown="0" headerRowDxfId="268" dataDxfId="266" headerRowBorderDxfId="267" tableBorderDxfId="265" totalsRowBorderDxfId="264" headerRowCellStyle="Table col heading" dataCellStyle="Table cell">
  <tableColumns count="7">
    <tableColumn id="1" xr3:uid="{60613DCA-ED95-42F4-9892-D30B0599AA37}" name="Labels" dataDxfId="263" totalsRowDxfId="262" dataCellStyle="Table cell" totalsRowCellStyle="Table cell"/>
    <tableColumn id="2" xr3:uid="{C3CD3BC5-1ABA-4CB9-9E6F-3736E283D9FF}" name="Ausnet" dataDxfId="261" totalsRowDxfId="260" dataCellStyle="Table cell" totalsRowCellStyle="Table cell"/>
    <tableColumn id="3" xr3:uid="{4101C0D8-C5AF-434F-982E-9331DFF0B217}" name="Citipower" dataDxfId="259" totalsRowDxfId="258" dataCellStyle="Table cell" totalsRowCellStyle="Table cell"/>
    <tableColumn id="4" xr3:uid="{DAFCC064-8F80-40E4-97C6-FC7417C06055}" name="Jemena" dataDxfId="257" totalsRowDxfId="256" dataCellStyle="Table cell" totalsRowCellStyle="Table cell"/>
    <tableColumn id="5" xr3:uid="{6B98F1DC-4991-487A-ADF0-094754F53DB7}" name="Powercor" dataDxfId="255" totalsRowDxfId="254" dataCellStyle="Table cell" totalsRowCellStyle="Table cell"/>
    <tableColumn id="6" xr3:uid="{943D1860-2771-4AF5-ABEC-867BE866ECC0}" name="United Energy" dataDxfId="253" totalsRowDxfId="252" dataCellStyle="Table cell" totalsRowCellStyle="Table cell"/>
    <tableColumn id="7" xr3:uid="{04A6A1AB-70F2-4618-9659-2D8DBC5BEF1A}" name="Average" dataDxfId="251" totalsRowDxfId="250" dataCellStyle="Table cell" totalsRowCellStyle="Table cell">
      <calculatedColumnFormula>AVERAGE(D55:H55)</calculatedColumnFormula>
    </tableColumn>
  </tableColumns>
  <tableStyleInfo name="Default tabl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19BF97D-3A97-457A-AD5A-1F1B2F823333}" name="CostStackCalcs_SME_2" displayName="CostStackCalcs_SME_2" ref="K54:Q66" totalsRowShown="0" headerRowDxfId="249" dataDxfId="247" headerRowBorderDxfId="248" tableBorderDxfId="246" totalsRowBorderDxfId="245" headerRowCellStyle="Table col heading" dataCellStyle="Table cell">
  <tableColumns count="7">
    <tableColumn id="1" xr3:uid="{85DE126A-0FE2-4B1C-B625-019439951280}" name="Labels" dataCellStyle="Table cell"/>
    <tableColumn id="2" xr3:uid="{38531A6E-F169-492D-8822-64E472D43EAC}" name="Ausnet" dataDxfId="244" dataCellStyle="Table cell"/>
    <tableColumn id="3" xr3:uid="{1C12A98E-BCD8-45DE-8B87-5CFD5B43FF28}" name="Citipower" dataDxfId="243" dataCellStyle="Table cell"/>
    <tableColumn id="4" xr3:uid="{E57EA2F1-79CF-476F-9701-22CD6B45F953}" name="Jemena" dataDxfId="242" dataCellStyle="Table cell"/>
    <tableColumn id="5" xr3:uid="{4F962B81-42E9-4ED5-BBA9-875A14D83688}" name="Powercor" dataDxfId="241" dataCellStyle="Table cell"/>
    <tableColumn id="6" xr3:uid="{0A4C89C8-96F5-45E9-82EC-B56188294725}" name="United Energy" dataDxfId="240" dataCellStyle="Table cell"/>
    <tableColumn id="7" xr3:uid="{D2F38D46-832D-4789-9AC7-885C7E6FDB78}" name="Average" dataDxfId="239" dataCellStyle="Table cell">
      <calculatedColumnFormula>AVERAGE(L55:P55)</calculatedColumnFormula>
    </tableColumn>
  </tableColumns>
  <tableStyleInfo name="Default tabl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C1BC400-4863-4FA8-AD29-73144666D246}" name="CostStackCalcs_SME_1" displayName="CostStackCalcs_SME_1" ref="C54:I66" totalsRowShown="0" headerRowDxfId="238" dataDxfId="236" headerRowBorderDxfId="237" tableBorderDxfId="235" totalsRowBorderDxfId="234" headerRowCellStyle="Table col heading" dataCellStyle="Table cell">
  <tableColumns count="7">
    <tableColumn id="1" xr3:uid="{62D744BE-CCB1-41A6-BA25-77BD1CE2DFBD}" name="Labels" totalsRowDxfId="233" dataCellStyle="Table cell" totalsRowCellStyle="Table cell"/>
    <tableColumn id="2" xr3:uid="{E98BEB77-A168-4054-A046-28B589A54F85}" name="Ausnet" dataDxfId="232" totalsRowDxfId="231" dataCellStyle="Table cell" totalsRowCellStyle="Table cell"/>
    <tableColumn id="3" xr3:uid="{A850C97C-9EED-4CC3-BD74-03C00AA9F241}" name="Citipower" dataDxfId="230" totalsRowDxfId="229" dataCellStyle="Table cell" totalsRowCellStyle="Table cell"/>
    <tableColumn id="4" xr3:uid="{10C7FF96-24AC-40BF-AB34-575BD3388338}" name="Jemena" dataDxfId="228" totalsRowDxfId="227" dataCellStyle="Table cell" totalsRowCellStyle="Table cell"/>
    <tableColumn id="5" xr3:uid="{88AD3C95-42BA-44C2-8AD7-9B92C955E02B}" name="Powercor" dataDxfId="226" totalsRowDxfId="225" dataCellStyle="Table cell" totalsRowCellStyle="Table cell"/>
    <tableColumn id="6" xr3:uid="{0AAE516F-6FEB-4AA2-B87C-2A702430345E}" name="United Energy" dataDxfId="224" totalsRowDxfId="223" dataCellStyle="Table cell" totalsRowCellStyle="Table cell"/>
    <tableColumn id="7" xr3:uid="{21313896-8C89-487A-B319-CED1F8B0C401}" name="Average" dataDxfId="222" totalsRowDxfId="221" dataCellStyle="Table cell" totalsRowCellStyle="Table cell">
      <calculatedColumnFormula>AVERAGE(D55:H55)</calculatedColumnFormula>
    </tableColumn>
  </tableColumns>
  <tableStyleInfo name="Default tabl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9DC0A2-AC8F-4B3C-9546-BB458AD3C7A6}" name="OP_Rates_RES_1" displayName="OP_Rates_RES_1" ref="C19:K27" totalsRowShown="0" headerRowDxfId="220" dataDxfId="218" headerRowBorderDxfId="219" tableBorderDxfId="217" headerRowCellStyle="Table col heading" dataCellStyle="Internal link/lookup">
  <tableColumns count="9">
    <tableColumn id="1" xr3:uid="{E78C1163-A3DD-48CF-86C4-4713E427B63D}" name="Rate name" dataDxfId="216" dataCellStyle="Table cell"/>
    <tableColumn id="3" xr3:uid="{31ACDE4B-AAB5-4640-BE08-6E125BC844E4}" name="Unit" dataDxfId="215" dataCellStyle="Table cell"/>
    <tableColumn id="4" xr3:uid="{B95AFB37-8599-48CB-B375-2E0E5F80DCD9}" name="Customer type" dataDxfId="214" dataCellStyle="Table cell"/>
    <tableColumn id="2" xr3:uid="{F2682DF7-9005-4C15-A85A-9FA6E5E76CD8}" name="-" dataDxfId="213" dataCellStyle="Table cell"/>
    <tableColumn id="5" xr3:uid="{9CB4A5E8-F8B3-45A6-9942-EC4FC685C94A}" name="Ausnet" dataDxfId="212" dataCellStyle="Internal link/lookup">
      <calculatedColumnFormula>IF(SUMIFS(Calc_Rates!G$63:G$139,Calc_Rates!$C$63:$C$139,OP_Rates!$C20,Calc_Rates!$F$63:$F$139,OP_Rates!$E20)=0,"-",SUMIFS(Calc_Rates!G$63:G$139,Calc_Rates!$C$63:$C$139,OP_Rates!$C20,Calc_Rates!$F$63:$F$139,OP_Rates!$E20))</calculatedColumnFormula>
    </tableColumn>
    <tableColumn id="6" xr3:uid="{669EA234-B896-4973-A45B-9E0DF7CF06BA}" name="Citipower" dataDxfId="211" dataCellStyle="Internal link/lookup">
      <calculatedColumnFormula>IF(SUMIFS(Calc_Rates!H$63:H$139,Calc_Rates!$C$63:$C$139,OP_Rates!$C20,Calc_Rates!$F$63:$F$139,OP_Rates!$E20)=0,"-",SUMIFS(Calc_Rates!H$63:H$139,Calc_Rates!$C$63:$C$139,OP_Rates!$C20,Calc_Rates!$F$63:$F$139,OP_Rates!$E20))</calculatedColumnFormula>
    </tableColumn>
    <tableColumn id="7" xr3:uid="{B77A7A81-62E1-4C8C-AE91-1162A78C6068}" name="Jemena" dataDxfId="210" dataCellStyle="Internal link/lookup">
      <calculatedColumnFormula>IF(SUMIFS(Calc_Rates!I$63:I$139,Calc_Rates!$C$63:$C$139,OP_Rates!$C20,Calc_Rates!$F$63:$F$139,OP_Rates!$E20)=0,"-",SUMIFS(Calc_Rates!I$63:I$139,Calc_Rates!$C$63:$C$139,OP_Rates!$C20,Calc_Rates!$F$63:$F$139,OP_Rates!$E20))</calculatedColumnFormula>
    </tableColumn>
    <tableColumn id="8" xr3:uid="{A1C2027B-3C88-4875-88CB-ACD29E96093E}" name="Powercor" dataDxfId="209" dataCellStyle="Internal link/lookup">
      <calculatedColumnFormula>IF(SUMIFS(Calc_Rates!J$63:J$139,Calc_Rates!$C$63:$C$139,OP_Rates!$C20,Calc_Rates!$F$63:$F$139,OP_Rates!$E20)=0,"-",SUMIFS(Calc_Rates!J$63:J$139,Calc_Rates!$C$63:$C$139,OP_Rates!$C20,Calc_Rates!$F$63:$F$139,OP_Rates!$E20))</calculatedColumnFormula>
    </tableColumn>
    <tableColumn id="9" xr3:uid="{FD9385BF-8187-449D-8F2C-5C88233245B6}" name="United Energy" dataDxfId="208" dataCellStyle="Internal link/lookup">
      <calculatedColumnFormula>IF(SUMIFS(Calc_Rates!K$63:K$139,Calc_Rates!$C$63:$C$139,OP_Rates!$C20,Calc_Rates!$F$63:$F$139,OP_Rates!$E20)=0,"-",SUMIFS(Calc_Rates!K$63:K$139,Calc_Rates!$C$63:$C$139,OP_Rates!$C20,Calc_Rates!$F$63:$F$139,OP_Rates!$E20))</calculatedColumnFormula>
    </tableColumn>
  </tableColumns>
  <tableStyleInfo name="Default tabl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F4CE869-0C56-420A-9C47-EF4446BA5787}" name="OP_Rates_SME_1" displayName="OP_Rates_SME_1" ref="M19:U27" totalsRowShown="0" headerRowDxfId="207" dataDxfId="205" headerRowBorderDxfId="206" tableBorderDxfId="204" headerRowCellStyle="Table col heading" dataCellStyle="Internal link/lookup">
  <tableColumns count="9">
    <tableColumn id="1" xr3:uid="{D27CB02D-C880-42BA-8A91-6A1E16B41704}" name="Rate name" dataDxfId="203" dataCellStyle="Table cell"/>
    <tableColumn id="3" xr3:uid="{8D3D4CDE-7941-453F-A7D2-1DCF4C88CBE2}" name="Unit" dataDxfId="202" dataCellStyle="Table cell"/>
    <tableColumn id="4" xr3:uid="{6B4BCB35-90DC-4E06-A680-4545F6EFC0EF}" name="Customer type" dataDxfId="201" dataCellStyle="Table cell"/>
    <tableColumn id="2" xr3:uid="{E9424C30-CDA0-432E-B849-6901BA45511B}" name="-" dataDxfId="200" dataCellStyle="Table cell"/>
    <tableColumn id="5" xr3:uid="{F1DF3EB2-65A6-4DE4-95FA-10252DB899BE}" name="Ausnet" dataDxfId="199" dataCellStyle="Internal link/lookup"/>
    <tableColumn id="6" xr3:uid="{D03672B6-E990-42AC-A5B0-852970523C84}" name="Citipower" dataDxfId="198" dataCellStyle="Internal link/lookup"/>
    <tableColumn id="7" xr3:uid="{0963EA57-64B0-42D0-8E54-91364C6BB07D}" name="Jemena" dataDxfId="197" dataCellStyle="Internal link/lookup"/>
    <tableColumn id="8" xr3:uid="{FA086775-EDB3-437E-98E2-743CF43E2CD6}" name="Powercor" dataDxfId="196" dataCellStyle="Internal link/lookup"/>
    <tableColumn id="9" xr3:uid="{BD89ACA8-91CC-445D-A6A8-D18D25F8F791}" name="United Energy" dataDxfId="195" dataCellStyle="Internal link/lookup"/>
  </tableColumns>
  <tableStyleInfo name="Default tabl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62F88B8-AD2B-48D5-B9A0-A6F8233392FC}" name="OP_Rates_RES_2" displayName="OP_Rates_RES_2" ref="C92:K100" totalsRowShown="0" headerRowDxfId="194" dataDxfId="192" headerRowBorderDxfId="193" tableBorderDxfId="191" headerRowCellStyle="Table col heading" dataCellStyle="Internal link/lookup">
  <tableColumns count="9">
    <tableColumn id="1" xr3:uid="{E12D8BB7-7DC5-4C01-A1DF-2C5092D6D281}" name="Rate name" dataDxfId="190" dataCellStyle="Table cell"/>
    <tableColumn id="3" xr3:uid="{9B50B068-A20B-4598-8290-BF3F0B0D57EC}" name="Unit" dataDxfId="189" dataCellStyle="Table cell"/>
    <tableColumn id="4" xr3:uid="{A745D100-FCD8-4948-BAE1-379CE68563D2}" name="Customer type" dataDxfId="188" dataCellStyle="Table cell"/>
    <tableColumn id="2" xr3:uid="{036C2A5D-6065-4DF0-AAB3-E8921DA08FC2}" name="-" dataDxfId="187" dataCellStyle="Table cell"/>
    <tableColumn id="5" xr3:uid="{A01E3015-10DD-4402-9C8C-004F533C0307}" name="Ausnet" dataDxfId="186" dataCellStyle="Internal link/lookup">
      <calculatedColumnFormula>IF(SUMIFS(Calc_Rates!G$63:G$139,Calc_Rates!$C$63:$C$139,OP_Rates!$C93,Calc_Rates!$F$63:$F$139,OP_Rates!$E93)=0,"-",SUMIFS(Calc_Rates!G$63:G$139,Calc_Rates!$C$63:$C$139,OP_Rates!$C93,Calc_Rates!$F$63:$F$139,OP_Rates!$E93))</calculatedColumnFormula>
    </tableColumn>
    <tableColumn id="6" xr3:uid="{DCD1340B-8D59-43A1-99C0-DAB67D15E969}" name="Citipower" dataDxfId="185" dataCellStyle="Internal link/lookup"/>
    <tableColumn id="7" xr3:uid="{B04CCA25-39DB-491F-BEA7-EFA7273E728A}" name="Jemena" dataDxfId="184" dataCellStyle="Internal link/lookup"/>
    <tableColumn id="8" xr3:uid="{C71DCC1C-CCB0-40E6-96E6-F5CDADD8B122}" name="Powercor" dataDxfId="183" dataCellStyle="Internal link/lookup"/>
    <tableColumn id="9" xr3:uid="{0B2E8CE8-F4F9-4846-83C4-FD2DFABC3C97}" name="United Energy" dataDxfId="182" dataCellStyle="Internal link/lookup"/>
  </tableColumns>
  <tableStyleInfo name="Default tabl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1148602-7459-4803-87B6-C831DEC44EC0}" name="OP_Rates_SME_2" displayName="OP_Rates_SME_2" ref="M92:U100" totalsRowShown="0" headerRowDxfId="181" dataDxfId="179" headerRowBorderDxfId="180" tableBorderDxfId="178" headerRowCellStyle="Table col heading" dataCellStyle="Internal link/lookup">
  <tableColumns count="9">
    <tableColumn id="1" xr3:uid="{97447A12-70C5-49D9-A9E5-AEA25F884FA1}" name="Rate name" dataDxfId="177" dataCellStyle="Table cell"/>
    <tableColumn id="3" xr3:uid="{2E2D66FB-47ED-43DF-A9CB-A2A955515374}" name="Unit" dataDxfId="176" dataCellStyle="Table cell"/>
    <tableColumn id="4" xr3:uid="{3F2FC573-2AD7-4D41-8610-CC1693F433D0}" name="Customer type" dataDxfId="175" dataCellStyle="Table cell"/>
    <tableColumn id="2" xr3:uid="{0923915D-2DEA-4E2B-98A9-C7D61F13E764}" name="-" dataDxfId="174" dataCellStyle="Table cell"/>
    <tableColumn id="5" xr3:uid="{E1BD715C-539D-44A0-B07A-26372BFE7814}" name="Ausnet" dataDxfId="173" dataCellStyle="Internal link/lookup"/>
    <tableColumn id="6" xr3:uid="{DD804863-CB84-4F97-A3F4-DA8AA3710A39}" name="Citipower" dataDxfId="172" dataCellStyle="Internal link/lookup"/>
    <tableColumn id="7" xr3:uid="{C21B25A8-D01D-48E4-9F05-9CE92DF68805}" name="Jemena" dataDxfId="171" dataCellStyle="Internal link/lookup"/>
    <tableColumn id="8" xr3:uid="{29D436D3-A10E-420D-BA0A-B4F3748975DA}" name="Powercor" dataDxfId="170" dataCellStyle="Internal link/lookup"/>
    <tableColumn id="9" xr3:uid="{1952C4E9-7E24-444C-A20B-0F52828AE40D}" name="United Energy" dataDxfId="169" dataCellStyle="Internal link/lookup"/>
  </tableColumns>
  <tableStyleInfo name="Default tabl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2DAC482D-F423-4BB1-8E59-F00A38D3CBB1}" name="OP_RatesTU_RES_2" displayName="OP_RatesTU_RES_2" ref="C103:K112" totalsRowShown="0" headerRowDxfId="168" dataDxfId="166" headerRowBorderDxfId="167" tableBorderDxfId="165" headerRowCellStyle="Table col heading" dataCellStyle="Internal link/lookup">
  <tableColumns count="9">
    <tableColumn id="1" xr3:uid="{E6DACF48-AAD3-4B44-8D3A-458714AA3224}" name="Rate name" dataDxfId="164" dataCellStyle="Table cell"/>
    <tableColumn id="2" xr3:uid="{811FF1AC-CED0-4823-AEE8-4CD78F706245}" name="Unit" dataDxfId="163" dataCellStyle="Table cell"/>
    <tableColumn id="3" xr3:uid="{BC4BC08A-6590-4549-AE2B-11F5B4196FEC}" name="Customer type" dataDxfId="162" dataCellStyle="Table cell"/>
    <tableColumn id="4" xr3:uid="{F70B0783-4C97-416B-A3FA-83DEEC36DD93}" name="Cost element" dataDxfId="161" dataCellStyle="Table cell"/>
    <tableColumn id="5" xr3:uid="{D6B56A29-DEAB-4BAF-9917-AEABCE4AAD1E}" name="Ausnet" dataDxfId="160"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calculatedColumnFormula>
    </tableColumn>
    <tableColumn id="6" xr3:uid="{EA6FD84F-66D4-4F51-A153-F8802F930F0F}" name="Citipower" dataDxfId="159"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calculatedColumnFormula>
    </tableColumn>
    <tableColumn id="7" xr3:uid="{2E9A544A-3531-4E17-9996-F185A676A58E}" name="Jemena" dataDxfId="158"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calculatedColumnFormula>
    </tableColumn>
    <tableColumn id="8" xr3:uid="{B159A814-6932-40BB-8657-EE60FC7A8539}" name="Powercor" dataDxfId="157"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calculatedColumnFormula>
    </tableColumn>
    <tableColumn id="9" xr3:uid="{E5EFB52A-128C-463D-BA62-7C010A23850E}" name="United Energy" dataDxfId="156"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calculatedColumnFormula>
    </tableColumn>
  </tableColumns>
  <tableStyleInfo name="Default tabl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743AF80E-DA00-49A0-A159-7CB4D1510410}" name="OP_RatesTU_SME_2" displayName="OP_RatesTU_SME_2" ref="M103:U112" totalsRowShown="0" headerRowDxfId="155" dataDxfId="153" headerRowBorderDxfId="154" tableBorderDxfId="152" headerRowCellStyle="Table col heading" dataCellStyle="Internal link/lookup">
  <tableColumns count="9">
    <tableColumn id="1" xr3:uid="{D68FF8AE-5781-4255-BEA3-9E4E2B088DC9}" name="Rate name" dataDxfId="151" dataCellStyle="Table cell"/>
    <tableColumn id="2" xr3:uid="{050CECEC-B13D-445D-BECE-B28F63E59C08}" name="Unit" dataDxfId="150" dataCellStyle="Table cell"/>
    <tableColumn id="3" xr3:uid="{A450D655-A125-49C9-9A0F-3AA46242B60C}" name="Customer type" dataDxfId="149" dataCellStyle="Table cell"/>
    <tableColumn id="4" xr3:uid="{77C75CCA-D769-45F7-ACE7-23CCDD8A0810}" name="Cost element" dataDxfId="148" dataCellStyle="Table cell"/>
    <tableColumn id="5" xr3:uid="{F2725072-29B9-4CB3-887D-563B8DD59831}" name="Ausnet" dataDxfId="147"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calculatedColumnFormula>
    </tableColumn>
    <tableColumn id="6" xr3:uid="{E4A449F9-EA18-418F-BC67-AE1FCC5E9F1C}" name="Citipower" dataDxfId="146"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calculatedColumnFormula>
    </tableColumn>
    <tableColumn id="7" xr3:uid="{B402EAD2-D706-473C-BDA1-7A0E47075E01}" name="Jemena" dataDxfId="145"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calculatedColumnFormula>
    </tableColumn>
    <tableColumn id="8" xr3:uid="{97A3C1DD-56FB-4F27-AEE3-30EA5D428A98}" name="Powercor" dataDxfId="144"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calculatedColumnFormula>
    </tableColumn>
    <tableColumn id="9" xr3:uid="{561B1A63-A796-4486-9F20-06B3F749C9E3}" name="United Energy" dataDxfId="143"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calculatedColumnFormula>
    </tableColumn>
  </tableColumns>
  <tableStyleInfo name="Default tabl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259EE597-E6A4-44E4-944B-CDA626B5424B}" name="OP_TotalRates_RES_2" displayName="OP_TotalRates_RES_2" ref="C81:K89" totalsRowShown="0" headerRowDxfId="142" dataDxfId="140" headerRowBorderDxfId="141" tableBorderDxfId="139" headerRowCellStyle="Table col heading">
  <tableColumns count="9">
    <tableColumn id="1" xr3:uid="{B296EB3D-E1CD-4637-9283-577B47AFA9A8}" name="Rate name" dataDxfId="138" dataCellStyle="Table cell"/>
    <tableColumn id="2" xr3:uid="{EA2CEDA9-E825-4F7B-B818-53C4D2298ACA}" name="Unit" dataDxfId="137" dataCellStyle="Table cell"/>
    <tableColumn id="3" xr3:uid="{36EFECE8-C52B-4F8C-92EF-2B882EAD862E}" name="Customer type" dataDxfId="136" dataCellStyle="Table cell"/>
    <tableColumn id="4" xr3:uid="{4C89433C-DBD0-484D-A453-D4B50CC1EA25}" name="-" dataDxfId="135" dataCellStyle="Table cell"/>
    <tableColumn id="5" xr3:uid="{4ACF9A4B-7DA7-4470-89DC-4E06ABC5E77E}" name="Ausnet" dataDxfId="134" dataCellStyle="Table cell">
      <calculatedColumnFormula array="1">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calculatedColumnFormula>
    </tableColumn>
    <tableColumn id="6" xr3:uid="{6259725D-7D50-451A-B378-89B6848CEA53}" name="Citipower" dataDxfId="133" dataCellStyle="Table cell">
      <calculatedColumnFormula array="1">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calculatedColumnFormula>
    </tableColumn>
    <tableColumn id="7" xr3:uid="{3CB60922-6057-4639-94B8-707474840F4B}" name="Jemena" dataDxfId="132" dataCellStyle="Table cell">
      <calculatedColumnFormula array="1">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calculatedColumnFormula>
    </tableColumn>
    <tableColumn id="8" xr3:uid="{826D1692-DC0C-4317-A6F5-9D4E7153FBC1}" name="Powercor" dataDxfId="131" dataCellStyle="Table cell">
      <calculatedColumnFormula array="1">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calculatedColumnFormula>
    </tableColumn>
    <tableColumn id="9" xr3:uid="{B5E44275-79B2-41BC-8097-33A90558A19F}" name="United Energy" dataDxfId="130" dataCellStyle="Table cell">
      <calculatedColumnFormula array="1">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calculatedColumnFormula>
    </tableColumn>
  </tableColumns>
  <tableStyleInfo name="Default tabl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504AC9F5-FD18-4D06-A7AC-1599A20A14AB}" name="OP_TotalRates_SME_2" displayName="OP_TotalRates_SME_2" ref="M81:U89" totalsRowShown="0" headerRowDxfId="129" dataDxfId="127" headerRowBorderDxfId="128" tableBorderDxfId="126" totalsRowBorderDxfId="125" headerRowCellStyle="Table col heading" dataCellStyle="Table cell">
  <tableColumns count="9">
    <tableColumn id="1" xr3:uid="{DC5AEBFC-A846-492A-9A3D-3C7B70A489D9}" name="Rate name" dataDxfId="124" dataCellStyle="Table cell"/>
    <tableColumn id="2" xr3:uid="{61A248F6-55CA-4DCE-9C91-D6A9AED0FDC4}" name="Unit" dataDxfId="123" dataCellStyle="Table cell"/>
    <tableColumn id="3" xr3:uid="{CBD751F5-C15F-4B12-80C4-7B799928ED9C}" name="Customer type" dataDxfId="122" dataCellStyle="Table cell"/>
    <tableColumn id="4" xr3:uid="{5030C31E-5AD7-4F56-A84F-C30DC69E7E84}" name="-" dataDxfId="121" dataCellStyle="Table cell"/>
    <tableColumn id="5" xr3:uid="{CB1F387B-FA11-477B-9107-645E6D46001E}" name="Ausnet" dataDxfId="120" dataCellStyle="Table cell">
      <calculatedColumnFormula array="1">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calculatedColumnFormula>
    </tableColumn>
    <tableColumn id="6" xr3:uid="{18B5BA61-65BA-4620-AB6C-9F9986211959}" name="Citipower" dataDxfId="119" dataCellStyle="Table cell">
      <calculatedColumnFormula array="1">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calculatedColumnFormula>
    </tableColumn>
    <tableColumn id="7" xr3:uid="{659B9969-5A85-4180-AA25-716A2E7F41B2}" name="Jemena" dataDxfId="118" dataCellStyle="Table cell">
      <calculatedColumnFormula array="1">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calculatedColumnFormula>
    </tableColumn>
    <tableColumn id="8" xr3:uid="{17A869EE-93CC-4116-83C5-BA1B6DD4154B}" name="Powercor" dataDxfId="117" dataCellStyle="Table cell">
      <calculatedColumnFormula array="1">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calculatedColumnFormula>
    </tableColumn>
    <tableColumn id="9" xr3:uid="{763A5092-A841-48AE-A61A-D58EAB0E4FA5}" name="United Energy" dataDxfId="116" dataCellStyle="Table cell">
      <calculatedColumnFormula array="1">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calculatedColumnFormula>
    </tableColumn>
  </tableColumns>
  <tableStyleInfo name="Default tabl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C68F836F-BFAF-4D94-8E10-FB158016F93D}" name="OP_TotalRates_RES_1" displayName="OP_TotalRates_RES_1" ref="C8:K16" totalsRowShown="0" headerRowDxfId="115" dataDxfId="113" headerRowBorderDxfId="114" tableBorderDxfId="112" headerRowCellStyle="Table col heading">
  <tableColumns count="9">
    <tableColumn id="1" xr3:uid="{EFBA7F8E-5702-4B5F-A24C-D58F32BECFFD}" name="Rate name" dataDxfId="111" dataCellStyle="Table cell"/>
    <tableColumn id="2" xr3:uid="{24CBE57F-78AE-413E-88DE-E3AFD3FAC564}" name="Unit" dataDxfId="110" dataCellStyle="Table cell"/>
    <tableColumn id="3" xr3:uid="{CC5F9EDC-12A7-4A47-87A8-B10E13AC49C0}" name="Customer type" dataDxfId="109" dataCellStyle="Table cell"/>
    <tableColumn id="4" xr3:uid="{6028E8A5-6981-468F-8C25-5C3250F89BE4}" name="-" dataDxfId="108" dataCellStyle="Table cell"/>
    <tableColumn id="5" xr3:uid="{19AB9587-A48D-452C-A107-3AD3AECADD01}" name="Ausnet" dataDxfId="107" dataCellStyle="Table cell">
      <calculatedColumnFormula array="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6" xr3:uid="{5ADC659C-CDAF-412F-A469-5F305214C88F}" name="Citipower" dataDxfId="106" dataCellStyle="Table cell">
      <calculatedColumnFormula array="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7" xr3:uid="{A8D8F831-A0DC-4582-9262-C3C3BBD0BC92}" name="Jemena" dataDxfId="105" dataCellStyle="Table cell">
      <calculatedColumnFormula array="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8" xr3:uid="{64D6C646-6150-4639-ABF2-AE215E5A4B51}" name="Powercor" dataDxfId="104" dataCellStyle="Table cell">
      <calculatedColumnFormula array="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9" xr3:uid="{BC7F9AB5-3ED3-42A5-B1F1-C1AA07207FF4}" name="United Energy" dataDxfId="103" dataCellStyle="Table cell">
      <calculatedColumnFormula array="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s>
  <tableStyleInfo name="Default tabl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225A8613-B156-4E18-B29B-6F0EDD6D2F86}" name="OP_TotalRates_SME_1" displayName="OP_TotalRates_SME_1" ref="M8:U16" totalsRowShown="0" headerRowDxfId="102" dataDxfId="100" headerRowBorderDxfId="101" tableBorderDxfId="99" totalsRowBorderDxfId="98" headerRowCellStyle="Table col heading" dataCellStyle="Table cell">
  <tableColumns count="9">
    <tableColumn id="1" xr3:uid="{C1A5C6F0-D41E-4832-A0D0-06DD1D76E1EE}" name="Rate name" dataDxfId="97" dataCellStyle="Table cell"/>
    <tableColumn id="2" xr3:uid="{845C0D52-D2ED-4E94-BAD9-3BC221A1B4D6}" name="Unit" dataDxfId="96" dataCellStyle="Table cell"/>
    <tableColumn id="3" xr3:uid="{F7EC689D-02E3-4F6F-B915-FB8FE642570C}" name="Customer type" dataDxfId="95" dataCellStyle="Table cell"/>
    <tableColumn id="4" xr3:uid="{C4F34141-B33C-47EB-964B-78FFC9127264}" name="-" dataDxfId="94" dataCellStyle="Table cell"/>
    <tableColumn id="5" xr3:uid="{759561F8-C1F4-4740-BBC1-CD3BBC1A4B6D}" name="Ausnet" dataDxfId="93" dataCellStyle="Table cell">
      <calculatedColumnFormula array="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6" xr3:uid="{8DB3D203-F696-471E-A81B-2603227D4C1C}" name="Citipower" dataDxfId="92" dataCellStyle="Table cell">
      <calculatedColumnFormula array="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7" xr3:uid="{12599797-6DB1-4752-A91D-D4F5623A9C9B}" name="Jemena" dataDxfId="91" dataCellStyle="Table cell">
      <calculatedColumnFormula array="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8" xr3:uid="{38D6C70A-AEA2-4EE5-BB10-DC85E9F4FBEF}" name="Powercor" dataDxfId="90" dataCellStyle="Table cell">
      <calculatedColumnFormula array="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9" xr3:uid="{3266CD91-BF6F-45E4-999E-6CBA79B9C8E8}" name="United Energy" dataDxfId="89" dataCellStyle="Table cell">
      <calculatedColumnFormula array="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s>
  <tableStyleInfo name="Default tabl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FEB8D17F-5D68-4130-BFBB-1A43FBFC16A3}" name="OP_RatesTU_RES_1" displayName="OP_RatesTU_RES_1" ref="C30:K39" totalsRowShown="0" headerRowDxfId="88" dataDxfId="86" headerRowBorderDxfId="87" tableBorderDxfId="85" headerRowCellStyle="Table col heading" dataCellStyle="Internal link/lookup">
  <tableColumns count="9">
    <tableColumn id="1" xr3:uid="{EDE28CA5-A06C-49F9-A068-256EFAE7F168}" name="Rate name" dataDxfId="84" dataCellStyle="Table cell"/>
    <tableColumn id="2" xr3:uid="{F8BA328E-C870-4835-A420-6C613706B330}" name="Unit" dataDxfId="83" dataCellStyle="Table cell"/>
    <tableColumn id="3" xr3:uid="{2848F034-ACD7-4EBD-8A6C-818F974EFF49}" name="Customer type" dataDxfId="82" dataCellStyle="Table cell"/>
    <tableColumn id="4" xr3:uid="{2962F910-A75B-405C-9C97-A0C617F4A661}" name="Cost element" dataDxfId="81" dataCellStyle="Table cell"/>
    <tableColumn id="5" xr3:uid="{686EA705-D4CF-4833-A268-FE69EB04E7AF}" name="Ausnet" dataDxfId="80"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calculatedColumnFormula>
    </tableColumn>
    <tableColumn id="6" xr3:uid="{9B8ED77B-C08F-4D34-8E42-4A9655A90B4C}" name="Citipower" dataDxfId="79"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calculatedColumnFormula>
    </tableColumn>
    <tableColumn id="7" xr3:uid="{12E49AC4-261F-464A-AB58-F13487FE2360}" name="Jemena" dataDxfId="78"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calculatedColumnFormula>
    </tableColumn>
    <tableColumn id="8" xr3:uid="{5A3667C2-AFFE-442F-B9A7-EB8AEA384D28}" name="Powercor" dataDxfId="77"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calculatedColumnFormula>
    </tableColumn>
    <tableColumn id="9" xr3:uid="{B2228E7E-67E5-4ECB-BC40-E0E7E16BAD7E}" name="United Energy" dataDxfId="76"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calculatedColumnFormula>
    </tableColumn>
  </tableColumns>
  <tableStyleInfo name="Default tabl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B81553BE-E008-47C5-AF75-1727F1702120}" name="OP_RatesTU_SME_1" displayName="OP_RatesTU_SME_1" ref="M30:U39" totalsRowShown="0" headerRowDxfId="75" dataDxfId="73" headerRowBorderDxfId="74" tableBorderDxfId="72" headerRowCellStyle="Table col heading" dataCellStyle="Internal link/lookup">
  <tableColumns count="9">
    <tableColumn id="1" xr3:uid="{45406C57-34CB-4B65-8E2B-1D5152BD0A25}" name="Rate name" dataDxfId="71" dataCellStyle="Table cell"/>
    <tableColumn id="2" xr3:uid="{2FA43327-1E12-456B-A0E8-9000AD58FD7D}" name="Unit" dataDxfId="70" dataCellStyle="Table cell"/>
    <tableColumn id="3" xr3:uid="{4C2AA5BA-F3B5-45BE-85C2-C987C331A4BA}" name="Customer type" dataDxfId="69" dataCellStyle="Table cell"/>
    <tableColumn id="4" xr3:uid="{9DC50DAB-4D1C-4AC1-A5AF-E33DB96A5A0F}" name="Cost element" dataDxfId="68" dataCellStyle="Table cell"/>
    <tableColumn id="5" xr3:uid="{A13D3C70-92AE-4F16-91DA-A2562019C4A7}" name="Ausnet" dataDxfId="67"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calculatedColumnFormula>
    </tableColumn>
    <tableColumn id="6" xr3:uid="{6C8D8A13-598E-4820-8EAC-0364F4D1FB1E}" name="Citipower" dataDxfId="66"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calculatedColumnFormula>
    </tableColumn>
    <tableColumn id="7" xr3:uid="{7DD7EBBA-DA06-49A8-AC07-9371903F86CD}" name="Jemena" dataDxfId="65"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calculatedColumnFormula>
    </tableColumn>
    <tableColumn id="8" xr3:uid="{F9EC145C-9D67-49B2-A213-5370F048104E}" name="Powercor" dataDxfId="64"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calculatedColumnFormula>
    </tableColumn>
    <tableColumn id="9" xr3:uid="{4EC1B886-E7FA-4600-BED1-B95F3DBB98F2}" name="United Energy" dataDxfId="63"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calculatedColumnFormula>
    </tableColumn>
  </tableColumns>
  <tableStyleInfo name="Default tabl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981ECF00-A28C-4DAE-BCAD-B3F05BFD6430}" name="CMAB_RES_1" displayName="CMAB_RES_1" ref="C10:I13" totalsRowShown="0" headerRowDxfId="62" headerRowBorderDxfId="61" tableBorderDxfId="60" totalsRowBorderDxfId="59" headerRowCellStyle="Table col heading">
  <tableColumns count="7">
    <tableColumn id="1" xr3:uid="{84FEBB47-56AD-49B3-9311-BA71F8AEC495}" name="Customer type"/>
    <tableColumn id="2" xr3:uid="{AC9F98FB-8140-41C9-84B7-22980FC208CE}" name="Usage profile" dataDxfId="58"/>
    <tableColumn id="3" xr3:uid="{A389BDD1-8970-442A-9855-389673EB38C0}" name="Ausnet" dataDxfId="57" dataCellStyle="Table cell">
      <calculatedColumnFormula>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INDEX(Input_Usage[],MATCH($D11&amp;" - Block 1",Input_Usage[[Ref]:[Ref]],0),MATCH($D$7,Inputs!$C$147:$Y$147,0))),0)+
IFERROR((INDEX(OP_TotalRates_RES_1[[Ausnet]:[United Energy]],MATCH("Balance",OP_TotalRates_RES_1[[Rate name]:[Rate name]],0),MATCH(E$10,OP_TotalRates_RES_1[[#Headers],[Ausnet]:[United Energy]],0))*
INDEX(Input_Usage[],MATCH($D11&amp;" - Balance",Input_Usage[[Ref]:[Ref]],0),MATCH($D$7,Inputs!$C$147:$Y$147,0))),0)+
IFERROR((INDEX(OP_TotalRates_RES_1[[Ausnet]:[United Energy]],MATCH("Single rate",OP_TotalRates_RES_1[[Rate name]:[Rate name]],0),MATCH(E$10,OP_TotalRates_RES_1[[#Headers],[Ausnet]:[United Energy]],0))*
INDEX(Input_Usage[],MATCH($D11&amp;" - Annual",Input_Usage[[Ref]:[Ref]],0),MATCH($D$7,Inputs!$C$147:$Y$147,0))),0)),0),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INDEX(Input_Usage[],MATCH($D11&amp;" - Peak",Input_Usage[[Ref]:[Ref]],0),MATCH($D$7,Inputs!$C$147:$Y$147,0)))+
IFERROR((INDEX(OP_TotalRates_RES_1[[Ausnet]:[United Energy]],MATCH("TOU - Shoulder",OP_TotalRates_RES_1[[Rate name]:[Rate name]],0),MATCH(E$10,OP_TotalRates_RES_1[[#Headers],[Ausnet]:[United Energy]],0))*
INDEX(Input_Usage[],MATCH($D11&amp;" - Shoulder",Input_Usage[[Ref]:[Ref]],0),MATCH($D$7,Inputs!$C$147:$Y$147,0))),0)+
(INDEX(OP_TotalRates_RES_1[[Ausnet]:[United Energy]],MATCH("Off peak",OP_TotalRates_RES_1[[Rate name]:[Rate name]],0),MATCH(E$10,OP_TotalRates_RES_1[[#Headers],[Ausnet]:[United Energy]],0))*
INDEX(Input_Usage[],MATCH($D11&amp;" - Off peak",Input_Usage[[Ref]:[Ref]],0),MATCH($D$7,Inputs!$C$147:$Y$147,0))),0)),"-")</calculatedColumnFormula>
    </tableColumn>
    <tableColumn id="4" xr3:uid="{BA39D082-53B0-4996-8C75-52452724B87F}" name="Citipower" dataDxfId="56">
      <calculatedColumnFormula>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INDEX(Input_Usage[],MATCH($D11&amp;" - Block 1",Input_Usage[[Ref]:[Ref]],0),MATCH($D$7,Inputs!$C$147:$Y$147,0))),0)+
IFERROR((INDEX(OP_TotalRates_RES_1[[Ausnet]:[United Energy]],MATCH("Balance",OP_TotalRates_RES_1[[Rate name]:[Rate name]],0),MATCH(F$10,OP_TotalRates_RES_1[[#Headers],[Ausnet]:[United Energy]],0))*
INDEX(Input_Usage[],MATCH($D11&amp;" - Balance",Input_Usage[[Ref]:[Ref]],0),MATCH($D$7,Inputs!$C$147:$Y$147,0))),0)+
IFERROR((INDEX(OP_TotalRates_RES_1[[Ausnet]:[United Energy]],MATCH("Single rate",OP_TotalRates_RES_1[[Rate name]:[Rate name]],0),MATCH(F$10,OP_TotalRates_RES_1[[#Headers],[Ausnet]:[United Energy]],0))*
INDEX(Input_Usage[],MATCH($D11&amp;" - Annual",Input_Usage[[Ref]:[Ref]],0),MATCH($D$7,Inputs!$C$147:$Y$147,0))),0)),0),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INDEX(Input_Usage[],MATCH($D11&amp;" - Peak",Input_Usage[[Ref]:[Ref]],0),MATCH($D$7,Inputs!$C$147:$Y$147,0)))+
IFERROR((INDEX(OP_TotalRates_RES_1[[Ausnet]:[United Energy]],MATCH("TOU - Shoulder",OP_TotalRates_RES_1[[Rate name]:[Rate name]],0),MATCH(F$10,OP_TotalRates_RES_1[[#Headers],[Ausnet]:[United Energy]],0))*
INDEX(Input_Usage[],MATCH($D11&amp;" - Shoulder",Input_Usage[[Ref]:[Ref]],0),MATCH($D$7,Inputs!$C$147:$Y$147,0))),0)+
(INDEX(OP_TotalRates_RES_1[[Ausnet]:[United Energy]],MATCH("Off peak",OP_TotalRates_RES_1[[Rate name]:[Rate name]],0),MATCH(F$10,OP_TotalRates_RES_1[[#Headers],[Ausnet]:[United Energy]],0))*
INDEX(Input_Usage[],MATCH($D11&amp;" - Off peak",Input_Usage[[Ref]:[Ref]],0),MATCH($D$7,Inputs!$C$147:$Y$147,0))),0)),"-")</calculatedColumnFormula>
    </tableColumn>
    <tableColumn id="5" xr3:uid="{282AD3F8-3333-43B4-86C8-A1CA8ED95F00}" name="Jemena" dataDxfId="55">
      <calculatedColumnFormula>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INDEX(Input_Usage[],MATCH($D11&amp;" - Block 1",Input_Usage[[Ref]:[Ref]],0),MATCH($D$7,Inputs!$C$147:$Y$147,0))),0)+
IFERROR((INDEX(OP_TotalRates_RES_1[[Ausnet]:[United Energy]],MATCH("Balance",OP_TotalRates_RES_1[[Rate name]:[Rate name]],0),MATCH(G$10,OP_TotalRates_RES_1[[#Headers],[Ausnet]:[United Energy]],0))*
INDEX(Input_Usage[],MATCH($D11&amp;" - Balance",Input_Usage[[Ref]:[Ref]],0),MATCH($D$7,Inputs!$C$147:$Y$147,0))),0)+
IFERROR((INDEX(OP_TotalRates_RES_1[[Ausnet]:[United Energy]],MATCH("Single rate",OP_TotalRates_RES_1[[Rate name]:[Rate name]],0),MATCH(G$10,OP_TotalRates_RES_1[[#Headers],[Ausnet]:[United Energy]],0))*
INDEX(Input_Usage[],MATCH($D11&amp;" - Annual",Input_Usage[[Ref]:[Ref]],0),MATCH($D$7,Inputs!$C$147:$Y$147,0))),0)),0),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INDEX(Input_Usage[],MATCH($D11&amp;" - Peak",Input_Usage[[Ref]:[Ref]],0),MATCH($D$7,Inputs!$C$147:$Y$147,0)))+
IFERROR((INDEX(OP_TotalRates_RES_1[[Ausnet]:[United Energy]],MATCH("TOU - Shoulder",OP_TotalRates_RES_1[[Rate name]:[Rate name]],0),MATCH(G$10,OP_TotalRates_RES_1[[#Headers],[Ausnet]:[United Energy]],0))*
INDEX(Input_Usage[],MATCH($D11&amp;" - Shoulder",Input_Usage[[Ref]:[Ref]],0),MATCH($D$7,Inputs!$C$147:$Y$147,0))),0)+
(INDEX(OP_TotalRates_RES_1[[Ausnet]:[United Energy]],MATCH("Off peak",OP_TotalRates_RES_1[[Rate name]:[Rate name]],0),MATCH(G$10,OP_TotalRates_RES_1[[#Headers],[Ausnet]:[United Energy]],0))*
INDEX(Input_Usage[],MATCH($D11&amp;" - Off peak",Input_Usage[[Ref]:[Ref]],0),MATCH($D$7,Inputs!$C$147:$Y$147,0))),0)),"-")</calculatedColumnFormula>
    </tableColumn>
    <tableColumn id="6" xr3:uid="{8787BD47-D93F-4B34-86AA-1295F8CA6ECE}" name="Powercor" dataDxfId="54">
      <calculatedColumnFormula>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INDEX(Input_Usage[],MATCH($D11&amp;" - Block 1",Input_Usage[[Ref]:[Ref]],0),MATCH($D$7,Inputs!$C$147:$Y$147,0))),0)+
IFERROR((INDEX(OP_TotalRates_RES_1[[Ausnet]:[United Energy]],MATCH("Balance",OP_TotalRates_RES_1[[Rate name]:[Rate name]],0),MATCH(H$10,OP_TotalRates_RES_1[[#Headers],[Ausnet]:[United Energy]],0))*
INDEX(Input_Usage[],MATCH($D11&amp;" - Balance",Input_Usage[[Ref]:[Ref]],0),MATCH($D$7,Inputs!$C$147:$Y$147,0))),0)+
IFERROR((INDEX(OP_TotalRates_RES_1[[Ausnet]:[United Energy]],MATCH("Single rate",OP_TotalRates_RES_1[[Rate name]:[Rate name]],0),MATCH(H$10,OP_TotalRates_RES_1[[#Headers],[Ausnet]:[United Energy]],0))*
INDEX(Input_Usage[],MATCH($D11&amp;" - Annual",Input_Usage[[Ref]:[Ref]],0),MATCH($D$7,Inputs!$C$147:$Y$147,0))),0)),0),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INDEX(Input_Usage[],MATCH($D11&amp;" - Peak",Input_Usage[[Ref]:[Ref]],0),MATCH($D$7,Inputs!$C$147:$Y$147,0)))+
IFERROR((INDEX(OP_TotalRates_RES_1[[Ausnet]:[United Energy]],MATCH("TOU - Shoulder",OP_TotalRates_RES_1[[Rate name]:[Rate name]],0),MATCH(H$10,OP_TotalRates_RES_1[[#Headers],[Ausnet]:[United Energy]],0))*
INDEX(Input_Usage[],MATCH($D11&amp;" - Shoulder",Input_Usage[[Ref]:[Ref]],0),MATCH($D$7,Inputs!$C$147:$Y$147,0))),0)+
(INDEX(OP_TotalRates_RES_1[[Ausnet]:[United Energy]],MATCH("Off peak",OP_TotalRates_RES_1[[Rate name]:[Rate name]],0),MATCH(H$10,OP_TotalRates_RES_1[[#Headers],[Ausnet]:[United Energy]],0))*
INDEX(Input_Usage[],MATCH($D11&amp;" - Off peak",Input_Usage[[Ref]:[Ref]],0),MATCH($D$7,Inputs!$C$147:$Y$147,0))),0)),"-")</calculatedColumnFormula>
    </tableColumn>
    <tableColumn id="7" xr3:uid="{6DCB4D75-0C84-4A70-9F7B-3AA3F67D07AB}" name="United Energy" dataDxfId="53">
      <calculatedColumnFormula>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INDEX(Input_Usage[],MATCH($D11&amp;" - Block 1",Input_Usage[[Ref]:[Ref]],0),MATCH($D$7,Inputs!$C$147:$Y$147,0))),0)+
IFERROR((INDEX(OP_TotalRates_RES_1[[Ausnet]:[United Energy]],MATCH("Balance",OP_TotalRates_RES_1[[Rate name]:[Rate name]],0),MATCH(I$10,OP_TotalRates_RES_1[[#Headers],[Ausnet]:[United Energy]],0))*
INDEX(Input_Usage[],MATCH($D11&amp;" - Balance",Input_Usage[[Ref]:[Ref]],0),MATCH($D$7,Inputs!$C$147:$Y$147,0))),0)+
IFERROR((INDEX(OP_TotalRates_RES_1[[Ausnet]:[United Energy]],MATCH("Single rate",OP_TotalRates_RES_1[[Rate name]:[Rate name]],0),MATCH(I$10,OP_TotalRates_RES_1[[#Headers],[Ausnet]:[United Energy]],0))*
INDEX(Input_Usage[],MATCH($D11&amp;" - Annual",Input_Usage[[Ref]:[Ref]],0),MATCH($D$7,Inputs!$C$147:$Y$147,0))),0)),0),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INDEX(Input_Usage[],MATCH($D11&amp;" - Peak",Input_Usage[[Ref]:[Ref]],0),MATCH($D$7,Inputs!$C$147:$Y$147,0)))+
IFERROR((INDEX(OP_TotalRates_RES_1[[Ausnet]:[United Energy]],MATCH("TOU - Shoulder",OP_TotalRates_RES_1[[Rate name]:[Rate name]],0),MATCH(I$10,OP_TotalRates_RES_1[[#Headers],[Ausnet]:[United Energy]],0))*
INDEX(Input_Usage[],MATCH($D11&amp;" - Shoulder",Input_Usage[[Ref]:[Ref]],0),MATCH($D$7,Inputs!$C$147:$Y$147,0))),0)+
(INDEX(OP_TotalRates_RES_1[[Ausnet]:[United Energy]],MATCH("Off peak",OP_TotalRates_RES_1[[Rate name]:[Rate name]],0),MATCH(I$10,OP_TotalRates_RES_1[[#Headers],[Ausnet]:[United Energy]],0))*
INDEX(Input_Usage[],MATCH($D11&amp;" - Off peak",Input_Usage[[Ref]:[Ref]],0),MATCH($D$7,Inputs!$C$147:$Y$147,0))),0)),"-")</calculatedColumnFormula>
    </tableColumn>
  </tableColumns>
  <tableStyleInfo name="Default tabl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8868BB8-B928-42FB-BADD-F5CE65D1A929}" name="CMAB_SME_1" displayName="CMAB_SME_1" ref="K10:Q13" totalsRowShown="0" headerRowDxfId="52" headerRowBorderDxfId="51" tableBorderDxfId="50" totalsRowBorderDxfId="49" headerRowCellStyle="Table col heading">
  <tableColumns count="7">
    <tableColumn id="1" xr3:uid="{CFE1BF38-F8D5-417C-B8B8-055440189F48}" name="Customer type"/>
    <tableColumn id="2" xr3:uid="{A1BFB354-68E7-422C-A85D-4EE75E8C112A}" name="Usage profile"/>
    <tableColumn id="3" xr3:uid="{5FC92D0D-723D-4278-A68D-731B046067B9}" name="Ausnet" dataDxfId="48" dataCellStyle="Table cell">
      <calculatedColumnFormula>IFERROR(
IF($D$7="VDO 2021 - Final",
ROUNDUP(
(INDEX(OP_TotalRates_RES_1[[Ausnet]:[United Energy]],MATCH("Anytime - supply",OP_TotalRates_RES_1[[Rate name]:[Rate name]],0),MATCH(M$10,OP_TotalRates_RES_1[[#Headers],[Ausnet]:[United Energy]],0))*DiY)+
(IFERROR((INDEX(OP_TotalRates_RES_1[[Ausnet]:[United Energy]],MATCH("Block 1",OP_TotalRates_RES_1[[Rate name]:[Rate name]],0),MATCH(M$10,OP_TotalRates_RES_1[[#Headers],[Ausnet]:[United Energy]],0))*
INDEX(Input_Usage[],MATCH($D11&amp;" - Block 1",Input_Usage[[Ref]:[Ref]],0),MATCH($D$7,Inputs!$C$147:$Y$147,0))),0)+
IFERROR((INDEX(OP_TotalRates_RES_1[[Ausnet]:[United Energy]],MATCH("Balance",OP_TotalRates_RES_1[[Rate name]:[Rate name]],0),MATCH(M$10,OP_TotalRates_RES_1[[#Headers],[Ausnet]:[United Energy]],0))*
INDEX(Input_Usage[],MATCH($D11&amp;" - Balance",Input_Usage[[Ref]:[Ref]],0),MATCH($D$7,Inputs!$C$147:$Y$147,0))),0)+
IFERROR((INDEX(OP_TotalRates_RES_1[[Ausnet]:[United Energy]],MATCH("Single rate",OP_TotalRates_RES_1[[Rate name]:[Rate name]],0),MATCH(M$10,OP_TotalRates_RES_1[[#Headers],[Ausnet]:[United Energy]],0))*
INDEX(Input_Usage[],MATCH($D11&amp;" - Annual",Input_Usage[[Ref]:[Ref]],0),MATCH($D$7,Inputs!$C$147:$Y$147,0))),0)),0),
ROUNDUP(
(INDEX(OP_TotalRates_RES_1[[Ausnet]:[United Energy]],MATCH("TOU - supply",OP_TotalRates_RES_1[[Rate name]:[Rate name]],0),MATCH(M$10,OP_TotalRates_RES_1[[#Headers],[Ausnet]:[United Energy]],0))*DiY)+
(INDEX(OP_TotalRates_RES_1[[Ausnet]:[United Energy]],MATCH("Peak",OP_TotalRates_RES_1[[Rate name]:[Rate name]],0),MATCH(M$10,OP_TotalRates_RES_1[[#Headers],[Ausnet]:[United Energy]],0))*
INDEX(Input_Usage[],MATCH($D11&amp;" - Peak",Input_Usage[[Ref]:[Ref]],0),MATCH($D$7,Inputs!$C$147:$Y$147,0)))+
IFERROR((INDEX(OP_TotalRates_RES_1[[Ausnet]:[United Energy]],MATCH("TOU - Shoulder",OP_TotalRates_RES_1[[Rate name]:[Rate name]],0),MATCH(M$10,OP_TotalRates_RES_1[[#Headers],[Ausnet]:[United Energy]],0))*
INDEX(Input_Usage[],MATCH($D11&amp;" - Shoulder",Input_Usage[[Ref]:[Ref]],0),MATCH($D$7,Inputs!$C$147:$Y$147,0))),0)+
(INDEX(OP_TotalRates_RES_1[[Ausnet]:[United Energy]],MATCH("Off peak",OP_TotalRates_RES_1[[Rate name]:[Rate name]],0),MATCH(M$10,OP_TotalRates_RES_1[[#Headers],[Ausnet]:[United Energy]],0))*
INDEX(Input_Usage[],MATCH($D11&amp;" - Off peak",Input_Usage[[Ref]:[Ref]],0),MATCH($D$7,Inputs!$C$147:$Y$147,0))),0)),"-")</calculatedColumnFormula>
    </tableColumn>
    <tableColumn id="4" xr3:uid="{A854BB72-10CE-41A2-BD33-3B9D4B05B42C}" name="Citipower" dataDxfId="47" dataCellStyle="Table cell">
      <calculatedColumnFormula>IFERROR(
IF($D$7="VDO 2021 - Final",
ROUNDUP(
(INDEX(OP_TotalRates_RES_1[[Ausnet]:[United Energy]],MATCH("Anytime - supply",OP_TotalRates_RES_1[[Rate name]:[Rate name]],0),MATCH(N$10,OP_TotalRates_RES_1[[#Headers],[Ausnet]:[United Energy]],0))*DiY)+
(IFERROR((INDEX(OP_TotalRates_RES_1[[Ausnet]:[United Energy]],MATCH("Block 1",OP_TotalRates_RES_1[[Rate name]:[Rate name]],0),MATCH(N$10,OP_TotalRates_RES_1[[#Headers],[Ausnet]:[United Energy]],0))*
INDEX(Input_Usage[],MATCH($D11&amp;" - Block 1",Input_Usage[[Ref]:[Ref]],0),MATCH($D$7,Inputs!$C$147:$Y$147,0))),0)+
IFERROR((INDEX(OP_TotalRates_RES_1[[Ausnet]:[United Energy]],MATCH("Balance",OP_TotalRates_RES_1[[Rate name]:[Rate name]],0),MATCH(N$10,OP_TotalRates_RES_1[[#Headers],[Ausnet]:[United Energy]],0))*
INDEX(Input_Usage[],MATCH($D11&amp;" - Balance",Input_Usage[[Ref]:[Ref]],0),MATCH($D$7,Inputs!$C$147:$Y$147,0))),0)+
IFERROR((INDEX(OP_TotalRates_RES_1[[Ausnet]:[United Energy]],MATCH("Single rate",OP_TotalRates_RES_1[[Rate name]:[Rate name]],0),MATCH(N$10,OP_TotalRates_RES_1[[#Headers],[Ausnet]:[United Energy]],0))*
INDEX(Input_Usage[],MATCH($D11&amp;" - Annual",Input_Usage[[Ref]:[Ref]],0),MATCH($D$7,Inputs!$C$147:$Y$147,0))),0)),0),
ROUNDUP(
(INDEX(OP_TotalRates_RES_1[[Ausnet]:[United Energy]],MATCH("TOU - supply",OP_TotalRates_RES_1[[Rate name]:[Rate name]],0),MATCH(N$10,OP_TotalRates_RES_1[[#Headers],[Ausnet]:[United Energy]],0))*DiY)+
(INDEX(OP_TotalRates_RES_1[[Ausnet]:[United Energy]],MATCH("Peak",OP_TotalRates_RES_1[[Rate name]:[Rate name]],0),MATCH(N$10,OP_TotalRates_RES_1[[#Headers],[Ausnet]:[United Energy]],0))*
INDEX(Input_Usage[],MATCH($D11&amp;" - Peak",Input_Usage[[Ref]:[Ref]],0),MATCH($D$7,Inputs!$C$147:$Y$147,0)))+
IFERROR((INDEX(OP_TotalRates_RES_1[[Ausnet]:[United Energy]],MATCH("TOU - Shoulder",OP_TotalRates_RES_1[[Rate name]:[Rate name]],0),MATCH(N$10,OP_TotalRates_RES_1[[#Headers],[Ausnet]:[United Energy]],0))*
INDEX(Input_Usage[],MATCH($D11&amp;" - Shoulder",Input_Usage[[Ref]:[Ref]],0),MATCH($D$7,Inputs!$C$147:$Y$147,0))),0)+
(INDEX(OP_TotalRates_RES_1[[Ausnet]:[United Energy]],MATCH("Off peak",OP_TotalRates_RES_1[[Rate name]:[Rate name]],0),MATCH(N$10,OP_TotalRates_RES_1[[#Headers],[Ausnet]:[United Energy]],0))*
INDEX(Input_Usage[],MATCH($D11&amp;" - Off peak",Input_Usage[[Ref]:[Ref]],0),MATCH($D$7,Inputs!$C$147:$Y$147,0))),0)),"-")</calculatedColumnFormula>
    </tableColumn>
    <tableColumn id="5" xr3:uid="{37F3AA68-E85C-4177-B19E-9471B53A7CC8}" name="Jemena" dataDxfId="46" dataCellStyle="Table cell">
      <calculatedColumnFormula>IFERROR(
IF($D$7="VDO 2021 - Final",
ROUNDUP(
(INDEX(OP_TotalRates_RES_1[[Ausnet]:[United Energy]],MATCH("Anytime - supply",OP_TotalRates_RES_1[[Rate name]:[Rate name]],0),MATCH(O$10,OP_TotalRates_RES_1[[#Headers],[Ausnet]:[United Energy]],0))*DiY)+
(IFERROR((INDEX(OP_TotalRates_RES_1[[Ausnet]:[United Energy]],MATCH("Block 1",OP_TotalRates_RES_1[[Rate name]:[Rate name]],0),MATCH(O$10,OP_TotalRates_RES_1[[#Headers],[Ausnet]:[United Energy]],0))*
INDEX(Input_Usage[],MATCH($D11&amp;" - Block 1",Input_Usage[[Ref]:[Ref]],0),MATCH($D$7,Inputs!$C$147:$Y$147,0))),0)+
IFERROR((INDEX(OP_TotalRates_RES_1[[Ausnet]:[United Energy]],MATCH("Balance",OP_TotalRates_RES_1[[Rate name]:[Rate name]],0),MATCH(O$10,OP_TotalRates_RES_1[[#Headers],[Ausnet]:[United Energy]],0))*
INDEX(Input_Usage[],MATCH($D11&amp;" - Balance",Input_Usage[[Ref]:[Ref]],0),MATCH($D$7,Inputs!$C$147:$Y$147,0))),0)+
IFERROR((INDEX(OP_TotalRates_RES_1[[Ausnet]:[United Energy]],MATCH("Single rate",OP_TotalRates_RES_1[[Rate name]:[Rate name]],0),MATCH(O$10,OP_TotalRates_RES_1[[#Headers],[Ausnet]:[United Energy]],0))*
INDEX(Input_Usage[],MATCH($D11&amp;" - Annual",Input_Usage[[Ref]:[Ref]],0),MATCH($D$7,Inputs!$C$147:$Y$147,0))),0)),0),
ROUNDUP(
(INDEX(OP_TotalRates_RES_1[[Ausnet]:[United Energy]],MATCH("TOU - supply",OP_TotalRates_RES_1[[Rate name]:[Rate name]],0),MATCH(O$10,OP_TotalRates_RES_1[[#Headers],[Ausnet]:[United Energy]],0))*DiY)+
(INDEX(OP_TotalRates_RES_1[[Ausnet]:[United Energy]],MATCH("Peak",OP_TotalRates_RES_1[[Rate name]:[Rate name]],0),MATCH(O$10,OP_TotalRates_RES_1[[#Headers],[Ausnet]:[United Energy]],0))*
INDEX(Input_Usage[],MATCH($D11&amp;" - Peak",Input_Usage[[Ref]:[Ref]],0),MATCH($D$7,Inputs!$C$147:$Y$147,0)))+
IFERROR((INDEX(OP_TotalRates_RES_1[[Ausnet]:[United Energy]],MATCH("TOU - Shoulder",OP_TotalRates_RES_1[[Rate name]:[Rate name]],0),MATCH(O$10,OP_TotalRates_RES_1[[#Headers],[Ausnet]:[United Energy]],0))*
INDEX(Input_Usage[],MATCH($D11&amp;" - Shoulder",Input_Usage[[Ref]:[Ref]],0),MATCH($D$7,Inputs!$C$147:$Y$147,0))),0)+
(INDEX(OP_TotalRates_RES_1[[Ausnet]:[United Energy]],MATCH("Off peak",OP_TotalRates_RES_1[[Rate name]:[Rate name]],0),MATCH(O$10,OP_TotalRates_RES_1[[#Headers],[Ausnet]:[United Energy]],0))*
INDEX(Input_Usage[],MATCH($D11&amp;" - Off peak",Input_Usage[[Ref]:[Ref]],0),MATCH($D$7,Inputs!$C$147:$Y$147,0))),0)),"-")</calculatedColumnFormula>
    </tableColumn>
    <tableColumn id="6" xr3:uid="{CC163AC0-D0FC-4725-AB96-3480C0535BF2}" name="Powercor" dataDxfId="45" dataCellStyle="Table cell">
      <calculatedColumnFormula>IFERROR(
IF($D$7="VDO 2021 - Final",
ROUNDUP(
(INDEX(OP_TotalRates_RES_1[[Ausnet]:[United Energy]],MATCH("Anytime - supply",OP_TotalRates_RES_1[[Rate name]:[Rate name]],0),MATCH(P$10,OP_TotalRates_RES_1[[#Headers],[Ausnet]:[United Energy]],0))*DiY)+
(IFERROR((INDEX(OP_TotalRates_RES_1[[Ausnet]:[United Energy]],MATCH("Block 1",OP_TotalRates_RES_1[[Rate name]:[Rate name]],0),MATCH(P$10,OP_TotalRates_RES_1[[#Headers],[Ausnet]:[United Energy]],0))*
INDEX(Input_Usage[],MATCH($D11&amp;" - Block 1",Input_Usage[[Ref]:[Ref]],0),MATCH($D$7,Inputs!$C$147:$Y$147,0))),0)+
IFERROR((INDEX(OP_TotalRates_RES_1[[Ausnet]:[United Energy]],MATCH("Balance",OP_TotalRates_RES_1[[Rate name]:[Rate name]],0),MATCH(P$10,OP_TotalRates_RES_1[[#Headers],[Ausnet]:[United Energy]],0))*
INDEX(Input_Usage[],MATCH($D11&amp;" - Balance",Input_Usage[[Ref]:[Ref]],0),MATCH($D$7,Inputs!$C$147:$Y$147,0))),0)+
IFERROR((INDEX(OP_TotalRates_RES_1[[Ausnet]:[United Energy]],MATCH("Single rate",OP_TotalRates_RES_1[[Rate name]:[Rate name]],0),MATCH(P$10,OP_TotalRates_RES_1[[#Headers],[Ausnet]:[United Energy]],0))*
INDEX(Input_Usage[],MATCH($D11&amp;" - Annual",Input_Usage[[Ref]:[Ref]],0),MATCH($D$7,Inputs!$C$147:$Y$147,0))),0)),0),
ROUNDUP(
(INDEX(OP_TotalRates_RES_1[[Ausnet]:[United Energy]],MATCH("TOU - supply",OP_TotalRates_RES_1[[Rate name]:[Rate name]],0),MATCH(P$10,OP_TotalRates_RES_1[[#Headers],[Ausnet]:[United Energy]],0))*DiY)+
(INDEX(OP_TotalRates_RES_1[[Ausnet]:[United Energy]],MATCH("Peak",OP_TotalRates_RES_1[[Rate name]:[Rate name]],0),MATCH(P$10,OP_TotalRates_RES_1[[#Headers],[Ausnet]:[United Energy]],0))*
INDEX(Input_Usage[],MATCH($D11&amp;" - Peak",Input_Usage[[Ref]:[Ref]],0),MATCH($D$7,Inputs!$C$147:$Y$147,0)))+
IFERROR((INDEX(OP_TotalRates_RES_1[[Ausnet]:[United Energy]],MATCH("TOU - Shoulder",OP_TotalRates_RES_1[[Rate name]:[Rate name]],0),MATCH(P$10,OP_TotalRates_RES_1[[#Headers],[Ausnet]:[United Energy]],0))*
INDEX(Input_Usage[],MATCH($D11&amp;" - Shoulder",Input_Usage[[Ref]:[Ref]],0),MATCH($D$7,Inputs!$C$147:$Y$147,0))),0)+
(INDEX(OP_TotalRates_RES_1[[Ausnet]:[United Energy]],MATCH("Off peak",OP_TotalRates_RES_1[[Rate name]:[Rate name]],0),MATCH(P$10,OP_TotalRates_RES_1[[#Headers],[Ausnet]:[United Energy]],0))*
INDEX(Input_Usage[],MATCH($D11&amp;" - Off peak",Input_Usage[[Ref]:[Ref]],0),MATCH($D$7,Inputs!$C$147:$Y$147,0))),0)),"-")</calculatedColumnFormula>
    </tableColumn>
    <tableColumn id="7" xr3:uid="{9EF53383-EDFC-4887-B9C3-5A5731D858F0}" name="United Energy" dataDxfId="44" dataCellStyle="Table cell">
      <calculatedColumnFormula>IFERROR(
IF($D$7="VDO 2021 - Final",
ROUNDUP(
(INDEX(OP_TotalRates_RES_1[[Ausnet]:[United Energy]],MATCH("Anytime - supply",OP_TotalRates_RES_1[[Rate name]:[Rate name]],0),MATCH(Q$10,OP_TotalRates_RES_1[[#Headers],[Ausnet]:[United Energy]],0))*DiY)+
(IFERROR((INDEX(OP_TotalRates_RES_1[[Ausnet]:[United Energy]],MATCH("Block 1",OP_TotalRates_RES_1[[Rate name]:[Rate name]],0),MATCH(Q$10,OP_TotalRates_RES_1[[#Headers],[Ausnet]:[United Energy]],0))*
INDEX(Input_Usage[],MATCH($D11&amp;" - Block 1",Input_Usage[[Ref]:[Ref]],0),MATCH($D$7,Inputs!$C$147:$Y$147,0))),0)+
IFERROR((INDEX(OP_TotalRates_RES_1[[Ausnet]:[United Energy]],MATCH("Balance",OP_TotalRates_RES_1[[Rate name]:[Rate name]],0),MATCH(Q$10,OP_TotalRates_RES_1[[#Headers],[Ausnet]:[United Energy]],0))*
INDEX(Input_Usage[],MATCH($D11&amp;" - Balance",Input_Usage[[Ref]:[Ref]],0),MATCH($D$7,Inputs!$C$147:$Y$147,0))),0)+
IFERROR((INDEX(OP_TotalRates_RES_1[[Ausnet]:[United Energy]],MATCH("Single rate",OP_TotalRates_RES_1[[Rate name]:[Rate name]],0),MATCH(Q$10,OP_TotalRates_RES_1[[#Headers],[Ausnet]:[United Energy]],0))*
INDEX(Input_Usage[],MATCH($D11&amp;" - Annual",Input_Usage[[Ref]:[Ref]],0),MATCH($D$7,Inputs!$C$147:$Y$147,0))),0)),0),
ROUNDUP(
(INDEX(OP_TotalRates_RES_1[[Ausnet]:[United Energy]],MATCH("TOU - supply",OP_TotalRates_RES_1[[Rate name]:[Rate name]],0),MATCH(Q$10,OP_TotalRates_RES_1[[#Headers],[Ausnet]:[United Energy]],0))*DiY)+
(INDEX(OP_TotalRates_RES_1[[Ausnet]:[United Energy]],MATCH("Peak",OP_TotalRates_RES_1[[Rate name]:[Rate name]],0),MATCH(Q$10,OP_TotalRates_RES_1[[#Headers],[Ausnet]:[United Energy]],0))*
INDEX(Input_Usage[],MATCH($D11&amp;" - Peak",Input_Usage[[Ref]:[Ref]],0),MATCH($D$7,Inputs!$C$147:$Y$147,0)))+
IFERROR((INDEX(OP_TotalRates_RES_1[[Ausnet]:[United Energy]],MATCH("TOU - Shoulder",OP_TotalRates_RES_1[[Rate name]:[Rate name]],0),MATCH(Q$10,OP_TotalRates_RES_1[[#Headers],[Ausnet]:[United Energy]],0))*
INDEX(Input_Usage[],MATCH($D11&amp;" - Shoulder",Input_Usage[[Ref]:[Ref]],0),MATCH($D$7,Inputs!$C$147:$Y$147,0))),0)+
(INDEX(OP_TotalRates_RES_1[[Ausnet]:[United Energy]],MATCH("Off peak",OP_TotalRates_RES_1[[Rate name]:[Rate name]],0),MATCH(Q$10,OP_TotalRates_RES_1[[#Headers],[Ausnet]:[United Energy]],0))*
INDEX(Input_Usage[],MATCH($D11&amp;" - Off peak",Input_Usage[[Ref]:[Ref]],0),MATCH($D$7,Inputs!$C$147:$Y$147,0))),0)),"-")</calculatedColumnFormula>
    </tableColumn>
  </tableColumns>
  <tableStyleInfo name="Default tabl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84CBC18-9383-4B2E-A511-0F55943CEE1D}" name="CMAB_RES_2" displayName="CMAB_RES_2" ref="C24:I27" totalsRowShown="0" headerRowDxfId="43" dataDxfId="41" headerRowBorderDxfId="42" tableBorderDxfId="40" totalsRowBorderDxfId="39" headerRowCellStyle="Table col heading">
  <tableColumns count="7">
    <tableColumn id="1" xr3:uid="{A8F78815-AEAC-434F-B06A-A08BC4351EAC}" name="Customer type" dataDxfId="38"/>
    <tableColumn id="2" xr3:uid="{7569B853-B0EF-41A4-A839-E23B991D1B54}" name="Usage profile" dataDxfId="37"/>
    <tableColumn id="3" xr3:uid="{8D8BA29C-1E24-4688-8F81-2395D28FE733}" name="Ausnet" dataDxfId="36">
      <calculatedColumnFormula>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INDEX(Input_Usage[],MATCH($D25&amp;" - Block 1",Input_Usage[[Ref]:[Ref]],0),MATCH($D$7,Inputs!$C$147:$Y$147,0))),0)+
IFERROR((INDEX(OP_TotalRates_RES_1[[Ausnet]:[United Energy]],MATCH("Balance",OP_TotalRates_RES_1[[Rate name]:[Rate name]],0),MATCH(E$10,OP_TotalRates_RES_1[[#Headers],[Ausnet]:[United Energy]],0))*
INDEX(Input_Usage[],MATCH($D25&amp;" - Balance",Input_Usage[[Ref]:[Ref]],0),MATCH($D$7,Inputs!$C$147:$Y$147,0))),0)+
IFERROR((INDEX(OP_TotalRates_RES_1[[Ausnet]:[United Energy]],MATCH("Single rate",OP_TotalRates_RES_1[[Rate name]:[Rate name]],0),MATCH(E$10,OP_TotalRates_RES_1[[#Headers],[Ausnet]:[United Energy]],0))*
INDEX(Input_Usage[],MATCH($D25&amp;" - Annual",Input_Usage[[Ref]:[Ref]],0),MATCH($D$7,Inputs!$C$147:$Y$147,0))),0)),0),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INDEX(Input_Usage[],MATCH($D25&amp;" - Peak",Input_Usage[[Ref]:[Ref]],0),MATCH($D$7,Inputs!$C$147:$Y$147,0)))+
IFERROR((INDEX(OP_TotalRates_RES_1[[Ausnet]:[United Energy]],MATCH("TOU - Shoulder",OP_TotalRates_RES_1[[Rate name]:[Rate name]],0),MATCH(E$10,OP_TotalRates_RES_1[[#Headers],[Ausnet]:[United Energy]],0))*
INDEX(Input_Usage[],MATCH($D25&amp;" - Shoulder",Input_Usage[[Ref]:[Ref]],0),MATCH($D$7,Inputs!$C$147:$Y$147,0))),0)+
(INDEX(OP_TotalRates_RES_1[[Ausnet]:[United Energy]],MATCH("Off peak",OP_TotalRates_RES_1[[Rate name]:[Rate name]],0),MATCH(E$10,OP_TotalRates_RES_1[[#Headers],[Ausnet]:[United Energy]],0))*
INDEX(Input_Usage[],MATCH($D25&amp;" - Off peak",Input_Usage[[Ref]:[Ref]],0),MATCH($D$7,Inputs!$C$147:$Y$147,0))),0)),"-")</calculatedColumnFormula>
    </tableColumn>
    <tableColumn id="4" xr3:uid="{0D5F9249-2086-4CEA-909D-1923653A76C1}" name="Citipower" dataDxfId="35">
      <calculatedColumnFormula>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INDEX(Input_Usage[],MATCH($D25&amp;" - Block 1",Input_Usage[[Ref]:[Ref]],0),MATCH($D$7,Inputs!$C$147:$Y$147,0))),0)+
IFERROR((INDEX(OP_TotalRates_RES_1[[Ausnet]:[United Energy]],MATCH("Balance",OP_TotalRates_RES_1[[Rate name]:[Rate name]],0),MATCH(F$10,OP_TotalRates_RES_1[[#Headers],[Ausnet]:[United Energy]],0))*
INDEX(Input_Usage[],MATCH($D25&amp;" - Balance",Input_Usage[[Ref]:[Ref]],0),MATCH($D$7,Inputs!$C$147:$Y$147,0))),0)+
IFERROR((INDEX(OP_TotalRates_RES_1[[Ausnet]:[United Energy]],MATCH("Single rate",OP_TotalRates_RES_1[[Rate name]:[Rate name]],0),MATCH(F$10,OP_TotalRates_RES_1[[#Headers],[Ausnet]:[United Energy]],0))*
INDEX(Input_Usage[],MATCH($D25&amp;" - Annual",Input_Usage[[Ref]:[Ref]],0),MATCH($D$7,Inputs!$C$147:$Y$147,0))),0)),0),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INDEX(Input_Usage[],MATCH($D25&amp;" - Peak",Input_Usage[[Ref]:[Ref]],0),MATCH($D$7,Inputs!$C$147:$Y$147,0)))+
IFERROR((INDEX(OP_TotalRates_RES_1[[Ausnet]:[United Energy]],MATCH("TOU - Shoulder",OP_TotalRates_RES_1[[Rate name]:[Rate name]],0),MATCH(F$10,OP_TotalRates_RES_1[[#Headers],[Ausnet]:[United Energy]],0))*
INDEX(Input_Usage[],MATCH($D25&amp;" - Shoulder",Input_Usage[[Ref]:[Ref]],0),MATCH($D$7,Inputs!$C$147:$Y$147,0))),0)+
(INDEX(OP_TotalRates_RES_1[[Ausnet]:[United Energy]],MATCH("Off peak",OP_TotalRates_RES_1[[Rate name]:[Rate name]],0),MATCH(F$10,OP_TotalRates_RES_1[[#Headers],[Ausnet]:[United Energy]],0))*
INDEX(Input_Usage[],MATCH($D25&amp;" - Off peak",Input_Usage[[Ref]:[Ref]],0),MATCH($D$7,Inputs!$C$147:$Y$147,0))),0)),"-")</calculatedColumnFormula>
    </tableColumn>
    <tableColumn id="5" xr3:uid="{FE2A9689-6847-47AC-BEEF-E289A5A229B5}" name="Jemena" dataDxfId="34">
      <calculatedColumnFormula>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INDEX(Input_Usage[],MATCH($D25&amp;" - Block 1",Input_Usage[[Ref]:[Ref]],0),MATCH($D$7,Inputs!$C$147:$Y$147,0))),0)+
IFERROR((INDEX(OP_TotalRates_RES_1[[Ausnet]:[United Energy]],MATCH("Balance",OP_TotalRates_RES_1[[Rate name]:[Rate name]],0),MATCH(G$10,OP_TotalRates_RES_1[[#Headers],[Ausnet]:[United Energy]],0))*
INDEX(Input_Usage[],MATCH($D25&amp;" - Balance",Input_Usage[[Ref]:[Ref]],0),MATCH($D$7,Inputs!$C$147:$Y$147,0))),0)+
IFERROR((INDEX(OP_TotalRates_RES_1[[Ausnet]:[United Energy]],MATCH("Single rate",OP_TotalRates_RES_1[[Rate name]:[Rate name]],0),MATCH(G$10,OP_TotalRates_RES_1[[#Headers],[Ausnet]:[United Energy]],0))*
INDEX(Input_Usage[],MATCH($D25&amp;" - Annual",Input_Usage[[Ref]:[Ref]],0),MATCH($D$7,Inputs!$C$147:$Y$147,0))),0)),0),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INDEX(Input_Usage[],MATCH($D25&amp;" - Peak",Input_Usage[[Ref]:[Ref]],0),MATCH($D$7,Inputs!$C$147:$Y$147,0)))+
IFERROR((INDEX(OP_TotalRates_RES_1[[Ausnet]:[United Energy]],MATCH("TOU - Shoulder",OP_TotalRates_RES_1[[Rate name]:[Rate name]],0),MATCH(G$10,OP_TotalRates_RES_1[[#Headers],[Ausnet]:[United Energy]],0))*
INDEX(Input_Usage[],MATCH($D25&amp;" - Shoulder",Input_Usage[[Ref]:[Ref]],0),MATCH($D$7,Inputs!$C$147:$Y$147,0))),0)+
(INDEX(OP_TotalRates_RES_1[[Ausnet]:[United Energy]],MATCH("Off peak",OP_TotalRates_RES_1[[Rate name]:[Rate name]],0),MATCH(G$10,OP_TotalRates_RES_1[[#Headers],[Ausnet]:[United Energy]],0))*
INDEX(Input_Usage[],MATCH($D25&amp;" - Off peak",Input_Usage[[Ref]:[Ref]],0),MATCH($D$7,Inputs!$C$147:$Y$147,0))),0)),"-")</calculatedColumnFormula>
    </tableColumn>
    <tableColumn id="6" xr3:uid="{A6AD0D20-3ABA-4057-BAA3-35F27065C0F2}" name="Powercor" dataDxfId="33">
      <calculatedColumnFormula>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INDEX(Input_Usage[],MATCH($D25&amp;" - Block 1",Input_Usage[[Ref]:[Ref]],0),MATCH($D$7,Inputs!$C$147:$Y$147,0))),0)+
IFERROR((INDEX(OP_TotalRates_RES_1[[Ausnet]:[United Energy]],MATCH("Balance",OP_TotalRates_RES_1[[Rate name]:[Rate name]],0),MATCH(H$10,OP_TotalRates_RES_1[[#Headers],[Ausnet]:[United Energy]],0))*
INDEX(Input_Usage[],MATCH($D25&amp;" - Balance",Input_Usage[[Ref]:[Ref]],0),MATCH($D$7,Inputs!$C$147:$Y$147,0))),0)+
IFERROR((INDEX(OP_TotalRates_RES_1[[Ausnet]:[United Energy]],MATCH("Single rate",OP_TotalRates_RES_1[[Rate name]:[Rate name]],0),MATCH(H$10,OP_TotalRates_RES_1[[#Headers],[Ausnet]:[United Energy]],0))*
INDEX(Input_Usage[],MATCH($D25&amp;" - Annual",Input_Usage[[Ref]:[Ref]],0),MATCH($D$7,Inputs!$C$147:$Y$147,0))),0)),0),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INDEX(Input_Usage[],MATCH($D25&amp;" - Peak",Input_Usage[[Ref]:[Ref]],0),MATCH($D$7,Inputs!$C$147:$Y$147,0)))+
IFERROR((INDEX(OP_TotalRates_RES_1[[Ausnet]:[United Energy]],MATCH("TOU - Shoulder",OP_TotalRates_RES_1[[Rate name]:[Rate name]],0),MATCH(H$10,OP_TotalRates_RES_1[[#Headers],[Ausnet]:[United Energy]],0))*
INDEX(Input_Usage[],MATCH($D25&amp;" - Shoulder",Input_Usage[[Ref]:[Ref]],0),MATCH($D$7,Inputs!$C$147:$Y$147,0))),0)+
(INDEX(OP_TotalRates_RES_1[[Ausnet]:[United Energy]],MATCH("Off peak",OP_TotalRates_RES_1[[Rate name]:[Rate name]],0),MATCH(H$10,OP_TotalRates_RES_1[[#Headers],[Ausnet]:[United Energy]],0))*
INDEX(Input_Usage[],MATCH($D25&amp;" - Off peak",Input_Usage[[Ref]:[Ref]],0),MATCH($D$7,Inputs!$C$147:$Y$147,0))),0)),"-")</calculatedColumnFormula>
    </tableColumn>
    <tableColumn id="7" xr3:uid="{B2B5B815-02E0-4F29-934A-9D7CE200BE7C}" name="United Energy" dataDxfId="32">
      <calculatedColumnFormula>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INDEX(Input_Usage[],MATCH($D25&amp;" - Block 1",Input_Usage[[Ref]:[Ref]],0),MATCH($D$7,Inputs!$C$147:$Y$147,0))),0)+
IFERROR((INDEX(OP_TotalRates_RES_1[[Ausnet]:[United Energy]],MATCH("Balance",OP_TotalRates_RES_1[[Rate name]:[Rate name]],0),MATCH(I$10,OP_TotalRates_RES_1[[#Headers],[Ausnet]:[United Energy]],0))*
INDEX(Input_Usage[],MATCH($D25&amp;" - Balance",Input_Usage[[Ref]:[Ref]],0),MATCH($D$7,Inputs!$C$147:$Y$147,0))),0)+
IFERROR((INDEX(OP_TotalRates_RES_1[[Ausnet]:[United Energy]],MATCH("Single rate",OP_TotalRates_RES_1[[Rate name]:[Rate name]],0),MATCH(I$10,OP_TotalRates_RES_1[[#Headers],[Ausnet]:[United Energy]],0))*
INDEX(Input_Usage[],MATCH($D25&amp;" - Annual",Input_Usage[[Ref]:[Ref]],0),MATCH($D$7,Inputs!$C$147:$Y$147,0))),0)),0),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INDEX(Input_Usage[],MATCH($D25&amp;" - Peak",Input_Usage[[Ref]:[Ref]],0),MATCH($D$7,Inputs!$C$147:$Y$147,0)))+
IFERROR((INDEX(OP_TotalRates_RES_1[[Ausnet]:[United Energy]],MATCH("TOU - Shoulder",OP_TotalRates_RES_1[[Rate name]:[Rate name]],0),MATCH(I$10,OP_TotalRates_RES_1[[#Headers],[Ausnet]:[United Energy]],0))*
INDEX(Input_Usage[],MATCH($D25&amp;" - Shoulder",Input_Usage[[Ref]:[Ref]],0),MATCH($D$7,Inputs!$C$147:$Y$147,0))),0)+
(INDEX(OP_TotalRates_RES_1[[Ausnet]:[United Energy]],MATCH("Off peak",OP_TotalRates_RES_1[[Rate name]:[Rate name]],0),MATCH(I$10,OP_TotalRates_RES_1[[#Headers],[Ausnet]:[United Energy]],0))*
INDEX(Input_Usage[],MATCH($D25&amp;" - Off peak",Input_Usage[[Ref]:[Ref]],0),MATCH($D$7,Inputs!$C$147:$Y$147,0))),0)),"-")</calculatedColumnFormula>
    </tableColumn>
  </tableColumns>
  <tableStyleInfo name="Default tabl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2B6EB15-85B8-4ABE-85ED-496C073FF8CC}" name="CMAB_SME_2" displayName="CMAB_SME_2" ref="K24:Q27" totalsRowShown="0" headerRowDxfId="31" dataDxfId="29" headerRowBorderDxfId="30" tableBorderDxfId="28" totalsRowBorderDxfId="27" headerRowCellStyle="Table col heading">
  <tableColumns count="7">
    <tableColumn id="1" xr3:uid="{EB6D28E3-1A73-4D41-A3B3-303EF3024DE7}" name="Customer type" dataDxfId="26"/>
    <tableColumn id="2" xr3:uid="{CA13CB67-97D3-4228-93C6-A787A23F3C77}" name="Usage profile" dataDxfId="25"/>
    <tableColumn id="3" xr3:uid="{BFA9E2A1-209A-4C28-9214-5A6338FB6F5D}" name="Ausnet" dataDxfId="24" dataCellStyle="Table cell">
      <calculatedColumnFormula>IFERROR(
IF($D$7="VDO 2021 - Final",
ROUNDUP(
(INDEX(OP_TotalRates_SME_1[[Ausnet]:[United Energy]],MATCH("Anytime - supply",OP_TotalRates_SME_1[[Rate name]:[Rate name]],0),MATCH(M$10,OP_TotalRates_SME_1[[#Headers],[Ausnet]:[United Energy]],0))*DiY)+
(IFERROR((INDEX(OP_TotalRates_SME_1[[Ausnet]:[United Energy]],MATCH("Block 1",OP_TotalRates_SME_1[[Rate name]:[Rate name]],0),MATCH(M$10,OP_TotalRates_SME_1[[#Headers],[Ausnet]:[United Energy]],0))*
INDEX(Input_Usage[],MATCH($L25&amp;" - Block 1",Input_Usage[[Ref]:[Ref]],0),MATCH($D$7,Inputs!$C$147:$Y$147,0))),0)+
IFERROR((INDEX(OP_TotalRates_SME_1[[Ausnet]:[United Energy]],MATCH("Balance",OP_TotalRates_SME_1[[Rate name]:[Rate name]],0),MATCH(M$10,OP_TotalRates_SME_1[[#Headers],[Ausnet]:[United Energy]],0))*
INDEX(Input_Usage[],MATCH($L25&amp;" - Balance",Input_Usage[[Ref]:[Ref]],0),MATCH($D$7,Inputs!$C$147:$Y$147,0))),0)+
IFERROR((INDEX(OP_TotalRates_SME_1[[Ausnet]:[United Energy]],MATCH("Single rate",OP_TotalRates_SME_1[[Rate name]:[Rate name]],0),MATCH(M$10,OP_TotalRates_SME_1[[#Headers],[Ausnet]:[United Energy]],0))*
INDEX(Input_Usage[],MATCH($L25&amp;" - Annual",Input_Usage[[Ref]:[Ref]],0),MATCH($D$7,Inputs!$C$147:$Y$147,0))),0)),0),
ROUNDUP(
(INDEX(OP_TotalRates_SME_1[[Ausnet]:[United Energy]],MATCH("TOU - supply",OP_TotalRates_SME_1[[Rate name]:[Rate name]],0),MATCH(M$10,OP_TotalRates_SME_1[[#Headers],[Ausnet]:[United Energy]],0))*DiY)+
(INDEX(OP_TotalRates_SME_1[[Ausnet]:[United Energy]],MATCH("Peak",OP_TotalRates_SME_1[[Rate name]:[Rate name]],0),MATCH(M$10,OP_TotalRates_SME_1[[#Headers],[Ausnet]:[United Energy]],0))*
INDEX(Input_Usage[],MATCH($L25&amp;" - Peak",Input_Usage[[Ref]:[Ref]],0),MATCH($D$7,Inputs!$C$147:$Y$147,0)))+
IFERROR((INDEX(OP_TotalRates_SME_1[[Ausnet]:[United Energy]],MATCH("TOU - Shoulder",OP_TotalRates_SME_1[[Rate name]:[Rate name]],0),MATCH(M$10,OP_TotalRates_SME_1[[#Headers],[Ausnet]:[United Energy]],0))*
INDEX(Input_Usage[],MATCH($L25&amp;" - Shoulder",Input_Usage[[Ref]:[Ref]],0),MATCH($D$7,Inputs!$C$147:$Y$147,0))),0)+
(INDEX(OP_TotalRates_SME_1[[Ausnet]:[United Energy]],MATCH("Off peak",OP_TotalRates_SME_1[[Rate name]:[Rate name]],0),MATCH(M$10,OP_TotalRates_SME_1[[#Headers],[Ausnet]:[United Energy]],0))*
INDEX(Input_Usage[],MATCH($L25&amp;" - Off peak",Input_Usage[[Ref]:[Ref]],0),MATCH($D$7,Inputs!$C$147:$Y$147,0))),0)),"-")</calculatedColumnFormula>
    </tableColumn>
    <tableColumn id="4" xr3:uid="{F0FD9595-8EE1-48EF-9F82-FA7DBD8C7508}" name="Citipower" dataDxfId="23">
      <calculatedColumnFormula>IFERROR(
IF($D$7="VDO 2021 - Final",
ROUNDUP(
(INDEX(OP_TotalRates_SME_1[[Ausnet]:[United Energy]],MATCH("Anytime - supply",OP_TotalRates_SME_1[[Rate name]:[Rate name]],0),MATCH(N$10,OP_TotalRates_SME_1[[#Headers],[Ausnet]:[United Energy]],0))*DiY)+
(IFERROR((INDEX(OP_TotalRates_SME_1[[Ausnet]:[United Energy]],MATCH("Block 1",OP_TotalRates_SME_1[[Rate name]:[Rate name]],0),MATCH(N$10,OP_TotalRates_SME_1[[#Headers],[Ausnet]:[United Energy]],0))*
INDEX(Input_Usage[],MATCH($L25&amp;" - Block 1",Input_Usage[[Ref]:[Ref]],0),MATCH($D$7,Inputs!$C$147:$Y$147,0))),0)+
IFERROR((INDEX(OP_TotalRates_SME_1[[Ausnet]:[United Energy]],MATCH("Balance",OP_TotalRates_SME_1[[Rate name]:[Rate name]],0),MATCH(N$10,OP_TotalRates_SME_1[[#Headers],[Ausnet]:[United Energy]],0))*
INDEX(Input_Usage[],MATCH($L25&amp;" - Balance",Input_Usage[[Ref]:[Ref]],0),MATCH($D$7,Inputs!$C$147:$Y$147,0))),0)+
IFERROR((INDEX(OP_TotalRates_SME_1[[Ausnet]:[United Energy]],MATCH("Single rate",OP_TotalRates_SME_1[[Rate name]:[Rate name]],0),MATCH(N$10,OP_TotalRates_SME_1[[#Headers],[Ausnet]:[United Energy]],0))*
INDEX(Input_Usage[],MATCH($L25&amp;" - Annual",Input_Usage[[Ref]:[Ref]],0),MATCH($D$7,Inputs!$C$147:$Y$147,0))),0)),0),
ROUNDUP(
(INDEX(OP_TotalRates_SME_1[[Ausnet]:[United Energy]],MATCH("TOU - supply",OP_TotalRates_SME_1[[Rate name]:[Rate name]],0),MATCH(N$10,OP_TotalRates_SME_1[[#Headers],[Ausnet]:[United Energy]],0))*DiY)+
(INDEX(OP_TotalRates_SME_1[[Ausnet]:[United Energy]],MATCH("Peak",OP_TotalRates_SME_1[[Rate name]:[Rate name]],0),MATCH(N$10,OP_TotalRates_SME_1[[#Headers],[Ausnet]:[United Energy]],0))*
INDEX(Input_Usage[],MATCH($L25&amp;" - Peak",Input_Usage[[Ref]:[Ref]],0),MATCH($D$7,Inputs!$C$147:$Y$147,0)))+
IFERROR((INDEX(OP_TotalRates_SME_1[[Ausnet]:[United Energy]],MATCH("TOU - Shoulder",OP_TotalRates_SME_1[[Rate name]:[Rate name]],0),MATCH(N$10,OP_TotalRates_SME_1[[#Headers],[Ausnet]:[United Energy]],0))*
INDEX(Input_Usage[],MATCH($L25&amp;" - Shoulder",Input_Usage[[Ref]:[Ref]],0),MATCH($D$7,Inputs!$C$147:$Y$147,0))),0)+
(INDEX(OP_TotalRates_SME_1[[Ausnet]:[United Energy]],MATCH("Off peak",OP_TotalRates_SME_1[[Rate name]:[Rate name]],0),MATCH(N$10,OP_TotalRates_SME_1[[#Headers],[Ausnet]:[United Energy]],0))*
INDEX(Input_Usage[],MATCH($L25&amp;" - Off peak",Input_Usage[[Ref]:[Ref]],0),MATCH($D$7,Inputs!$C$147:$Y$147,0))),0)),"-")</calculatedColumnFormula>
    </tableColumn>
    <tableColumn id="5" xr3:uid="{A1C73988-CF22-4DE8-B89F-4E0985EF1E42}" name="Jemena" dataDxfId="22">
      <calculatedColumnFormula>IFERROR(
IF($D$7="VDO 2021 - Final",
ROUNDUP(
(INDEX(OP_TotalRates_SME_1[[Ausnet]:[United Energy]],MATCH("Anytime - supply",OP_TotalRates_SME_1[[Rate name]:[Rate name]],0),MATCH(O$10,OP_TotalRates_SME_1[[#Headers],[Ausnet]:[United Energy]],0))*DiY)+
(IFERROR((INDEX(OP_TotalRates_SME_1[[Ausnet]:[United Energy]],MATCH("Block 1",OP_TotalRates_SME_1[[Rate name]:[Rate name]],0),MATCH(O$10,OP_TotalRates_SME_1[[#Headers],[Ausnet]:[United Energy]],0))*
INDEX(Input_Usage[],MATCH($L25&amp;" - Block 1",Input_Usage[[Ref]:[Ref]],0),MATCH($D$7,Inputs!$C$147:$Y$147,0))),0)+
IFERROR((INDEX(OP_TotalRates_SME_1[[Ausnet]:[United Energy]],MATCH("Balance",OP_TotalRates_SME_1[[Rate name]:[Rate name]],0),MATCH(O$10,OP_TotalRates_SME_1[[#Headers],[Ausnet]:[United Energy]],0))*
INDEX(Input_Usage[],MATCH($L25&amp;" - Balance",Input_Usage[[Ref]:[Ref]],0),MATCH($D$7,Inputs!$C$147:$Y$147,0))),0)+
IFERROR((INDEX(OP_TotalRates_SME_1[[Ausnet]:[United Energy]],MATCH("Single rate",OP_TotalRates_SME_1[[Rate name]:[Rate name]],0),MATCH(O$10,OP_TotalRates_SME_1[[#Headers],[Ausnet]:[United Energy]],0))*
INDEX(Input_Usage[],MATCH($L25&amp;" - Annual",Input_Usage[[Ref]:[Ref]],0),MATCH($D$7,Inputs!$C$147:$Y$147,0))),0)),0),
ROUNDUP(
(INDEX(OP_TotalRates_SME_1[[Ausnet]:[United Energy]],MATCH("TOU - supply",OP_TotalRates_SME_1[[Rate name]:[Rate name]],0),MATCH(O$10,OP_TotalRates_SME_1[[#Headers],[Ausnet]:[United Energy]],0))*DiY)+
(INDEX(OP_TotalRates_SME_1[[Ausnet]:[United Energy]],MATCH("Peak",OP_TotalRates_SME_1[[Rate name]:[Rate name]],0),MATCH(O$10,OP_TotalRates_SME_1[[#Headers],[Ausnet]:[United Energy]],0))*
INDEX(Input_Usage[],MATCH($L25&amp;" - Peak",Input_Usage[[Ref]:[Ref]],0),MATCH($D$7,Inputs!$C$147:$Y$147,0)))+
IFERROR((INDEX(OP_TotalRates_SME_1[[Ausnet]:[United Energy]],MATCH("TOU - Shoulder",OP_TotalRates_SME_1[[Rate name]:[Rate name]],0),MATCH(O$10,OP_TotalRates_SME_1[[#Headers],[Ausnet]:[United Energy]],0))*
INDEX(Input_Usage[],MATCH($L25&amp;" - Shoulder",Input_Usage[[Ref]:[Ref]],0),MATCH($D$7,Inputs!$C$147:$Y$147,0))),0)+
(INDEX(OP_TotalRates_SME_1[[Ausnet]:[United Energy]],MATCH("Off peak",OP_TotalRates_SME_1[[Rate name]:[Rate name]],0),MATCH(O$10,OP_TotalRates_SME_1[[#Headers],[Ausnet]:[United Energy]],0))*
INDEX(Input_Usage[],MATCH($L25&amp;" - Off peak",Input_Usage[[Ref]:[Ref]],0),MATCH($D$7,Inputs!$C$147:$Y$147,0))),0)),"-")</calculatedColumnFormula>
    </tableColumn>
    <tableColumn id="6" xr3:uid="{E32519FF-66CE-4885-AE63-4D241C844B94}" name="Powercor" dataDxfId="21">
      <calculatedColumnFormula>IFERROR(
IF($D$7="VDO 2021 - Final",
ROUNDUP(
(INDEX(OP_TotalRates_SME_1[[Ausnet]:[United Energy]],MATCH("Anytime - supply",OP_TotalRates_SME_1[[Rate name]:[Rate name]],0),MATCH(P$10,OP_TotalRates_SME_1[[#Headers],[Ausnet]:[United Energy]],0))*DiY)+
(IFERROR((INDEX(OP_TotalRates_SME_1[[Ausnet]:[United Energy]],MATCH("Block 1",OP_TotalRates_SME_1[[Rate name]:[Rate name]],0),MATCH(P$10,OP_TotalRates_SME_1[[#Headers],[Ausnet]:[United Energy]],0))*
INDEX(Input_Usage[],MATCH($L25&amp;" - Block 1",Input_Usage[[Ref]:[Ref]],0),MATCH($D$7,Inputs!$C$147:$Y$147,0))),0)+
IFERROR((INDEX(OP_TotalRates_SME_1[[Ausnet]:[United Energy]],MATCH("Balance",OP_TotalRates_SME_1[[Rate name]:[Rate name]],0),MATCH(P$10,OP_TotalRates_SME_1[[#Headers],[Ausnet]:[United Energy]],0))*
INDEX(Input_Usage[],MATCH($L25&amp;" - Balance",Input_Usage[[Ref]:[Ref]],0),MATCH($D$7,Inputs!$C$147:$Y$147,0))),0)+
IFERROR((INDEX(OP_TotalRates_SME_1[[Ausnet]:[United Energy]],MATCH("Single rate",OP_TotalRates_SME_1[[Rate name]:[Rate name]],0),MATCH(P$10,OP_TotalRates_SME_1[[#Headers],[Ausnet]:[United Energy]],0))*
INDEX(Input_Usage[],MATCH($L25&amp;" - Annual",Input_Usage[[Ref]:[Ref]],0),MATCH($D$7,Inputs!$C$147:$Y$147,0))),0)),0),
ROUNDUP(
(INDEX(OP_TotalRates_SME_1[[Ausnet]:[United Energy]],MATCH("TOU - supply",OP_TotalRates_SME_1[[Rate name]:[Rate name]],0),MATCH(P$10,OP_TotalRates_SME_1[[#Headers],[Ausnet]:[United Energy]],0))*DiY)+
(INDEX(OP_TotalRates_SME_1[[Ausnet]:[United Energy]],MATCH("Peak",OP_TotalRates_SME_1[[Rate name]:[Rate name]],0),MATCH(P$10,OP_TotalRates_SME_1[[#Headers],[Ausnet]:[United Energy]],0))*
INDEX(Input_Usage[],MATCH($L25&amp;" - Peak",Input_Usage[[Ref]:[Ref]],0),MATCH($D$7,Inputs!$C$147:$Y$147,0)))+
IFERROR((INDEX(OP_TotalRates_SME_1[[Ausnet]:[United Energy]],MATCH("TOU - Shoulder",OP_TotalRates_SME_1[[Rate name]:[Rate name]],0),MATCH(P$10,OP_TotalRates_SME_1[[#Headers],[Ausnet]:[United Energy]],0))*
INDEX(Input_Usage[],MATCH($L25&amp;" - Shoulder",Input_Usage[[Ref]:[Ref]],0),MATCH($D$7,Inputs!$C$147:$Y$147,0))),0)+
(INDEX(OP_TotalRates_SME_1[[Ausnet]:[United Energy]],MATCH("Off peak",OP_TotalRates_SME_1[[Rate name]:[Rate name]],0),MATCH(P$10,OP_TotalRates_SME_1[[#Headers],[Ausnet]:[United Energy]],0))*
INDEX(Input_Usage[],MATCH($L25&amp;" - Off peak",Input_Usage[[Ref]:[Ref]],0),MATCH($D$7,Inputs!$C$147:$Y$147,0))),0)),"-")</calculatedColumnFormula>
    </tableColumn>
    <tableColumn id="7" xr3:uid="{D4FA680B-83F1-49AE-83A4-2615571ED201}" name="United Energy" dataDxfId="20">
      <calculatedColumnFormula>IFERROR(
IF($D$7="VDO 2021 - Final",
ROUNDUP(
(INDEX(OP_TotalRates_SME_1[[Ausnet]:[United Energy]],MATCH("Anytime - supply",OP_TotalRates_SME_1[[Rate name]:[Rate name]],0),MATCH(Q$10,OP_TotalRates_SME_1[[#Headers],[Ausnet]:[United Energy]],0))*DiY)+
(IFERROR((INDEX(OP_TotalRates_SME_1[[Ausnet]:[United Energy]],MATCH("Block 1",OP_TotalRates_SME_1[[Rate name]:[Rate name]],0),MATCH(Q$10,OP_TotalRates_SME_1[[#Headers],[Ausnet]:[United Energy]],0))*
INDEX(Input_Usage[],MATCH($L25&amp;" - Block 1",Input_Usage[[Ref]:[Ref]],0),MATCH($D$7,Inputs!$C$147:$Y$147,0))),0)+
IFERROR((INDEX(OP_TotalRates_SME_1[[Ausnet]:[United Energy]],MATCH("Balance",OP_TotalRates_SME_1[[Rate name]:[Rate name]],0),MATCH(Q$10,OP_TotalRates_SME_1[[#Headers],[Ausnet]:[United Energy]],0))*
INDEX(Input_Usage[],MATCH($L25&amp;" - Balance",Input_Usage[[Ref]:[Ref]],0),MATCH($D$7,Inputs!$C$147:$Y$147,0))),0)+
IFERROR((INDEX(OP_TotalRates_SME_1[[Ausnet]:[United Energy]],MATCH("Single rate",OP_TotalRates_SME_1[[Rate name]:[Rate name]],0),MATCH(Q$10,OP_TotalRates_SME_1[[#Headers],[Ausnet]:[United Energy]],0))*
INDEX(Input_Usage[],MATCH($L25&amp;" - Annual",Input_Usage[[Ref]:[Ref]],0),MATCH($D$7,Inputs!$C$147:$Y$147,0))),0)),0),
ROUNDUP(
(INDEX(OP_TotalRates_SME_1[[Ausnet]:[United Energy]],MATCH("TOU - supply",OP_TotalRates_SME_1[[Rate name]:[Rate name]],0),MATCH(Q$10,OP_TotalRates_SME_1[[#Headers],[Ausnet]:[United Energy]],0))*DiY)+
(INDEX(OP_TotalRates_SME_1[[Ausnet]:[United Energy]],MATCH("Peak",OP_TotalRates_SME_1[[Rate name]:[Rate name]],0),MATCH(Q$10,OP_TotalRates_SME_1[[#Headers],[Ausnet]:[United Energy]],0))*
INDEX(Input_Usage[],MATCH($L25&amp;" - Peak",Input_Usage[[Ref]:[Ref]],0),MATCH($D$7,Inputs!$C$147:$Y$147,0)))+
IFERROR((INDEX(OP_TotalRates_SME_1[[Ausnet]:[United Energy]],MATCH("TOU - Shoulder",OP_TotalRates_SME_1[[Rate name]:[Rate name]],0),MATCH(Q$10,OP_TotalRates_SME_1[[#Headers],[Ausnet]:[United Energy]],0))*
INDEX(Input_Usage[],MATCH($L25&amp;" - Shoulder",Input_Usage[[Ref]:[Ref]],0),MATCH($D$7,Inputs!$C$147:$Y$147,0))),0)+
(INDEX(OP_TotalRates_SME_1[[Ausnet]:[United Energy]],MATCH("Off peak",OP_TotalRates_SME_1[[Rate name]:[Rate name]],0),MATCH(Q$10,OP_TotalRates_SME_1[[#Headers],[Ausnet]:[United Energy]],0))*
INDEX(Input_Usage[],MATCH($L25&amp;" - Off peak",Input_Usage[[Ref]:[Ref]],0),MATCH($D$7,Inputs!$C$147:$Y$147,0))),0)),"-")</calculatedColumnFormula>
    </tableColumn>
  </tableColumns>
  <tableStyleInfo name="Default tabl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8509A4-B85B-4A8D-AF40-29DFBA0E9DBD}" name="LU_Units" displayName="LU_Units" ref="E7:E20" totalsRowShown="0" dataDxfId="18" headerRowBorderDxfId="19" tableBorderDxfId="17" totalsRowBorderDxfId="16" headerRowCellStyle="Table col heading" dataCellStyle="Hard-coded">
  <tableColumns count="1">
    <tableColumn id="1" xr3:uid="{9C6E56E0-72A9-4D72-9F61-583216BE24AD}" name="Units" dataDxfId="15" dataCellStyle="Hard-coded"/>
  </tableColumns>
  <tableStyleInfo name="Default tabl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1C4FA7-4A02-4FE2-8E4B-E86988411993}" name="LU_FixedVariable" displayName="LU_FixedVariable" ref="C7:C10" totalsRowShown="0" dataDxfId="13" headerRowBorderDxfId="14" tableBorderDxfId="12" totalsRowBorderDxfId="11" headerRowCellStyle="Table col heading" dataCellStyle="Hard-coded">
  <tableColumns count="1">
    <tableColumn id="1" xr3:uid="{6E304742-6DCB-4D36-AA6E-D41E67A17680}" name="Fixed/Variable" dataDxfId="10" dataCellStyle="Hard-coded"/>
  </tableColumns>
  <tableStyleInfo name="Default tabl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6E1678C-13B5-41F4-9732-B8998A6F29D0}" name="LU_CustType" displayName="LU_CustType" ref="G7:G10" totalsRowShown="0" dataDxfId="8" headerRowBorderDxfId="9" tableBorderDxfId="7" totalsRowBorderDxfId="6" headerRowCellStyle="Table col heading" dataCellStyle="Hard-coded">
  <tableColumns count="1">
    <tableColumn id="1" xr3:uid="{E4257759-0421-4BCD-A015-75722E8DBCF3}" name="Customer type" dataDxfId="5" dataCellStyle="Hard-coded"/>
  </tableColumns>
  <tableStyleInfo name="Default tabl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DA846E-6B6E-42E3-B6E6-BFA08ECB3EFE}" name="LU_UsageProfiles" displayName="LU_UsageProfiles" ref="I7:I13" totalsRowShown="0" dataDxfId="3" headerRowBorderDxfId="4" tableBorderDxfId="2" totalsRowBorderDxfId="1" headerRowCellStyle="Table col heading" dataCellStyle="Hard-coded">
  <autoFilter ref="I7:I13" xr:uid="{C360791E-1C8C-48A7-B83A-F08229D11B5E}"/>
  <tableColumns count="1">
    <tableColumn id="1" xr3:uid="{D93DFBC2-B77B-456C-A30C-DC8C8723D2BF}" name="Usage profiles" dataDxfId="0" dataCellStyle="Hard-coded"/>
  </tableColumns>
  <tableStyleInfo name="Default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7.xml"/><Relationship Id="rId3" Type="http://schemas.openxmlformats.org/officeDocument/2006/relationships/table" Target="../tables/table32.xml"/><Relationship Id="rId7" Type="http://schemas.openxmlformats.org/officeDocument/2006/relationships/table" Target="../tables/table36.xml"/><Relationship Id="rId2" Type="http://schemas.openxmlformats.org/officeDocument/2006/relationships/table" Target="../tables/table31.xml"/><Relationship Id="rId1" Type="http://schemas.openxmlformats.org/officeDocument/2006/relationships/printerSettings" Target="../printerSettings/printerSettings6.bin"/><Relationship Id="rId6" Type="http://schemas.openxmlformats.org/officeDocument/2006/relationships/table" Target="../tables/table35.xml"/><Relationship Id="rId5" Type="http://schemas.openxmlformats.org/officeDocument/2006/relationships/table" Target="../tables/table34.xml"/><Relationship Id="rId4" Type="http://schemas.openxmlformats.org/officeDocument/2006/relationships/table" Target="../tables/table3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8.bin"/><Relationship Id="rId4" Type="http://schemas.openxmlformats.org/officeDocument/2006/relationships/table" Target="../tables/table41.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table" Target="../tables/table42.xml"/><Relationship Id="rId1" Type="http://schemas.openxmlformats.org/officeDocument/2006/relationships/printerSettings" Target="../printerSettings/printerSettings9.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56.xml"/><Relationship Id="rId3" Type="http://schemas.openxmlformats.org/officeDocument/2006/relationships/table" Target="../tables/table51.xml"/><Relationship Id="rId7" Type="http://schemas.openxmlformats.org/officeDocument/2006/relationships/table" Target="../tables/table55.xml"/><Relationship Id="rId2" Type="http://schemas.openxmlformats.org/officeDocument/2006/relationships/table" Target="../tables/table50.xml"/><Relationship Id="rId1" Type="http://schemas.openxmlformats.org/officeDocument/2006/relationships/printerSettings" Target="../printerSettings/printerSettings10.bin"/><Relationship Id="rId6" Type="http://schemas.openxmlformats.org/officeDocument/2006/relationships/table" Target="../tables/table54.xml"/><Relationship Id="rId11" Type="http://schemas.openxmlformats.org/officeDocument/2006/relationships/table" Target="../tables/table59.xml"/><Relationship Id="rId5" Type="http://schemas.openxmlformats.org/officeDocument/2006/relationships/table" Target="../tables/table53.xml"/><Relationship Id="rId10" Type="http://schemas.openxmlformats.org/officeDocument/2006/relationships/table" Target="../tables/table58.xml"/><Relationship Id="rId4" Type="http://schemas.openxmlformats.org/officeDocument/2006/relationships/table" Target="../tables/table52.xml"/><Relationship Id="rId9" Type="http://schemas.openxmlformats.org/officeDocument/2006/relationships/table" Target="../tables/table57.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table" Target="../tables/table6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table" Target="../tables/table63.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table" Target="../tables/table65.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table" Target="../tables/table66.xml"/><Relationship Id="rId1" Type="http://schemas.openxmlformats.org/officeDocument/2006/relationships/printerSettings" Target="../printerSettings/printerSettings1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79.xml"/><Relationship Id="rId2" Type="http://schemas.openxmlformats.org/officeDocument/2006/relationships/table" Target="../tables/table78.xml"/><Relationship Id="rId1" Type="http://schemas.openxmlformats.org/officeDocument/2006/relationships/printerSettings" Target="../printerSettings/printerSettings15.bin"/><Relationship Id="rId5" Type="http://schemas.openxmlformats.org/officeDocument/2006/relationships/table" Target="../tables/table81.xml"/><Relationship Id="rId4" Type="http://schemas.openxmlformats.org/officeDocument/2006/relationships/table" Target="../tables/table80.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83.xml"/><Relationship Id="rId2" Type="http://schemas.openxmlformats.org/officeDocument/2006/relationships/table" Target="../tables/table82.xml"/><Relationship Id="rId1" Type="http://schemas.openxmlformats.org/officeDocument/2006/relationships/printerSettings" Target="../printerSettings/printerSettings16.bin"/><Relationship Id="rId5" Type="http://schemas.openxmlformats.org/officeDocument/2006/relationships/table" Target="../tables/table85.xml"/><Relationship Id="rId4" Type="http://schemas.openxmlformats.org/officeDocument/2006/relationships/table" Target="../tables/table8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A4734-09F3-4CCE-8A5E-5CCFBB5FA602}">
  <sheetPr>
    <tabColor theme="0" tint="-0.499984740745262"/>
    <pageSetUpPr autoPageBreaks="0"/>
  </sheetPr>
  <dimension ref="B7:B11"/>
  <sheetViews>
    <sheetView showGridLines="0" tabSelected="1" workbookViewId="0">
      <selection activeCell="B11" sqref="B11"/>
    </sheetView>
  </sheetViews>
  <sheetFormatPr defaultColWidth="9.140625" defaultRowHeight="15" x14ac:dyDescent="0.25"/>
  <cols>
    <col min="2" max="2" width="85.42578125" customWidth="1"/>
  </cols>
  <sheetData>
    <row r="7" spans="2:2" ht="97.5" x14ac:dyDescent="0.25">
      <c r="B7" s="155" t="s">
        <v>0</v>
      </c>
    </row>
    <row r="8" spans="2:2" ht="48.75" x14ac:dyDescent="0.25">
      <c r="B8" s="155"/>
    </row>
    <row r="9" spans="2:2" ht="23.25" x14ac:dyDescent="0.25">
      <c r="B9" s="153" t="s">
        <v>543</v>
      </c>
    </row>
    <row r="11" spans="2:2" ht="31.5" x14ac:dyDescent="0.25">
      <c r="B11" s="154" t="s">
        <v>1</v>
      </c>
    </row>
  </sheetData>
  <pageMargins left="0.7" right="0.7" top="0.75" bottom="0.75" header="0.3" footer="0.3"/>
  <pageSetup paperSize="9" orientation="portrait" r:id="rId1"/>
  <headerFooter>
    <oddHeader>&amp;C&amp;B&amp;"Arial"&amp;12&amp;Kff0000​‌OFFICIAL‌​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C9E0-BE5F-4892-896D-1BCD09BCAA16}">
  <sheetPr>
    <tabColor theme="0" tint="-0.499984740745262"/>
    <pageSetUpPr autoPageBreaks="0"/>
  </sheetPr>
  <dimension ref="B1:B29"/>
  <sheetViews>
    <sheetView showGridLines="0" workbookViewId="0">
      <selection activeCell="B5" sqref="B5:B29"/>
    </sheetView>
  </sheetViews>
  <sheetFormatPr defaultRowHeight="15" x14ac:dyDescent="0.25"/>
  <cols>
    <col min="2" max="2" width="200.5703125" customWidth="1"/>
  </cols>
  <sheetData>
    <row r="1" spans="2:2" ht="28.5" x14ac:dyDescent="0.25">
      <c r="B1" s="28" t="s">
        <v>2</v>
      </c>
    </row>
    <row r="3" spans="2:2" ht="28.5" x14ac:dyDescent="0.25">
      <c r="B3" s="28" t="s">
        <v>3</v>
      </c>
    </row>
    <row r="5" spans="2:2" x14ac:dyDescent="0.25">
      <c r="B5" s="233" t="s">
        <v>4</v>
      </c>
    </row>
    <row r="6" spans="2:2" x14ac:dyDescent="0.25">
      <c r="B6" s="233"/>
    </row>
    <row r="7" spans="2:2" x14ac:dyDescent="0.25">
      <c r="B7" s="233"/>
    </row>
    <row r="8" spans="2:2" x14ac:dyDescent="0.25">
      <c r="B8" s="233"/>
    </row>
    <row r="9" spans="2:2" x14ac:dyDescent="0.25">
      <c r="B9" s="233"/>
    </row>
    <row r="10" spans="2:2" x14ac:dyDescent="0.25">
      <c r="B10" s="233"/>
    </row>
    <row r="11" spans="2:2" x14ac:dyDescent="0.25">
      <c r="B11" s="233"/>
    </row>
    <row r="12" spans="2:2" x14ac:dyDescent="0.25">
      <c r="B12" s="233"/>
    </row>
    <row r="13" spans="2:2" x14ac:dyDescent="0.25">
      <c r="B13" s="233"/>
    </row>
    <row r="14" spans="2:2" x14ac:dyDescent="0.25">
      <c r="B14" s="233"/>
    </row>
    <row r="15" spans="2:2" x14ac:dyDescent="0.25">
      <c r="B15" s="233"/>
    </row>
    <row r="16" spans="2:2" x14ac:dyDescent="0.25">
      <c r="B16" s="233"/>
    </row>
    <row r="17" spans="2:2" x14ac:dyDescent="0.25">
      <c r="B17" s="233"/>
    </row>
    <row r="18" spans="2:2" x14ac:dyDescent="0.25">
      <c r="B18" s="233"/>
    </row>
    <row r="19" spans="2:2" x14ac:dyDescent="0.25">
      <c r="B19" s="233"/>
    </row>
    <row r="20" spans="2:2" x14ac:dyDescent="0.25">
      <c r="B20" s="233"/>
    </row>
    <row r="21" spans="2:2" x14ac:dyDescent="0.25">
      <c r="B21" s="233"/>
    </row>
    <row r="22" spans="2:2" x14ac:dyDescent="0.25">
      <c r="B22" s="233"/>
    </row>
    <row r="23" spans="2:2" x14ac:dyDescent="0.25">
      <c r="B23" s="233"/>
    </row>
    <row r="24" spans="2:2" x14ac:dyDescent="0.25">
      <c r="B24" s="233"/>
    </row>
    <row r="25" spans="2:2" x14ac:dyDescent="0.25">
      <c r="B25" s="233"/>
    </row>
    <row r="26" spans="2:2" x14ac:dyDescent="0.25">
      <c r="B26" s="233"/>
    </row>
    <row r="27" spans="2:2" x14ac:dyDescent="0.25">
      <c r="B27" s="233"/>
    </row>
    <row r="28" spans="2:2" x14ac:dyDescent="0.25">
      <c r="B28" s="233"/>
    </row>
    <row r="29" spans="2:2" x14ac:dyDescent="0.25">
      <c r="B29" s="233"/>
    </row>
  </sheetData>
  <sheetProtection algorithmName="SHA-512" hashValue="V9H5wh2NjLw7YqmaPofikHdU2DYlIiGZLqfEy56Hk/YWeo34cDH1MC6CTlvPqvDDt3C1BxX2o7Qobzne1fLDCA==" saltValue="PRGgXPgCuzjizQpGBbFpIA==" spinCount="100000" sheet="1" objects="1" scenarios="1"/>
  <mergeCells count="1">
    <mergeCell ref="B5:B29"/>
  </mergeCells>
  <pageMargins left="0.7" right="0.7" top="0.75" bottom="0.75" header="0.3" footer="0.3"/>
  <pageSetup paperSize="9" orientation="portrait" r:id="rId1"/>
  <headerFooter>
    <oddHeader>&amp;C&amp;B&amp;"Arial"&amp;12&amp;Kff0000​‌OFFICIAL‌​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480C-27A2-4B3E-9741-0B6D9B41C818}">
  <sheetPr codeName="Sheet4">
    <tabColor rgb="FF7F7F7F"/>
    <pageSetUpPr autoPageBreaks="0"/>
  </sheetPr>
  <dimension ref="A1:FV31"/>
  <sheetViews>
    <sheetView showGridLines="0" zoomScaleNormal="100" workbookViewId="0">
      <pane xSplit="5" topLeftCell="F1" activePane="topRight" state="frozen"/>
      <selection activeCell="B33" sqref="B33"/>
      <selection pane="topRight" activeCell="D14" sqref="D14"/>
    </sheetView>
  </sheetViews>
  <sheetFormatPr defaultColWidth="9.42578125" defaultRowHeight="15" zeroHeight="1" x14ac:dyDescent="0.25"/>
  <cols>
    <col min="1" max="1" width="5.5703125" style="15" customWidth="1"/>
    <col min="2" max="2" width="25.5703125" style="3" customWidth="1"/>
    <col min="3" max="3" width="50.5703125" style="3" customWidth="1"/>
    <col min="4" max="4" width="25.5703125" style="3" customWidth="1"/>
    <col min="5" max="5" width="75.5703125" style="3" customWidth="1"/>
    <col min="6" max="178" width="5.5703125" style="3" customWidth="1"/>
  </cols>
  <sheetData>
    <row r="1" spans="1:178" ht="25.35" customHeight="1" x14ac:dyDescent="0.25">
      <c r="A1" s="229"/>
      <c r="B1" s="198" t="str">
        <f>Disclaimer!$B$1</f>
        <v>VDO calculation model</v>
      </c>
      <c r="C1" s="198"/>
      <c r="D1" s="198"/>
      <c r="E1" s="198"/>
    </row>
    <row r="2" spans="1:178" ht="25.35" customHeight="1" x14ac:dyDescent="0.25">
      <c r="A2" s="230">
        <f ca="1">_xlfn.SHEET()</f>
        <v>3</v>
      </c>
      <c r="B2" s="199" t="s">
        <v>5</v>
      </c>
      <c r="C2" s="199"/>
      <c r="D2" s="199"/>
      <c r="E2" s="199"/>
    </row>
    <row r="3" spans="1:178" ht="25.35" customHeight="1" x14ac:dyDescent="0.25">
      <c r="A3" s="231"/>
      <c r="B3" s="232" t="s">
        <v>6</v>
      </c>
      <c r="C3" s="232" t="s">
        <v>7</v>
      </c>
      <c r="D3" s="232" t="s">
        <v>8</v>
      </c>
      <c r="E3" s="232" t="s">
        <v>9</v>
      </c>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row>
    <row r="4" spans="1:178" ht="30" customHeight="1" x14ac:dyDescent="0.25">
      <c r="A4" s="25"/>
      <c r="B4" s="8" t="s">
        <v>10</v>
      </c>
      <c r="C4" s="8" t="s">
        <v>11</v>
      </c>
      <c r="D4" s="8" t="s">
        <v>549</v>
      </c>
      <c r="E4" s="8" t="s">
        <v>12</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row>
    <row r="5" spans="1:178" ht="30" customHeight="1" x14ac:dyDescent="0.25">
      <c r="A5" s="25"/>
      <c r="B5" s="8" t="s">
        <v>10</v>
      </c>
      <c r="C5" s="8" t="s">
        <v>5</v>
      </c>
      <c r="D5" s="8" t="s">
        <v>550</v>
      </c>
      <c r="E5" s="8"/>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row>
    <row r="6" spans="1:178" ht="30" customHeight="1" x14ac:dyDescent="0.25">
      <c r="A6" s="25"/>
      <c r="B6" s="8" t="s">
        <v>10</v>
      </c>
      <c r="C6" s="8" t="s">
        <v>13</v>
      </c>
      <c r="D6" s="8" t="s">
        <v>551</v>
      </c>
      <c r="E6" s="8" t="s">
        <v>14</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row>
    <row r="7" spans="1:178" ht="30" customHeight="1" x14ac:dyDescent="0.25">
      <c r="A7" s="25"/>
      <c r="B7" s="8" t="s">
        <v>10</v>
      </c>
      <c r="C7" s="8" t="s">
        <v>17</v>
      </c>
      <c r="D7" s="8" t="s">
        <v>552</v>
      </c>
      <c r="E7" s="8" t="s">
        <v>18</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row>
    <row r="8" spans="1:178" ht="30" customHeight="1" x14ac:dyDescent="0.25">
      <c r="A8" s="25"/>
      <c r="B8" s="8" t="s">
        <v>10</v>
      </c>
      <c r="C8" s="8" t="s">
        <v>19</v>
      </c>
      <c r="D8" s="8" t="s">
        <v>553</v>
      </c>
      <c r="E8" s="8" t="s">
        <v>20</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row>
    <row r="9" spans="1:178" ht="30" customHeight="1" x14ac:dyDescent="0.25">
      <c r="A9" s="25"/>
      <c r="B9" s="8" t="s">
        <v>10</v>
      </c>
      <c r="C9" s="8" t="s">
        <v>21</v>
      </c>
      <c r="D9" s="8" t="s">
        <v>554</v>
      </c>
      <c r="E9" s="8" t="s">
        <v>22</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row>
    <row r="10" spans="1:178" ht="30" customHeight="1" x14ac:dyDescent="0.25">
      <c r="A10" s="25"/>
      <c r="B10" s="8" t="s">
        <v>10</v>
      </c>
      <c r="C10" s="8" t="s">
        <v>23</v>
      </c>
      <c r="D10" s="8" t="s">
        <v>23</v>
      </c>
      <c r="E10" s="8" t="s">
        <v>24</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row>
    <row r="11" spans="1:178" ht="30" customHeight="1" x14ac:dyDescent="0.25">
      <c r="A11" s="25"/>
      <c r="B11" s="8" t="s">
        <v>10</v>
      </c>
      <c r="C11" s="8" t="s">
        <v>25</v>
      </c>
      <c r="D11" s="8" t="s">
        <v>555</v>
      </c>
      <c r="E11" s="8" t="s">
        <v>26</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row>
    <row r="12" spans="1:178" ht="30" customHeight="1" x14ac:dyDescent="0.25">
      <c r="A12" s="25"/>
      <c r="B12" s="8" t="s">
        <v>10</v>
      </c>
      <c r="C12" s="8" t="s">
        <v>27</v>
      </c>
      <c r="D12" s="8" t="s">
        <v>556</v>
      </c>
      <c r="E12" s="8" t="s">
        <v>28</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row>
    <row r="13" spans="1:178" ht="30" customHeight="1" x14ac:dyDescent="0.25">
      <c r="A13" s="25"/>
      <c r="B13" s="8" t="s">
        <v>10</v>
      </c>
      <c r="C13" s="8" t="s">
        <v>29</v>
      </c>
      <c r="D13" s="8" t="s">
        <v>557</v>
      </c>
      <c r="E13" s="8" t="s">
        <v>30</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row>
    <row r="14" spans="1:178" ht="30" customHeight="1" x14ac:dyDescent="0.25">
      <c r="A14" s="25"/>
      <c r="B14" s="8" t="s">
        <v>10</v>
      </c>
      <c r="C14" s="8" t="s">
        <v>558</v>
      </c>
      <c r="D14" s="8" t="s">
        <v>561</v>
      </c>
      <c r="E14" s="8" t="s">
        <v>559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row>
    <row r="15" spans="1:178" ht="30" customHeight="1" x14ac:dyDescent="0.25">
      <c r="A15" s="25"/>
      <c r="B15" s="8" t="s">
        <v>10</v>
      </c>
      <c r="C15" s="8" t="s">
        <v>31</v>
      </c>
      <c r="D15" s="8" t="s">
        <v>562</v>
      </c>
      <c r="E15" s="8" t="s">
        <v>560</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row>
    <row r="16" spans="1:178" ht="30" customHeight="1" x14ac:dyDescent="0.25">
      <c r="A16" s="25"/>
      <c r="B16" s="8"/>
      <c r="C16" s="8"/>
      <c r="D16" s="14"/>
      <c r="E16" s="8"/>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row>
    <row r="17" spans="1:178" ht="30" customHeight="1" x14ac:dyDescent="0.25">
      <c r="A17" s="25"/>
      <c r="B17" s="8"/>
      <c r="C17" s="8"/>
      <c r="D17" s="10"/>
      <c r="E17" s="8"/>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row>
    <row r="18" spans="1:178" x14ac:dyDescent="0.25"/>
    <row r="19" spans="1:178" x14ac:dyDescent="0.25"/>
    <row r="20" spans="1:178" x14ac:dyDescent="0.25"/>
    <row r="21" spans="1:178" x14ac:dyDescent="0.25"/>
    <row r="22" spans="1:178" x14ac:dyDescent="0.25"/>
    <row r="23" spans="1:178" x14ac:dyDescent="0.25"/>
    <row r="24" spans="1:178" x14ac:dyDescent="0.25"/>
    <row r="25" spans="1:178" x14ac:dyDescent="0.25"/>
    <row r="26" spans="1:178" x14ac:dyDescent="0.25"/>
    <row r="27" spans="1:178" x14ac:dyDescent="0.25"/>
    <row r="28" spans="1:178" x14ac:dyDescent="0.25"/>
    <row r="29" spans="1:178" x14ac:dyDescent="0.25"/>
    <row r="30" spans="1:178" x14ac:dyDescent="0.25"/>
    <row r="31" spans="1:178" x14ac:dyDescent="0.25"/>
  </sheetData>
  <sheetProtection algorithmName="SHA-512" hashValue="0NUUGGvw10Tcq42IlO09YQzaaAgWDXExk45shg4dtNwgud65ds9a/EY54L9Dpfogyj7lyogMybl2ZQjepWXSPg==" saltValue="nfAlJ8aTK2ukB1nqaSLtyQ==" spinCount="100000" sheet="1" objects="1" scenarios="1"/>
  <hyperlinks>
    <hyperlink ref="D4" location="Disclaimer!A1" display="Disclaimer!A1" xr:uid="{644738F7-70A4-43C9-94D3-C7676EA7F6A4}"/>
    <hyperlink ref="D5" location="Contents!A1" display="Contents!A1" xr:uid="{454D5969-D94A-4207-9D3E-E86E5CE42F0D}"/>
    <hyperlink ref="D6" location="'User Guide'!A1" display="'User Guide'!" xr:uid="{0F17291F-DAEA-4428-A619-297A400D6D73}"/>
    <hyperlink ref="D7" location="Calc_Rates!A1" display="Calc_Rates!A1" xr:uid="{9BE62CCD-638F-4971-8571-BB70FF292F02}"/>
    <hyperlink ref="D8" location="Calc_TU_values!A1" display="Calc_TU_values!A1" xr:uid="{9AB50892-CCA0-4D2F-81AE-8E5D0D2B5B2B}"/>
    <hyperlink ref="D9" location="Calc_TU_rates!A1" display="Calc_TU_rates!A1" xr:uid="{F1C8C2B4-CE15-4DE9-A87A-8D7093C125FA}"/>
    <hyperlink ref="D10" location="Inputs!A1" display="Inputs" xr:uid="{AB021567-C8A3-4CFD-B9AD-A959865D6BC5}"/>
    <hyperlink ref="D11" location="'General Assumptions'!A1" display="'General Assumptions'!A1" xr:uid="{3A61E9B7-D513-47F6-93D4-13ABA5F51EB8}"/>
    <hyperlink ref="D12" location="'CPI'!A1" display="'CPI'!A1" xr:uid="{FD3B3A16-D7B7-4F57-B421-14BDB634CCB6}"/>
    <hyperlink ref="D13" location="CH_CostStack_RES!A1" display="CH_CostStack_RES!A1" xr:uid="{7FA664DD-B1A0-4D0D-AEC0-3A8C2EF5C390}"/>
    <hyperlink ref="D14" location="'CH_CostStack_SME 10k'!A1" display="'CH_CostStack_SME 10k'!A1" xr:uid="{DAF0490F-4CE7-4354-B99C-4317C587655D}"/>
    <hyperlink ref="D15" location="CH_CostStack_SME!A1" display="CH_CostStack_SME!A1" xr:uid="{C6C6D497-CFE1-47DC-8DAF-59EBB7D975D1}"/>
  </hyperlinks>
  <pageMargins left="0.7" right="0.7" top="0.75" bottom="0.75" header="0.3" footer="0.3"/>
  <pageSetup paperSize="9" orientation="portrait" r:id="rId1"/>
  <headerFooter>
    <oddHeader>&amp;C&amp;B&amp;"Arial"&amp;12&amp;Kff0000​‌OFFICIAL‌​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9B9C-54D8-4CA7-9EA5-3139E3BA5210}">
  <sheetPr codeName="Sheet14">
    <tabColor rgb="FF7F7F7F"/>
    <pageSetUpPr autoPageBreaks="0"/>
  </sheetPr>
  <dimension ref="A1:Z112"/>
  <sheetViews>
    <sheetView showGridLines="0" topLeftCell="B1" zoomScaleNormal="100" workbookViewId="0">
      <pane ySplit="3" topLeftCell="A4" activePane="bottomLeft" state="frozen"/>
      <selection activeCell="B33" sqref="B33"/>
      <selection pane="bottomLeft" activeCell="C42" sqref="C42"/>
    </sheetView>
  </sheetViews>
  <sheetFormatPr defaultColWidth="9.42578125" defaultRowHeight="15" outlineLevelCol="1" x14ac:dyDescent="0.25"/>
  <cols>
    <col min="1" max="1" width="100.5703125" hidden="1" customWidth="1" outlineLevel="1"/>
    <col min="2" max="2" width="10.5703125" style="5" customWidth="1" collapsed="1"/>
    <col min="3" max="3" width="50.5703125" customWidth="1"/>
    <col min="4" max="26" width="25.5703125" customWidth="1"/>
  </cols>
  <sheetData>
    <row r="1" spans="1:26" ht="15" customHeight="1" x14ac:dyDescent="0.25">
      <c r="A1" s="1" t="s">
        <v>32</v>
      </c>
      <c r="B1" s="16"/>
      <c r="C1" s="17"/>
      <c r="D1" s="17"/>
      <c r="E1" s="17"/>
      <c r="F1" s="17"/>
      <c r="G1" s="17"/>
      <c r="H1" s="17"/>
      <c r="I1" s="17"/>
      <c r="J1" s="17"/>
      <c r="K1" s="17"/>
      <c r="L1" s="17"/>
      <c r="M1" s="17"/>
      <c r="N1" s="17"/>
      <c r="O1" s="17"/>
      <c r="P1" s="17"/>
      <c r="Q1" s="17"/>
      <c r="R1" s="17"/>
      <c r="S1" s="17"/>
      <c r="T1" s="17"/>
      <c r="U1" s="17"/>
      <c r="V1" s="17"/>
      <c r="W1" s="17"/>
      <c r="X1" s="17"/>
      <c r="Y1" s="17"/>
      <c r="Z1" s="17"/>
    </row>
    <row r="2" spans="1:26" s="3" customFormat="1" ht="50.1" customHeight="1" x14ac:dyDescent="0.25">
      <c r="A2" s="234" t="s">
        <v>33</v>
      </c>
      <c r="B2" s="20"/>
      <c r="C2" s="20" t="str">
        <f>Disclaimer!$B$1</f>
        <v>VDO calculation model</v>
      </c>
      <c r="D2" s="20"/>
      <c r="E2" s="20"/>
      <c r="F2" s="20"/>
      <c r="G2" s="20"/>
      <c r="H2" s="20"/>
      <c r="I2" s="20"/>
      <c r="J2" s="20"/>
      <c r="K2" s="20"/>
      <c r="L2" s="20"/>
      <c r="M2" s="20"/>
      <c r="N2" s="20"/>
      <c r="O2" s="20"/>
      <c r="P2" s="20"/>
      <c r="Q2" s="20"/>
      <c r="R2" s="20"/>
      <c r="S2" s="20"/>
      <c r="T2" s="20"/>
      <c r="U2" s="20"/>
      <c r="V2" s="20"/>
      <c r="W2" s="20"/>
      <c r="X2" s="20"/>
      <c r="Y2" s="20"/>
      <c r="Z2" s="20"/>
    </row>
    <row r="3" spans="1:26" s="3" customFormat="1" ht="30" customHeight="1" x14ac:dyDescent="0.25">
      <c r="A3" s="234"/>
      <c r="B3" s="22">
        <f ca="1">_xlfn.SHEET()</f>
        <v>4</v>
      </c>
      <c r="C3" s="21" t="s">
        <v>34</v>
      </c>
      <c r="D3" s="21"/>
      <c r="E3" s="21"/>
      <c r="F3" s="21"/>
      <c r="G3" s="21"/>
      <c r="H3" s="21"/>
      <c r="I3" s="21"/>
      <c r="J3" s="21"/>
      <c r="K3" s="21"/>
      <c r="L3" s="21"/>
      <c r="M3" s="21"/>
      <c r="N3" s="21"/>
      <c r="O3" s="21"/>
      <c r="P3" s="21"/>
      <c r="Q3" s="21"/>
      <c r="R3" s="21"/>
      <c r="S3" s="21"/>
      <c r="T3" s="21"/>
      <c r="U3" s="21"/>
      <c r="V3" s="21"/>
      <c r="W3" s="21"/>
      <c r="X3" s="21"/>
      <c r="Y3" s="21"/>
      <c r="Z3" s="21"/>
    </row>
    <row r="4" spans="1:26" x14ac:dyDescent="0.25">
      <c r="B4"/>
    </row>
    <row r="5" spans="1:26" ht="16.5" thickBot="1" x14ac:dyDescent="0.3">
      <c r="A5" s="1" t="s">
        <v>35</v>
      </c>
      <c r="B5" s="161">
        <f ca="1">MAX(B$3:B4)+0.01</f>
        <v>4.01</v>
      </c>
      <c r="C5" s="23" t="s">
        <v>36</v>
      </c>
      <c r="D5" s="23"/>
      <c r="E5" s="23"/>
      <c r="F5" s="23"/>
      <c r="G5" s="23"/>
      <c r="H5" s="23"/>
      <c r="I5" s="23"/>
      <c r="J5" s="23"/>
      <c r="K5" s="23"/>
      <c r="L5" s="23"/>
      <c r="M5" s="23"/>
      <c r="N5" s="23"/>
      <c r="O5" s="23"/>
      <c r="P5" s="23"/>
      <c r="Q5" s="23"/>
      <c r="R5" s="23"/>
      <c r="S5" s="23"/>
      <c r="T5" s="23"/>
      <c r="U5" s="23"/>
      <c r="V5" s="23"/>
      <c r="W5" s="23"/>
      <c r="X5" s="23"/>
      <c r="Y5" s="23"/>
      <c r="Z5" s="23"/>
    </row>
    <row r="6" spans="1:26" x14ac:dyDescent="0.25">
      <c r="B6"/>
    </row>
    <row r="7" spans="1:26" x14ac:dyDescent="0.25">
      <c r="B7"/>
    </row>
    <row r="8" spans="1:26" x14ac:dyDescent="0.25">
      <c r="B8"/>
    </row>
    <row r="9" spans="1:26" x14ac:dyDescent="0.25">
      <c r="B9"/>
    </row>
    <row r="10" spans="1:26" x14ac:dyDescent="0.25">
      <c r="B10"/>
    </row>
    <row r="11" spans="1:26" x14ac:dyDescent="0.25">
      <c r="B11"/>
    </row>
    <row r="12" spans="1:26" x14ac:dyDescent="0.25">
      <c r="B12"/>
    </row>
    <row r="13" spans="1:26" x14ac:dyDescent="0.25">
      <c r="B13"/>
    </row>
    <row r="14" spans="1:26" x14ac:dyDescent="0.25">
      <c r="B14"/>
    </row>
    <row r="15" spans="1:26" x14ac:dyDescent="0.25">
      <c r="B15"/>
    </row>
    <row r="16" spans="1:26" x14ac:dyDescent="0.25">
      <c r="B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spans="1:26" x14ac:dyDescent="0.25">
      <c r="B33"/>
    </row>
    <row r="34" spans="1:26" x14ac:dyDescent="0.25">
      <c r="B34"/>
    </row>
    <row r="35" spans="1:26" x14ac:dyDescent="0.25">
      <c r="B35"/>
    </row>
    <row r="36" spans="1:26" x14ac:dyDescent="0.25">
      <c r="B36"/>
    </row>
    <row r="37" spans="1:26" x14ac:dyDescent="0.25">
      <c r="B37"/>
    </row>
    <row r="38" spans="1:26" x14ac:dyDescent="0.25">
      <c r="B38"/>
    </row>
    <row r="39" spans="1:26" ht="16.5" thickBot="1" x14ac:dyDescent="0.3">
      <c r="A39" s="1" t="s">
        <v>35</v>
      </c>
      <c r="B39" s="161">
        <f ca="1">MAX(B$3:B38)+0.01</f>
        <v>4.0199999999999996</v>
      </c>
      <c r="C39" s="23" t="s">
        <v>37</v>
      </c>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25">
      <c r="B40"/>
    </row>
    <row r="41" spans="1:26" x14ac:dyDescent="0.25">
      <c r="B41"/>
    </row>
    <row r="42" spans="1:26" ht="15.75" x14ac:dyDescent="0.25">
      <c r="B42"/>
      <c r="C42" s="24" t="s">
        <v>38</v>
      </c>
    </row>
    <row r="43" spans="1:26" x14ac:dyDescent="0.25">
      <c r="B43"/>
    </row>
    <row r="44" spans="1:26" x14ac:dyDescent="0.25">
      <c r="B44"/>
    </row>
    <row r="45" spans="1:26" x14ac:dyDescent="0.25">
      <c r="B45"/>
    </row>
    <row r="46" spans="1:26" x14ac:dyDescent="0.25">
      <c r="B46"/>
    </row>
    <row r="47" spans="1:26" x14ac:dyDescent="0.25">
      <c r="B47"/>
    </row>
    <row r="48" spans="1:26" x14ac:dyDescent="0.25">
      <c r="B48"/>
    </row>
    <row r="49" spans="2:3" x14ac:dyDescent="0.25">
      <c r="B49"/>
    </row>
    <row r="50" spans="2:3" x14ac:dyDescent="0.25">
      <c r="B50"/>
    </row>
    <row r="51" spans="2:3" x14ac:dyDescent="0.25">
      <c r="B51"/>
    </row>
    <row r="52" spans="2:3" x14ac:dyDescent="0.25">
      <c r="B52"/>
    </row>
    <row r="53" spans="2:3" x14ac:dyDescent="0.25">
      <c r="B53"/>
    </row>
    <row r="54" spans="2:3" x14ac:dyDescent="0.25">
      <c r="B54"/>
    </row>
    <row r="55" spans="2:3" x14ac:dyDescent="0.25">
      <c r="B55"/>
    </row>
    <row r="56" spans="2:3" x14ac:dyDescent="0.25">
      <c r="B56"/>
    </row>
    <row r="57" spans="2:3" x14ac:dyDescent="0.25">
      <c r="B57"/>
    </row>
    <row r="58" spans="2:3" x14ac:dyDescent="0.25">
      <c r="B58"/>
    </row>
    <row r="59" spans="2:3" x14ac:dyDescent="0.25">
      <c r="B59"/>
    </row>
    <row r="60" spans="2:3" x14ac:dyDescent="0.25">
      <c r="B60"/>
    </row>
    <row r="61" spans="2:3" ht="15.75" x14ac:dyDescent="0.25">
      <c r="B61"/>
      <c r="C61" s="24" t="s">
        <v>39</v>
      </c>
    </row>
    <row r="62" spans="2:3" x14ac:dyDescent="0.25">
      <c r="B62"/>
    </row>
    <row r="63" spans="2:3" x14ac:dyDescent="0.25">
      <c r="B63"/>
    </row>
    <row r="64" spans="2:3"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3" x14ac:dyDescent="0.25">
      <c r="B81"/>
    </row>
    <row r="82" spans="2:3" x14ac:dyDescent="0.25">
      <c r="B82"/>
    </row>
    <row r="83" spans="2:3" x14ac:dyDescent="0.25">
      <c r="B83"/>
    </row>
    <row r="84" spans="2:3" x14ac:dyDescent="0.25">
      <c r="B84"/>
    </row>
    <row r="85" spans="2:3" x14ac:dyDescent="0.25">
      <c r="B85"/>
    </row>
    <row r="86" spans="2:3" x14ac:dyDescent="0.25">
      <c r="B86"/>
    </row>
    <row r="87" spans="2:3" x14ac:dyDescent="0.25">
      <c r="B87"/>
    </row>
    <row r="88" spans="2:3" x14ac:dyDescent="0.25">
      <c r="B88"/>
    </row>
    <row r="89" spans="2:3" x14ac:dyDescent="0.25">
      <c r="B89"/>
    </row>
    <row r="90" spans="2:3" x14ac:dyDescent="0.25">
      <c r="B90"/>
    </row>
    <row r="91" spans="2:3" x14ac:dyDescent="0.25">
      <c r="B91"/>
    </row>
    <row r="92" spans="2:3" x14ac:dyDescent="0.25">
      <c r="B92"/>
    </row>
    <row r="93" spans="2:3" x14ac:dyDescent="0.25">
      <c r="B93"/>
    </row>
    <row r="94" spans="2:3" x14ac:dyDescent="0.25">
      <c r="B94"/>
    </row>
    <row r="95" spans="2:3" x14ac:dyDescent="0.25">
      <c r="B95"/>
    </row>
    <row r="96" spans="2:3" ht="15.75" x14ac:dyDescent="0.25">
      <c r="B96"/>
      <c r="C96" s="24" t="s">
        <v>40</v>
      </c>
    </row>
    <row r="97" spans="1:26" ht="15.75" x14ac:dyDescent="0.25">
      <c r="B97"/>
      <c r="C97" s="24"/>
    </row>
    <row r="98" spans="1:26" x14ac:dyDescent="0.25">
      <c r="B98"/>
    </row>
    <row r="99" spans="1:26" x14ac:dyDescent="0.25">
      <c r="B99"/>
    </row>
    <row r="100" spans="1:26" x14ac:dyDescent="0.25">
      <c r="B100"/>
    </row>
    <row r="101" spans="1:26" x14ac:dyDescent="0.25">
      <c r="B101"/>
    </row>
    <row r="102" spans="1:26" x14ac:dyDescent="0.25">
      <c r="B102"/>
    </row>
    <row r="103" spans="1:26" x14ac:dyDescent="0.25">
      <c r="B103"/>
    </row>
    <row r="104" spans="1:26" x14ac:dyDescent="0.25">
      <c r="B104"/>
    </row>
    <row r="105" spans="1:26" x14ac:dyDescent="0.25">
      <c r="B105"/>
    </row>
    <row r="106" spans="1:26" ht="16.5" thickBot="1" x14ac:dyDescent="0.3">
      <c r="A106" s="1" t="s">
        <v>35</v>
      </c>
      <c r="B106" s="161">
        <f ca="1">MAX(B$3:B105)+0.01</f>
        <v>4.0299999999999994</v>
      </c>
      <c r="C106" s="23" t="s">
        <v>41</v>
      </c>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8" spans="1:26" ht="25.35" customHeight="1" x14ac:dyDescent="0.25">
      <c r="C108" s="64" t="s">
        <v>15</v>
      </c>
    </row>
    <row r="109" spans="1:26" ht="25.35" customHeight="1" x14ac:dyDescent="0.25">
      <c r="C109" s="63" t="s">
        <v>42</v>
      </c>
    </row>
    <row r="110" spans="1:26" ht="25.35" customHeight="1" x14ac:dyDescent="0.25">
      <c r="C110" s="65" t="s">
        <v>43</v>
      </c>
    </row>
    <row r="111" spans="1:26" ht="25.35" customHeight="1" x14ac:dyDescent="0.25">
      <c r="C111" s="66" t="s">
        <v>44</v>
      </c>
    </row>
    <row r="112" spans="1:26" ht="25.35" customHeight="1" x14ac:dyDescent="0.25">
      <c r="C112" s="67" t="s">
        <v>45</v>
      </c>
    </row>
  </sheetData>
  <sheetProtection algorithmName="SHA-512" hashValue="7Jzb4GTHFtoezVqehJp7Ro71safLkghleGvRnEqpbrYV/JpPnTmBS4jdxqB/EiWZRWz9x2xBLQEiHg2vjSItyA==" saltValue="NmW/MTHhVk4+aLaFepPoWQ==" spinCount="100000" sheet="1" objects="1" scenarios="1"/>
  <mergeCells count="1">
    <mergeCell ref="A2:A3"/>
  </mergeCells>
  <pageMargins left="0.7" right="0.7" top="0.75" bottom="0.75" header="0.3" footer="0.3"/>
  <pageSetup paperSize="9" orientation="portrait" r:id="rId1"/>
  <headerFooter>
    <oddHeader>&amp;C&amp;B&amp;"Arial"&amp;12&amp;Kff0000​‌OFFICIAL‌​</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185-BE6B-4916-A39F-BB308B95FEDF}">
  <sheetPr codeName="Sheet19">
    <tabColor rgb="FF236192"/>
    <outlinePr summaryBelow="0"/>
    <pageSetUpPr autoPageBreaks="0"/>
  </sheetPr>
  <dimension ref="A1:S534"/>
  <sheetViews>
    <sheetView showGridLines="0" topLeftCell="B1" zoomScale="80" zoomScaleNormal="80" workbookViewId="0">
      <pane ySplit="3" topLeftCell="A4" activePane="bottomLeft" state="frozen"/>
      <selection activeCell="B33" sqref="B33"/>
      <selection pane="bottomLeft" activeCell="C527" sqref="C527"/>
    </sheetView>
  </sheetViews>
  <sheetFormatPr defaultColWidth="9.42578125" defaultRowHeight="15" outlineLevelRow="1" outlineLevelCol="1" x14ac:dyDescent="0.25"/>
  <cols>
    <col min="1" max="1" width="100.5703125" hidden="1" customWidth="1" outlineLevel="1" collapsed="1"/>
    <col min="2" max="2" width="10.5703125" style="5" customWidth="1" collapsed="1"/>
    <col min="3" max="3" width="50.5703125" customWidth="1"/>
    <col min="4" max="6" width="20.5703125" customWidth="1"/>
    <col min="7" max="11" width="20.7109375" customWidth="1"/>
  </cols>
  <sheetData>
    <row r="1" spans="1:11" ht="15" customHeight="1" x14ac:dyDescent="0.25">
      <c r="A1" s="1" t="s">
        <v>32</v>
      </c>
      <c r="B1" s="16"/>
      <c r="C1" s="17"/>
      <c r="D1" s="87" t="s">
        <v>352</v>
      </c>
      <c r="E1" s="70"/>
      <c r="F1" s="17"/>
      <c r="G1" s="17"/>
      <c r="H1" s="17"/>
      <c r="I1" s="17"/>
      <c r="J1" s="17"/>
      <c r="K1" s="17"/>
    </row>
    <row r="2" spans="1:11" s="3" customFormat="1" ht="50.1" customHeight="1" x14ac:dyDescent="0.25">
      <c r="A2" s="234" t="s">
        <v>33</v>
      </c>
      <c r="B2" s="20"/>
      <c r="C2" s="20" t="str">
        <f>Disclaimer!$B$1</f>
        <v>VDO calculation model</v>
      </c>
      <c r="D2" s="129" t="str">
        <f>FY</f>
        <v>VDO 2024-25 - Draft</v>
      </c>
      <c r="E2" s="129" t="str">
        <f>PY</f>
        <v>VDO 2023-24 - Final</v>
      </c>
      <c r="F2" s="20"/>
      <c r="G2" s="20"/>
      <c r="H2" s="20"/>
      <c r="I2" s="20"/>
      <c r="J2" s="20"/>
      <c r="K2" s="20"/>
    </row>
    <row r="3" spans="1:11" s="3" customFormat="1" ht="30" customHeight="1" x14ac:dyDescent="0.25">
      <c r="A3" s="235"/>
      <c r="B3" s="22">
        <v>5</v>
      </c>
      <c r="C3" s="21" t="s">
        <v>353</v>
      </c>
      <c r="D3" s="69">
        <f>SUM($G$23:$K$23,$G$48:$K$48,$G$66:$K$66,$G$73:$K$73,$G$80:$K$80,$G$88:$K$88,$G$102:$K$102,$G$111:$K$111,$G$118:$K$118,$G$125:$K$125,$G$133:$K$133,$G$140:$K$140,$G$95:$K$95)</f>
        <v>0</v>
      </c>
      <c r="E3" s="69">
        <f>SUM($G$284:$K$284,$G$309:$K$309,$G$327:$K$327,$G$334:$K$334,$G$341:$K$341,$G$349:$K$349,$G$356:$K$356,$G$363:$K$363,$G$372:$K$372,$G$379:$K$379,$G$386:$K$386,$G$394:$K$394,$G$401:$K$401)</f>
        <v>0</v>
      </c>
      <c r="F3" s="21"/>
      <c r="G3" s="21"/>
      <c r="H3" s="21"/>
      <c r="I3" s="21"/>
      <c r="J3" s="21"/>
      <c r="K3" s="21"/>
    </row>
    <row r="4" spans="1:11" x14ac:dyDescent="0.25">
      <c r="B4"/>
    </row>
    <row r="5" spans="1:11" ht="26.25" x14ac:dyDescent="0.25">
      <c r="B5"/>
      <c r="C5" s="165" t="s">
        <v>47</v>
      </c>
      <c r="D5" s="30" t="str">
        <f>Inputs!E9</f>
        <v>VDO 2024-25 - Draft</v>
      </c>
    </row>
    <row r="6" spans="1:11" x14ac:dyDescent="0.25">
      <c r="B6"/>
    </row>
    <row r="7" spans="1:11" ht="16.5" thickBot="1" x14ac:dyDescent="0.3">
      <c r="A7" s="1" t="s">
        <v>35</v>
      </c>
      <c r="B7" s="161">
        <f>MAX(B$3:B6)+0.01</f>
        <v>5.01</v>
      </c>
      <c r="C7" s="23" t="s">
        <v>354</v>
      </c>
      <c r="D7" s="23"/>
      <c r="E7" s="23"/>
      <c r="F7" s="23"/>
      <c r="G7" s="23"/>
      <c r="H7" s="23"/>
      <c r="I7" s="23"/>
      <c r="J7" s="23"/>
      <c r="K7" s="23"/>
    </row>
    <row r="8" spans="1:11" x14ac:dyDescent="0.25">
      <c r="B8"/>
      <c r="I8" s="62"/>
    </row>
    <row r="9" spans="1:11" ht="15.75" x14ac:dyDescent="0.25">
      <c r="B9"/>
      <c r="C9" s="32" t="s">
        <v>355</v>
      </c>
      <c r="D9" s="32" t="s">
        <v>108</v>
      </c>
      <c r="E9" s="32" t="s">
        <v>56</v>
      </c>
      <c r="F9" s="32" t="s">
        <v>57</v>
      </c>
      <c r="G9" s="43" t="s">
        <v>59</v>
      </c>
      <c r="H9" s="43" t="s">
        <v>60</v>
      </c>
      <c r="I9" s="43" t="s">
        <v>61</v>
      </c>
      <c r="J9" s="43" t="s">
        <v>62</v>
      </c>
      <c r="K9" s="43" t="s">
        <v>63</v>
      </c>
    </row>
    <row r="10" spans="1:11" x14ac:dyDescent="0.25">
      <c r="B10"/>
      <c r="C10" s="18" t="s">
        <v>130</v>
      </c>
      <c r="D10" s="18" t="s">
        <v>132</v>
      </c>
      <c r="E10" s="18" t="s">
        <v>65</v>
      </c>
      <c r="F10" s="18" t="s">
        <v>133</v>
      </c>
      <c r="G10" s="52">
        <f>SUMIFS(Calc_Retail_1[Ausnet],Calc_Retail_1[[Fixed/Variable]:[Fixed/Variable]],$D10,Calc_Retail_1[[Customer type]:[Customer type]],$F10)</f>
        <v>187.59415017239178</v>
      </c>
      <c r="H10" s="52">
        <f>SUMIFS(Calc_Retail_1[Citipower],Calc_Retail_1[[Fixed/Variable]:[Fixed/Variable]],$D10,Calc_Retail_1[[Customer type]:[Customer type]],$F10)</f>
        <v>187.59415017239178</v>
      </c>
      <c r="I10" s="52">
        <f>SUMIFS(Calc_Retail_1[Jemena],Calc_Retail_1[[Fixed/Variable]:[Fixed/Variable]],$D10,Calc_Retail_1[[Customer type]:[Customer type]],$F10)</f>
        <v>187.59415017239178</v>
      </c>
      <c r="J10" s="52">
        <f>SUMIFS(Calc_Retail_1[Powercor],Calc_Retail_1[[Fixed/Variable]:[Fixed/Variable]],$D10,Calc_Retail_1[[Customer type]:[Customer type]],$F10)</f>
        <v>187.59415017239178</v>
      </c>
      <c r="K10" s="52">
        <f>SUMIFS(Calc_Retail_1[United Energy],Calc_Retail_1[[Fixed/Variable]:[Fixed/Variable]],$D10,Calc_Retail_1[[Customer type]:[Customer type]],$F10)</f>
        <v>187.59415017239178</v>
      </c>
    </row>
    <row r="11" spans="1:11" x14ac:dyDescent="0.25">
      <c r="B11"/>
      <c r="C11" s="18" t="s">
        <v>141</v>
      </c>
      <c r="D11" s="18" t="s">
        <v>132</v>
      </c>
      <c r="E11" s="18" t="s">
        <v>65</v>
      </c>
      <c r="F11" s="18" t="s">
        <v>133</v>
      </c>
      <c r="G11" s="55">
        <f>SUMIFS(Calc_OtherCosts_1[Ausnet],Calc_OtherCosts_1[[Fixed/Variable]:[Fixed/Variable]],$D11,Calc_OtherCosts_1[[Customer type]:[Customer type]],$F11)</f>
        <v>11.074480216903517</v>
      </c>
      <c r="H11" s="52">
        <f>SUMIFS(Calc_OtherCosts_1[Citipower],Calc_OtherCosts_1[[Fixed/Variable]:[Fixed/Variable]],$D11,Calc_OtherCosts_1[[Customer type]:[Customer type]],$F11)</f>
        <v>11.074480216903517</v>
      </c>
      <c r="I11" s="52">
        <f>SUMIFS(Calc_OtherCosts_1[Jemena],Calc_OtherCosts_1[[Fixed/Variable]:[Fixed/Variable]],$D11,Calc_OtherCosts_1[[Customer type]:[Customer type]],$F11)</f>
        <v>11.074480216903517</v>
      </c>
      <c r="J11" s="52">
        <f>SUMIFS(Calc_OtherCosts_1[Powercor],Calc_OtherCosts_1[[Fixed/Variable]:[Fixed/Variable]],$D11,Calc_OtherCosts_1[[Customer type]:[Customer type]],$F11)</f>
        <v>11.074480216903517</v>
      </c>
      <c r="K11" s="52">
        <f>SUMIFS(Calc_OtherCosts_1[United Energy],Calc_OtherCosts_1[[Fixed/Variable]:[Fixed/Variable]],$D11,Calc_OtherCosts_1[[Customer type]:[Customer type]],$F11)</f>
        <v>11.074480216903517</v>
      </c>
    </row>
    <row r="12" spans="1:11" x14ac:dyDescent="0.25">
      <c r="B12"/>
      <c r="C12" s="18" t="s">
        <v>356</v>
      </c>
      <c r="D12" s="18" t="s">
        <v>132</v>
      </c>
      <c r="E12" s="18" t="s">
        <v>65</v>
      </c>
      <c r="F12" s="18" t="s">
        <v>133</v>
      </c>
      <c r="G12" s="52">
        <f>SUMIFS(Calc_FiT_1[Ausnet],Calc_FiT_1[[Fixed/Variable]:[Fixed/Variable]],$D12,Calc_FiT_1[[Customer type]:[Customer type]],$F12)</f>
        <v>17.695706209818297</v>
      </c>
      <c r="H12" s="52">
        <f>SUMIFS(Calc_FiT_1[Citipower],Calc_FiT_1[[Fixed/Variable]:[Fixed/Variable]],$D12,Calc_FiT_1[[Customer type]:[Customer type]],$F12)</f>
        <v>17.695706209818297</v>
      </c>
      <c r="I12" s="52">
        <f>SUMIFS(Calc_FiT_1[Jemena],Calc_FiT_1[[Fixed/Variable]:[Fixed/Variable]],$D12,Calc_FiT_1[[Customer type]:[Customer type]],$F12)</f>
        <v>17.695706209818297</v>
      </c>
      <c r="J12" s="52">
        <f>SUMIFS(Calc_FiT_1[Powercor],Calc_FiT_1[[Fixed/Variable]:[Fixed/Variable]],$D12,Calc_FiT_1[[Customer type]:[Customer type]],$F12)</f>
        <v>17.695706209818297</v>
      </c>
      <c r="K12" s="52">
        <f>SUMIFS(Calc_FiT_1[United Energy],Calc_FiT_1[[Fixed/Variable]:[Fixed/Variable]],$D12,Calc_FiT_1[[Customer type]:[Customer type]],$F12)</f>
        <v>17.695706209818297</v>
      </c>
    </row>
    <row r="13" spans="1:11" x14ac:dyDescent="0.25">
      <c r="B13"/>
      <c r="C13" s="18" t="s">
        <v>357</v>
      </c>
      <c r="D13" s="18" t="s">
        <v>132</v>
      </c>
      <c r="E13" s="18" t="s">
        <v>65</v>
      </c>
      <c r="F13" s="18" t="s">
        <v>133</v>
      </c>
      <c r="G13" s="52">
        <f>SUMIFS(Calc_NetworkF_1[Ausnet],Calc_NetworkF_1[[Fixed/Variable]:[Fixed/Variable]],$D13,Calc_NetworkF_1[[Customer type]:[Customer type]],$F13)</f>
        <v>84.384749338817059</v>
      </c>
      <c r="H13" s="52">
        <f>SUMIFS(Calc_NetworkF_1[Citipower],Calc_NetworkF_1[[Fixed/Variable]:[Fixed/Variable]],$D13,Calc_NetworkF_1[[Customer type]:[Customer type]],$F13)</f>
        <v>72.143296658981029</v>
      </c>
      <c r="I13" s="52">
        <f>SUMIFS(Calc_NetworkF_1[Jemena],Calc_NetworkF_1[[Fixed/Variable]:[Fixed/Variable]],$D13,Calc_NetworkF_1[[Customer type]:[Customer type]],$F13)</f>
        <v>62.444035542518748</v>
      </c>
      <c r="J13" s="52">
        <f>SUMIFS(Calc_NetworkF_1[Powercor],Calc_NetworkF_1[[Fixed/Variable]:[Fixed/Variable]],$D13,Calc_NetworkF_1[[Customer type]:[Customer type]],$F13)</f>
        <v>68.427245794046655</v>
      </c>
      <c r="K13" s="52">
        <f>SUMIFS(Calc_NetworkF_1[United Energy],Calc_NetworkF_1[[Fixed/Variable]:[Fixed/Variable]],$D13,Calc_NetworkF_1[[Customer type]:[Customer type]],$F13)</f>
        <v>48.865193782171744</v>
      </c>
    </row>
    <row r="14" spans="1:11" x14ac:dyDescent="0.25">
      <c r="B14"/>
    </row>
    <row r="15" spans="1:11" ht="15.75" x14ac:dyDescent="0.25">
      <c r="B15"/>
      <c r="C15" s="24" t="s">
        <v>358</v>
      </c>
    </row>
    <row r="16" spans="1:11" ht="15.75" outlineLevel="1" x14ac:dyDescent="0.25">
      <c r="B16"/>
      <c r="C16" s="59" t="s">
        <v>64</v>
      </c>
    </row>
    <row r="17" spans="2:15" outlineLevel="1" x14ac:dyDescent="0.25">
      <c r="B17"/>
      <c r="C17" s="18" t="s">
        <v>359</v>
      </c>
      <c r="D17" s="18" t="s">
        <v>58</v>
      </c>
      <c r="E17" s="18" t="s">
        <v>65</v>
      </c>
      <c r="F17" s="18" t="s">
        <v>66</v>
      </c>
      <c r="G17" s="44">
        <f>SUMIFS(Calc_NetworkF_1[Ausnet],Calc_NetworkF_1[[Cost item]:[Cost item]],$C16,Calc_NetworkF_1[[Customer type]:[Customer type]],$F17)</f>
        <v>141.1585</v>
      </c>
      <c r="H17" s="44">
        <f>SUMIFS(Calc_NetworkF_1[Citipower],Calc_NetworkF_1[[Cost item]:[Cost item]],$C16,Calc_NetworkF_1[[Customer type]:[Customer type]],$F17)</f>
        <v>90.009</v>
      </c>
      <c r="I17" s="44">
        <f>SUMIFS(Calc_NetworkF_1[Jemena],Calc_NetworkF_1[[Cost item]:[Cost item]],$C16,Calc_NetworkF_1[[Customer type]:[Customer type]],$F17)</f>
        <v>111.59090799999998</v>
      </c>
      <c r="J17" s="44">
        <f>SUMIFS(Calc_NetworkF_1[Powercor],Calc_NetworkF_1[[Cost item]:[Cost item]],$C16,Calc_NetworkF_1[[Customer type]:[Customer type]],$F17)</f>
        <v>139.97749999999999</v>
      </c>
      <c r="K17" s="44">
        <f>SUMIFS(Calc_NetworkF_1[United Energy],Calc_NetworkF_1[[Cost item]:[Cost item]],$C16,Calc_NetworkF_1[[Customer type]:[Customer type]],$F17)</f>
        <v>89.972499999999997</v>
      </c>
    </row>
    <row r="18" spans="2:15" outlineLevel="1" x14ac:dyDescent="0.25">
      <c r="B18"/>
      <c r="C18" s="18" t="s">
        <v>355</v>
      </c>
      <c r="D18" s="18" t="s">
        <v>58</v>
      </c>
      <c r="E18" s="18" t="s">
        <v>65</v>
      </c>
      <c r="F18" s="18" t="s">
        <v>66</v>
      </c>
      <c r="G18" s="52">
        <f>IF(G17=0,"-",SUMIFS(Calc_Fixed_1[Ausnet],Calc_Fixed_1[Customer type],"All")+SUMIFS(Calc_Fixed_1[Ausnet],Calc_Fixed_1[Customer type],$F18))</f>
        <v>300.74908593793066</v>
      </c>
      <c r="H18" s="52">
        <f>IF(H17=0,"-",SUMIFS(Calc_Fixed_1[Citipower],Calc_Fixed_1[[Customer type]:[Customer type]],"All")+SUMIFS(Calc_Fixed_1[Citipower],Calc_Fixed_1[[Customer type]:[Customer type]],$F18))</f>
        <v>288.50763325809464</v>
      </c>
      <c r="I18" s="52">
        <f>IF(I17=0,"-",SUMIFS(Calc_Fixed_1[Jemena],Calc_Fixed_1[[Customer type]:[Customer type]],"All")+SUMIFS(Calc_Fixed_1[Jemena],Calc_Fixed_1[[Customer type]:[Customer type]],$F18))</f>
        <v>278.80837214163233</v>
      </c>
      <c r="J18" s="52">
        <f>IF(J17=0,"-",SUMIFS(Calc_Fixed_1[Powercor],Calc_Fixed_1[[Customer type]:[Customer type]],"All")+SUMIFS(Calc_Fixed_1[Powercor],Calc_Fixed_1[[Customer type]:[Customer type]],$F18))</f>
        <v>284.79158239316024</v>
      </c>
      <c r="K18" s="52">
        <f>IF(K17=0,"-",SUMIFS(Calc_Fixed_1[United Energy],Calc_Fixed_1[[Customer type]:[Customer type]],"All")+SUMIFS(Calc_Fixed_1[United Energy],Calc_Fixed_1[[Customer type]:[Customer type]],$F18))</f>
        <v>265.22953038128531</v>
      </c>
    </row>
    <row r="19" spans="2:15" outlineLevel="1" x14ac:dyDescent="0.25">
      <c r="B19"/>
      <c r="C19" s="18" t="s">
        <v>258</v>
      </c>
      <c r="D19" s="18" t="s">
        <v>58</v>
      </c>
      <c r="E19" s="18" t="s">
        <v>65</v>
      </c>
      <c r="F19" s="18" t="s">
        <v>66</v>
      </c>
      <c r="G19" s="52" cm="1">
        <f t="array" ref="G19">IF(G17=0,"-",(G17+G18)*Calc_ROM_1[Ausnet])</f>
        <v>24.746824812524117</v>
      </c>
      <c r="H19" s="52" cm="1">
        <f t="array" ref="H19">IF(H17=0,"-",(H17+H18)*Calc_ROM_1[Citipower])</f>
        <v>21.1969314624533</v>
      </c>
      <c r="I19" s="52" cm="1">
        <f t="array" ref="I19">IF(I17=0,"-",(I17+I18)*Calc_ROM_1[Jemena])</f>
        <v>21.862359687931409</v>
      </c>
      <c r="J19" s="52" cm="1">
        <f t="array" ref="J19">IF(J17=0,"-",(J17+J18)*Calc_ROM_1[Powercor])</f>
        <v>23.787068614016974</v>
      </c>
      <c r="K19" s="52" cm="1">
        <f t="array" ref="K19">IF(K17=0,"-",(K17+K18)*Calc_ROM_1[United Energy])</f>
        <v>19.891313701351979</v>
      </c>
      <c r="O19" s="56"/>
    </row>
    <row r="20" spans="2:15" outlineLevel="1" x14ac:dyDescent="0.25">
      <c r="B20"/>
      <c r="C20" s="18" t="s">
        <v>360</v>
      </c>
      <c r="D20" s="18" t="s">
        <v>58</v>
      </c>
      <c r="E20" s="18" t="s">
        <v>65</v>
      </c>
      <c r="F20" s="18" t="s">
        <v>66</v>
      </c>
      <c r="G20" s="52">
        <f>IF(G17=0,"-",(G17+G18+G19)*GST)</f>
        <v>46.665441075045479</v>
      </c>
      <c r="H20" s="52">
        <f>IF(H17=0,"-",(H17+H18+H19)*GST)</f>
        <v>39.971356472054794</v>
      </c>
      <c r="I20" s="52">
        <f>IF(I17=0,"-",(I17+I18+I19)*GST)</f>
        <v>41.226163982956372</v>
      </c>
      <c r="J20" s="52">
        <f>IF(J17=0,"-",(J17+J18+J19)*GST)</f>
        <v>44.855615100717728</v>
      </c>
      <c r="K20" s="52">
        <f>IF(K17=0,"-",(K17+K18+K19)*GST)</f>
        <v>37.509334408263733</v>
      </c>
    </row>
    <row r="21" spans="2:15" outlineLevel="1" x14ac:dyDescent="0.25">
      <c r="B21"/>
      <c r="C21" s="18" t="s">
        <v>361</v>
      </c>
      <c r="D21" s="18" t="s">
        <v>58</v>
      </c>
      <c r="E21" s="18" t="s">
        <v>65</v>
      </c>
      <c r="F21" s="18" t="s">
        <v>66</v>
      </c>
      <c r="G21" s="52">
        <f>IF(G17=0,"-",G17+G18+G19+G20)</f>
        <v>513.31985182550022</v>
      </c>
      <c r="H21" s="52">
        <f>IF(H17=0,"-",H17+H18+H19+H20)</f>
        <v>439.6849211926027</v>
      </c>
      <c r="I21" s="52">
        <f>IF(I17=0,"-",I17+I18+I19+I20)</f>
        <v>453.4878038125201</v>
      </c>
      <c r="J21" s="52">
        <f>IF(J17=0,"-",J17+J18+J19+J20)</f>
        <v>493.41176610789495</v>
      </c>
      <c r="K21" s="52">
        <f>IF(K17=0,"-",K17+K18+K19+K20)</f>
        <v>412.60267849090104</v>
      </c>
    </row>
    <row r="22" spans="2:15" outlineLevel="1" x14ac:dyDescent="0.25">
      <c r="B22"/>
      <c r="C22" s="18" t="str">
        <f>C16</f>
        <v>Anytime - supply</v>
      </c>
      <c r="D22" s="18" t="s">
        <v>58</v>
      </c>
      <c r="E22" s="18" t="s">
        <v>65</v>
      </c>
      <c r="F22" s="18" t="s">
        <v>66</v>
      </c>
      <c r="G22" s="53">
        <f>IF(G17=0,"-",G21/DiY)</f>
        <v>1.406355758426028</v>
      </c>
      <c r="H22" s="53">
        <f>IF(H17=0,"-",H21/DiY)</f>
        <v>1.2046162224454868</v>
      </c>
      <c r="I22" s="53">
        <f>IF(I17=0,"-",I21/DiY)</f>
        <v>1.2424323392123839</v>
      </c>
      <c r="J22" s="53">
        <f>IF(J17=0,"-",J21/DiY)</f>
        <v>1.3518130578298491</v>
      </c>
      <c r="K22" s="53">
        <f>IF(K17=0,"-",K21/DiY)</f>
        <v>1.1304182972353454</v>
      </c>
    </row>
    <row r="23" spans="2:15" outlineLevel="1" x14ac:dyDescent="0.25">
      <c r="B23"/>
      <c r="G23" s="121" cm="1">
        <f t="array" ref="G23">IF(G17=0,"-",
IF(ROUND(G22,8)=ROUND((((
SUMIFS(Calc_NetworkF_1[Ausnet],Calc_NetworkF_1[[Cost item]:[Cost item]],$C16,Calc_NetworkF_1[[Customer type]:[Customer type]],$F17)+
SUMIFS(Calc_Fixed_1[Ausnet],Calc_Fixed_1[[Customer type]:[Customer type]],Calc_Rates!$F22)+SUMIFS(Calc_Fixed_1[Ausnet],Calc_Fixed_1[[Customer type]:[Customer type]],"All"))*(1+Calc_ROM_1[Ausnet]))*(1+GST))/DiY,8),0,1))</f>
        <v>0</v>
      </c>
      <c r="H23" s="121" cm="1">
        <f t="array" ref="H23">IF(H17=0,"-",
IF(ROUND(H22,8)=ROUND((((
SUMIFS(Calc_NetworkF_1[Citipower],Calc_NetworkF_1[[Cost item]:[Cost item]],$C16,Calc_NetworkF_1[[Customer type]:[Customer type]],$F17)+
SUMIFS(Calc_Fixed_1[Citipower],Calc_Fixed_1[[Customer type]:[Customer type]],Calc_Rates!$F22)+SUMIFS(Calc_Fixed_1[Citipower],Calc_Fixed_1[[Customer type]:[Customer type]],"All"))*(1+Calc_ROM_1[Citipower]))*(1+GST))/DiY,8),0,1))</f>
        <v>0</v>
      </c>
      <c r="I23" s="121" cm="1">
        <f t="array" ref="I23">IF(I17=0,"-",
IF(ROUND(I22,8)=ROUND((((
SUMIFS(Calc_NetworkF_1[Jemena],Calc_NetworkF_1[[Cost item]:[Cost item]],$C16,Calc_NetworkF_1[[Customer type]:[Customer type]],$F17)+
SUMIFS(Calc_Fixed_1[Jemena],Calc_Fixed_1[[Customer type]:[Customer type]],Calc_Rates!$F22)+SUMIFS(Calc_Fixed_1[Jemena],Calc_Fixed_1[[Customer type]:[Customer type]],"All"))*(1+Calc_ROM_1[Jemena]))*(1+GST))/DiY,8),0,1))</f>
        <v>0</v>
      </c>
      <c r="J23" s="121" cm="1">
        <f t="array" ref="J23">IF(J17=0,"-",
IF(ROUND(J22,8)=ROUND((((
SUMIFS(Calc_NetworkF_1[Powercor],Calc_NetworkF_1[[Cost item]:[Cost item]],$C16,Calc_NetworkF_1[[Customer type]:[Customer type]],$F17)+
SUMIFS(Calc_Fixed_1[Powercor],Calc_Fixed_1[[Customer type]:[Customer type]],Calc_Rates!$F22)+SUMIFS(Calc_Fixed_1[Powercor],Calc_Fixed_1[[Customer type]:[Customer type]],"All"))*(1+Calc_ROM_1[Powercor]))*(1+GST))/DiY,8),0,1))</f>
        <v>0</v>
      </c>
      <c r="K23" s="121" cm="1">
        <f t="array" ref="K23">IF(K17=0,"-",
IF(ROUND(K22,8)=ROUND((((
SUMIFS(Calc_NetworkF_1[United Energy],Calc_NetworkF_1[[Cost item]:[Cost item]],$C16,Calc_NetworkF_1[[Customer type]:[Customer type]],$F17)+
SUMIFS(Calc_Fixed_1[United Energy],Calc_Fixed_1[[Customer type]:[Customer type]],Calc_Rates!$F22)+SUMIFS(Calc_Fixed_1[United Energy],Calc_Fixed_1[[Customer type]:[Customer type]],"All"))*(1+Calc_ROM_1[United Energy]))*(1+GST))/DiY,8),0,1))</f>
        <v>0</v>
      </c>
    </row>
    <row r="24" spans="2:15" ht="15.75" outlineLevel="1" x14ac:dyDescent="0.25">
      <c r="B24"/>
      <c r="C24" s="59" t="s">
        <v>72</v>
      </c>
    </row>
    <row r="25" spans="2:15" outlineLevel="1" x14ac:dyDescent="0.25">
      <c r="B25"/>
      <c r="C25" s="18" t="s">
        <v>359</v>
      </c>
      <c r="D25" s="18" t="s">
        <v>58</v>
      </c>
      <c r="E25" s="18" t="s">
        <v>65</v>
      </c>
      <c r="F25" s="18" t="s">
        <v>66</v>
      </c>
      <c r="G25" s="44">
        <f>SUMIFS(Calc_NetworkF_1[Ausnet],Calc_NetworkF_1[[Cost item]:[Cost item]],$C24,Calc_NetworkF_1[[Customer type]:[Customer type]],$F25)</f>
        <v>141.1585</v>
      </c>
      <c r="H25" s="44">
        <f>SUMIFS(Calc_NetworkF_1[Citipower],Calc_NetworkF_1[[Cost item]:[Cost item]],$C24,Calc_NetworkF_1[[Customer type]:[Customer type]],$F25)</f>
        <v>90.009</v>
      </c>
      <c r="I25" s="44">
        <f>SUMIFS(Calc_NetworkF_1[Jemena],Calc_NetworkF_1[[Cost item]:[Cost item]],$C24,Calc_NetworkF_1[[Customer type]:[Customer type]],$F25)</f>
        <v>111.59090799999998</v>
      </c>
      <c r="J25" s="44">
        <f>SUMIFS(Calc_NetworkF_1[Powercor],Calc_NetworkF_1[[Cost item]:[Cost item]],$C24,Calc_NetworkF_1[[Customer type]:[Customer type]],$F25)</f>
        <v>139.97749999999999</v>
      </c>
      <c r="K25" s="44">
        <f>SUMIFS(Calc_NetworkF_1[United Energy],Calc_NetworkF_1[[Cost item]:[Cost item]],$C24,Calc_NetworkF_1[[Customer type]:[Customer type]],$F25)</f>
        <v>89.972499999999997</v>
      </c>
    </row>
    <row r="26" spans="2:15" outlineLevel="1" x14ac:dyDescent="0.25">
      <c r="B26"/>
      <c r="C26" s="18" t="s">
        <v>355</v>
      </c>
      <c r="D26" s="18" t="s">
        <v>58</v>
      </c>
      <c r="E26" s="18" t="s">
        <v>65</v>
      </c>
      <c r="F26" s="18" t="s">
        <v>66</v>
      </c>
      <c r="G26" s="52">
        <f>IF(G25=0,"-",SUMIFS(Calc_Fixed_1[Ausnet],Calc_Fixed_1[[Customer type]:[Customer type]],"All")+SUMIFS(Calc_Fixed_1[Ausnet],Calc_Fixed_1[[Customer type]:[Customer type]],$F27))</f>
        <v>300.74908593793066</v>
      </c>
      <c r="H26" s="52">
        <f>IF(H25=0,"-",SUMIFS(Calc_Fixed_1[Citipower],Calc_Fixed_1[[Customer type]:[Customer type]],"All")+SUMIFS(Calc_Fixed_1[Citipower],Calc_Fixed_1[[Customer type]:[Customer type]],$F27))</f>
        <v>288.50763325809464</v>
      </c>
      <c r="I26" s="52">
        <f>IF(I25=0,"-",SUMIFS(Calc_Fixed_1[Jemena],Calc_Fixed_1[[Customer type]:[Customer type]],"All")+SUMIFS(Calc_Fixed_1[Jemena],Calc_Fixed_1[[Customer type]:[Customer type]],$F27))</f>
        <v>278.80837214163233</v>
      </c>
      <c r="J26" s="52">
        <f>IF(J25=0,"-",SUMIFS(Calc_Fixed_1[Powercor],Calc_Fixed_1[[Customer type]:[Customer type]],"All")+SUMIFS(Calc_Fixed_1[Powercor],Calc_Fixed_1[[Customer type]:[Customer type]],$F27))</f>
        <v>284.79158239316024</v>
      </c>
      <c r="K26" s="52">
        <f>IF(K25=0,"-",SUMIFS(Calc_Fixed_1[United Energy],Calc_Fixed_1[[Customer type]:[Customer type]],"All")+SUMIFS(Calc_Fixed_1[United Energy],Calc_Fixed_1[[Customer type]:[Customer type]],$F27))</f>
        <v>265.22953038128531</v>
      </c>
    </row>
    <row r="27" spans="2:15" outlineLevel="1" x14ac:dyDescent="0.25">
      <c r="B27"/>
      <c r="C27" s="18" t="s">
        <v>258</v>
      </c>
      <c r="D27" s="18" t="s">
        <v>58</v>
      </c>
      <c r="E27" s="18" t="s">
        <v>65</v>
      </c>
      <c r="F27" s="18" t="s">
        <v>66</v>
      </c>
      <c r="G27" s="52" cm="1">
        <f t="array" ref="G27">IF(G25=0,"-",(G25+G26)*Calc_ROM_1[Ausnet])</f>
        <v>24.746824812524117</v>
      </c>
      <c r="H27" s="52" cm="1">
        <f t="array" ref="H27">IF(H25=0,"-",(H25+H26)*Calc_ROM_1[Citipower])</f>
        <v>21.1969314624533</v>
      </c>
      <c r="I27" s="52" cm="1">
        <f t="array" ref="I27">IF(I25=0,"-",(I25+I26)*Calc_ROM_1[Jemena])</f>
        <v>21.862359687931409</v>
      </c>
      <c r="J27" s="52" cm="1">
        <f t="array" ref="J27">IF(J25=0,"-",(J25+J26)*Calc_ROM_1[Powercor])</f>
        <v>23.787068614016974</v>
      </c>
      <c r="K27" s="52" cm="1">
        <f t="array" ref="K27">IF(K25=0,"-",(K25+K26)*Calc_ROM_1[United Energy])</f>
        <v>19.891313701351979</v>
      </c>
    </row>
    <row r="28" spans="2:15" outlineLevel="1" x14ac:dyDescent="0.25">
      <c r="B28"/>
      <c r="C28" s="18" t="s">
        <v>360</v>
      </c>
      <c r="D28" s="18" t="s">
        <v>58</v>
      </c>
      <c r="E28" s="18" t="s">
        <v>65</v>
      </c>
      <c r="F28" s="18" t="s">
        <v>66</v>
      </c>
      <c r="G28" s="52">
        <f>IF(G25=0,"-",(G25+G26+G27)*GST)</f>
        <v>46.665441075045479</v>
      </c>
      <c r="H28" s="52">
        <f>IF(H25=0,"-",(H25+H26+H27)*GST)</f>
        <v>39.971356472054794</v>
      </c>
      <c r="I28" s="52">
        <f>IF(I25=0,"-",(I25+I26+I27)*GST)</f>
        <v>41.226163982956372</v>
      </c>
      <c r="J28" s="52">
        <f>IF(J25=0,"-",(J25+J26+J27)*GST)</f>
        <v>44.855615100717728</v>
      </c>
      <c r="K28" s="52">
        <f>IF(K25=0,"-",(K25+K26+K27)*GST)</f>
        <v>37.509334408263733</v>
      </c>
    </row>
    <row r="29" spans="2:15" outlineLevel="1" x14ac:dyDescent="0.25">
      <c r="B29"/>
      <c r="C29" s="18" t="s">
        <v>361</v>
      </c>
      <c r="D29" s="18" t="s">
        <v>58</v>
      </c>
      <c r="E29" s="18" t="s">
        <v>65</v>
      </c>
      <c r="F29" s="18" t="s">
        <v>66</v>
      </c>
      <c r="G29" s="52">
        <f>IF(G25=0,"-",G25+G26+G27+G28)</f>
        <v>513.31985182550022</v>
      </c>
      <c r="H29" s="52">
        <f>IF(H25=0,"-",H25+H26+H27+H28)</f>
        <v>439.6849211926027</v>
      </c>
      <c r="I29" s="52">
        <f>IF(I25=0,"-",I25+I26+I27+I28)</f>
        <v>453.4878038125201</v>
      </c>
      <c r="J29" s="52">
        <f>IF(J25=0,"-",J25+J26+J27+J28)</f>
        <v>493.41176610789495</v>
      </c>
      <c r="K29" s="52">
        <f>IF(K25=0,"-",K25+K26+K27+K28)</f>
        <v>412.60267849090104</v>
      </c>
    </row>
    <row r="30" spans="2:15" outlineLevel="1" x14ac:dyDescent="0.25">
      <c r="B30"/>
      <c r="C30" s="18" t="str">
        <f>C24</f>
        <v>TOU - supply</v>
      </c>
      <c r="D30" s="18" t="s">
        <v>58</v>
      </c>
      <c r="E30" s="18" t="s">
        <v>65</v>
      </c>
      <c r="F30" s="18" t="s">
        <v>66</v>
      </c>
      <c r="G30" s="53">
        <f>IF(G25=0,"-",G29/DiY)</f>
        <v>1.406355758426028</v>
      </c>
      <c r="H30" s="53">
        <f>IF(H25=0,"-",H29/DiY)</f>
        <v>1.2046162224454868</v>
      </c>
      <c r="I30" s="53">
        <f>IF(I25=0,"-",I29/DiY)</f>
        <v>1.2424323392123839</v>
      </c>
      <c r="J30" s="53">
        <f>IF(J25=0,"-",J29/DiY)</f>
        <v>1.3518130578298491</v>
      </c>
      <c r="K30" s="53">
        <f>IF(K25=0,"-",K29/DiY)</f>
        <v>1.1304182972353454</v>
      </c>
    </row>
    <row r="31" spans="2:15" outlineLevel="1" x14ac:dyDescent="0.25">
      <c r="B31"/>
      <c r="G31" s="81" cm="1">
        <f t="array" ref="G31">IF(G25=0,"-",
IF(ROUND(G30,8)=ROUND((((
SUMIFS(Calc_NetworkF_1[Ausnet],Calc_NetworkF_1[[Cost item]:[Cost item]],$C24,Calc_NetworkF_1[[Customer type]:[Customer type]],$F25)+
SUMIFS(Calc_Fixed_1[Ausnet],Calc_Fixed_1[[Customer type]:[Customer type]],Calc_Rates!$F30)+SUMIFS(Calc_Fixed_1[Ausnet],Calc_Fixed_1[[Customer type]:[Customer type]],"All"))*(1+Calc_ROM_1[Ausnet]))*(1+GST))/DiY,8),0,1))</f>
        <v>0</v>
      </c>
      <c r="H31" s="81" cm="1">
        <f t="array" ref="H31">IF(H25=0,"-",
IF(ROUND(H30,8)=ROUND((((
SUMIFS(Calc_NetworkF_1[Citipower],Calc_NetworkF_1[[Cost item]:[Cost item]],$C24,Calc_NetworkF_1[[Customer type]:[Customer type]],$F25)+
SUMIFS(Calc_Fixed_1[Citipower],Calc_Fixed_1[[Customer type]:[Customer type]],Calc_Rates!$F30)+SUMIFS(Calc_Fixed_1[Citipower],Calc_Fixed_1[[Customer type]:[Customer type]],"All"))*(1+Calc_ROM_1[Citipower]))*(1+GST))/DiY,8),0,1))</f>
        <v>0</v>
      </c>
      <c r="I31" s="81" cm="1">
        <f t="array" ref="I31">IF(I25=0,"-",
IF(ROUND(I30,8)=ROUND((((
SUMIFS(Calc_NetworkF_1[Jemena],Calc_NetworkF_1[[Cost item]:[Cost item]],$C24,Calc_NetworkF_1[[Customer type]:[Customer type]],$F25)+
SUMIFS(Calc_Fixed_1[Jemena],Calc_Fixed_1[[Customer type]:[Customer type]],Calc_Rates!$F30)+SUMIFS(Calc_Fixed_1[Jemena],Calc_Fixed_1[[Customer type]:[Customer type]],"All"))*(1+Calc_ROM_1[Jemena]))*(1+GST))/DiY,8),0,1))</f>
        <v>0</v>
      </c>
      <c r="J31" s="81" cm="1">
        <f t="array" ref="J31">IF(J25=0,"-",
IF(ROUND(J30,8)=ROUND((((
SUMIFS(Calc_NetworkF_1[Powercor],Calc_NetworkF_1[[Cost item]:[Cost item]],$C24,Calc_NetworkF_1[[Customer type]:[Customer type]],$F25)+
SUMIFS(Calc_Fixed_1[Powercor],Calc_Fixed_1[[Customer type]:[Customer type]],Calc_Rates!$F30)+SUMIFS(Calc_Fixed_1[Powercor],Calc_Fixed_1[[Customer type]:[Customer type]],"All"))*(1+Calc_ROM_1[Powercor]))*(1+GST))/DiY,8),0,1))</f>
        <v>0</v>
      </c>
      <c r="K31" s="81" cm="1">
        <f t="array" ref="K31">IF(K25=0,"-",
IF(ROUND(K30,8)=ROUND((((
SUMIFS(Calc_NetworkF_1[United Energy],Calc_NetworkF_1[[Cost item]:[Cost item]],$C24,Calc_NetworkF_1[[Customer type]:[Customer type]],$F25)+
SUMIFS(Calc_Fixed_1[United Energy],Calc_Fixed_1[[Customer type]:[Customer type]],Calc_Rates!$F30)+SUMIFS(Calc_Fixed_1[United Energy],Calc_Fixed_1[[Customer type]:[Customer type]],"All"))*(1+Calc_ROM_1[United Energy]))*(1+GST))/DiY,8),0,1))</f>
        <v>0</v>
      </c>
    </row>
    <row r="32" spans="2:15" ht="15.75" x14ac:dyDescent="0.25">
      <c r="B32"/>
      <c r="C32" s="24" t="s">
        <v>362</v>
      </c>
    </row>
    <row r="33" spans="2:11" ht="15.75" outlineLevel="1" x14ac:dyDescent="0.25">
      <c r="B33"/>
      <c r="C33" s="59" t="s">
        <v>64</v>
      </c>
    </row>
    <row r="34" spans="2:11" outlineLevel="1" x14ac:dyDescent="0.25">
      <c r="B34"/>
      <c r="C34" s="18" t="s">
        <v>359</v>
      </c>
      <c r="D34" s="18" t="s">
        <v>58</v>
      </c>
      <c r="E34" s="18" t="s">
        <v>65</v>
      </c>
      <c r="F34" s="18" t="s">
        <v>67</v>
      </c>
      <c r="G34" s="44">
        <f>SUMIFS(Calc_NetworkF_1[Ausnet],Calc_NetworkF_1[[Cost item]:[Cost item]],$C33,Calc_NetworkF_1[[Customer type]:[Customer type]],$F34)</f>
        <v>141.1585</v>
      </c>
      <c r="H34" s="44">
        <f>SUMIFS(Calc_NetworkF_1[Citipower],Calc_NetworkF_1[[Cost item]:[Cost item]],$C33,Calc_NetworkF_1[[Customer type]:[Customer type]],$F34)</f>
        <v>150.01499999999999</v>
      </c>
      <c r="I34" s="44">
        <f>SUMIFS(Calc_NetworkF_1[Jemena],Calc_NetworkF_1[[Cost item]:[Cost item]],$C33,Calc_NetworkF_1[[Customer type]:[Customer type]],$F34)</f>
        <v>170.39664509999997</v>
      </c>
      <c r="J34" s="44">
        <f>SUMIFS(Calc_NetworkF_1[Powercor],Calc_NetworkF_1[[Cost item]:[Cost item]],$C33,Calc_NetworkF_1[[Customer type]:[Customer type]],$F34)</f>
        <v>179.98150000000001</v>
      </c>
      <c r="K34" s="44">
        <f>SUMIFS(Calc_NetworkF_1[United Energy],Calc_NetworkF_1[[Cost item]:[Cost item]],$C33,Calc_NetworkF_1[[Customer type]:[Customer type]],$F34)</f>
        <v>150.01499999999999</v>
      </c>
    </row>
    <row r="35" spans="2:11" outlineLevel="1" x14ac:dyDescent="0.25">
      <c r="B35"/>
      <c r="C35" s="18" t="s">
        <v>355</v>
      </c>
      <c r="D35" s="18" t="s">
        <v>58</v>
      </c>
      <c r="E35" s="18" t="s">
        <v>65</v>
      </c>
      <c r="F35" s="18" t="s">
        <v>67</v>
      </c>
      <c r="G35" s="52">
        <f>IF(G34=0,"-",SUMIFS(Calc_Fixed_1[Ausnet],Calc_Fixed_1[[Customer type]:[Customer type]],"All")+SUMIFS(Calc_Fixed_1[Ausnet],Calc_Fixed_1[[Customer type]:[Customer type]],$F36))</f>
        <v>300.74908593793066</v>
      </c>
      <c r="H35" s="52">
        <f>IF(H34=0,"-",SUMIFS(Calc_Fixed_1[Citipower],Calc_Fixed_1[[Customer type]:[Customer type]],"All")+SUMIFS(Calc_Fixed_1[Citipower],Calc_Fixed_1[[Customer type]:[Customer type]],$F36))</f>
        <v>288.50763325809464</v>
      </c>
      <c r="I35" s="52">
        <f>IF(I34=0,"-",SUMIFS(Calc_Fixed_1[Jemena],Calc_Fixed_1[[Customer type]:[Customer type]],"All")+SUMIFS(Calc_Fixed_1[Jemena],Calc_Fixed_1[[Customer type]:[Customer type]],$F36))</f>
        <v>278.80837214163233</v>
      </c>
      <c r="J35" s="52">
        <f>IF(J34=0,"-",SUMIFS(Calc_Fixed_1[Powercor],Calc_Fixed_1[[Customer type]:[Customer type]],"All")+SUMIFS(Calc_Fixed_1[Powercor],Calc_Fixed_1[[Customer type]:[Customer type]],$F36))</f>
        <v>284.79158239316024</v>
      </c>
      <c r="K35" s="52">
        <f>IF(K34=0,"-",SUMIFS(Calc_Fixed_1[United Energy],Calc_Fixed_1[[Customer type]:[Customer type]],"All")+SUMIFS(Calc_Fixed_1[United Energy],Calc_Fixed_1[[Customer type]:[Customer type]],$F36))</f>
        <v>265.22953038128531</v>
      </c>
    </row>
    <row r="36" spans="2:11" outlineLevel="1" x14ac:dyDescent="0.25">
      <c r="B36"/>
      <c r="C36" s="18" t="s">
        <v>258</v>
      </c>
      <c r="D36" s="18" t="s">
        <v>58</v>
      </c>
      <c r="E36" s="18" t="s">
        <v>65</v>
      </c>
      <c r="F36" s="18" t="s">
        <v>67</v>
      </c>
      <c r="G36" s="52" cm="1">
        <f t="array" ref="G36">IF(G34=0,"-",(G34+G35)*Calc_ROM_1[Ausnet])</f>
        <v>24.746824812524117</v>
      </c>
      <c r="H36" s="52" cm="1">
        <f t="array" ref="H36">IF(H34=0,"-",(H34+H35)*Calc_ROM_1[Citipower])</f>
        <v>24.5572674624533</v>
      </c>
      <c r="I36" s="52" cm="1">
        <f t="array" ref="I36">IF(I34=0,"-",(I34+I35)*Calc_ROM_1[Jemena])</f>
        <v>25.155480965531407</v>
      </c>
      <c r="J36" s="52" cm="1">
        <f t="array" ref="J36">IF(J34=0,"-",(J34+J35)*Calc_ROM_1[Powercor])</f>
        <v>26.027292614016975</v>
      </c>
      <c r="K36" s="52" cm="1">
        <f t="array" ref="K36">IF(K34=0,"-",(K34+K35)*Calc_ROM_1[United Energy])</f>
        <v>23.253693701351978</v>
      </c>
    </row>
    <row r="37" spans="2:11" outlineLevel="1" x14ac:dyDescent="0.25">
      <c r="B37"/>
      <c r="C37" s="18" t="s">
        <v>360</v>
      </c>
      <c r="D37" s="18" t="s">
        <v>58</v>
      </c>
      <c r="E37" s="18" t="s">
        <v>65</v>
      </c>
      <c r="F37" s="18" t="s">
        <v>67</v>
      </c>
      <c r="G37" s="52">
        <f>IF(G34=0,"-",(G34+G35+G36)*GST)</f>
        <v>46.665441075045479</v>
      </c>
      <c r="H37" s="52">
        <f>IF(H34=0,"-",(H34+H35+H36)*GST)</f>
        <v>46.307990072054793</v>
      </c>
      <c r="I37" s="52">
        <f>IF(I34=0,"-",(I34+I35+I36)*GST)</f>
        <v>47.43604982071637</v>
      </c>
      <c r="J37" s="52">
        <f>IF(J34=0,"-",(J34+J35+J36)*GST)</f>
        <v>49.080037500717729</v>
      </c>
      <c r="K37" s="52">
        <f>IF(K34=0,"-",(K34+K35+K36)*GST)</f>
        <v>43.849822408263734</v>
      </c>
    </row>
    <row r="38" spans="2:11" outlineLevel="1" x14ac:dyDescent="0.25">
      <c r="B38"/>
      <c r="C38" s="18" t="s">
        <v>361</v>
      </c>
      <c r="D38" s="18" t="s">
        <v>58</v>
      </c>
      <c r="E38" s="18" t="s">
        <v>65</v>
      </c>
      <c r="F38" s="18" t="s">
        <v>67</v>
      </c>
      <c r="G38" s="52">
        <f>IF(G34=0,"-",G34+G35+G36+G37)</f>
        <v>513.31985182550022</v>
      </c>
      <c r="H38" s="52">
        <f>IF(H34=0,"-",H34+H35+H36+H37)</f>
        <v>509.38789079260272</v>
      </c>
      <c r="I38" s="52">
        <f>IF(I34=0,"-",I34+I35+I36+I37)</f>
        <v>521.79654802788002</v>
      </c>
      <c r="J38" s="52">
        <f>IF(J34=0,"-",J34+J35+J36+J37)</f>
        <v>539.88041250789502</v>
      </c>
      <c r="K38" s="52">
        <f>IF(K34=0,"-",K34+K35+K36+K37)</f>
        <v>482.34804649090103</v>
      </c>
    </row>
    <row r="39" spans="2:11" outlineLevel="1" x14ac:dyDescent="0.25">
      <c r="B39"/>
      <c r="C39" s="18" t="str">
        <f>C33</f>
        <v>Anytime - supply</v>
      </c>
      <c r="D39" s="18" t="s">
        <v>58</v>
      </c>
      <c r="E39" s="18" t="s">
        <v>65</v>
      </c>
      <c r="F39" s="18" t="s">
        <v>67</v>
      </c>
      <c r="G39" s="53">
        <f>IF(G34=0,"-",G38/DiY)</f>
        <v>1.406355758426028</v>
      </c>
      <c r="H39" s="53">
        <f>IF(H34=0,"-",H38/DiY)</f>
        <v>1.3955832624454869</v>
      </c>
      <c r="I39" s="53">
        <f>IF(I34=0,"-",I38/DiY)</f>
        <v>1.4295795836380274</v>
      </c>
      <c r="J39" s="53">
        <f>IF(J34=0,"-",J38/DiY)</f>
        <v>1.4791244178298493</v>
      </c>
      <c r="K39" s="53">
        <f>IF(K34=0,"-",K38/DiY)</f>
        <v>1.3215014972353454</v>
      </c>
    </row>
    <row r="40" spans="2:11" outlineLevel="1" x14ac:dyDescent="0.25">
      <c r="B40"/>
      <c r="G40" s="81" cm="1">
        <f t="array" ref="G40">IF(G34=0,"-",
IF(ROUND(G39,8)=ROUND((((
SUMIFS(Calc_NetworkF_1[Ausnet],Calc_NetworkF_1[[Cost item]:[Cost item]],$C33,Calc_NetworkF_1[[Customer type]:[Customer type]],$F34)+
SUMIFS(Calc_Fixed_1[Ausnet],Calc_Fixed_1[[Customer type]:[Customer type]],Calc_Rates!$F39)+SUMIFS(Calc_Fixed_1[Ausnet],Calc_Fixed_1[[Customer type]:[Customer type]],"All"))*(1+Calc_ROM_1[Ausnet]))*(1+GST))/DiY,8),0,1))</f>
        <v>0</v>
      </c>
      <c r="H40" s="81" cm="1">
        <f t="array" ref="H40">IF(H34=0,"-",
IF(ROUND(H39,8)=ROUND((((
SUMIFS(Calc_NetworkF_1[Citipower],Calc_NetworkF_1[[Cost item]:[Cost item]],$C33,Calc_NetworkF_1[[Customer type]:[Customer type]],$F34)+
SUMIFS(Calc_Fixed_1[Citipower],Calc_Fixed_1[[Customer type]:[Customer type]],Calc_Rates!$F39)+SUMIFS(Calc_Fixed_1[Citipower],Calc_Fixed_1[[Customer type]:[Customer type]],"All"))*(1+Calc_ROM_1[Citipower]))*(1+GST))/DiY,8),0,1))</f>
        <v>0</v>
      </c>
      <c r="I40" s="81" cm="1">
        <f t="array" ref="I40">IF(I34=0,"-",
IF(ROUND(I39,8)=ROUND((((
SUMIFS(Calc_NetworkF_1[Jemena],Calc_NetworkF_1[[Cost item]:[Cost item]],$C33,Calc_NetworkF_1[[Customer type]:[Customer type]],$F34)+
SUMIFS(Calc_Fixed_1[Jemena],Calc_Fixed_1[[Customer type]:[Customer type]],Calc_Rates!$F39)+SUMIFS(Calc_Fixed_1[Jemena],Calc_Fixed_1[[Customer type]:[Customer type]],"All"))*(1+Calc_ROM_1[Jemena]))*(1+GST))/DiY,8),0,1))</f>
        <v>0</v>
      </c>
      <c r="J40" s="81" cm="1">
        <f t="array" ref="J40">IF(J34=0,"-",
IF(ROUND(J39,8)=ROUND((((
SUMIFS(Calc_NetworkF_1[Powercor],Calc_NetworkF_1[[Cost item]:[Cost item]],$C33,Calc_NetworkF_1[[Customer type]:[Customer type]],$F34)+
SUMIFS(Calc_Fixed_1[Powercor],Calc_Fixed_1[[Customer type]:[Customer type]],Calc_Rates!$F39)+SUMIFS(Calc_Fixed_1[Powercor],Calc_Fixed_1[[Customer type]:[Customer type]],"All"))*(1+Calc_ROM_1[Powercor]))*(1+GST))/DiY,8),0,1))</f>
        <v>0</v>
      </c>
      <c r="K40" s="81" cm="1">
        <f t="array" ref="K40">IF(K34=0,"-",
IF(ROUND(K39,8)=ROUND((((
SUMIFS(Calc_NetworkF_1[United Energy],Calc_NetworkF_1[[Cost item]:[Cost item]],$C33,Calc_NetworkF_1[[Customer type]:[Customer type]],$F34)+
SUMIFS(Calc_Fixed_1[United Energy],Calc_Fixed_1[[Customer type]:[Customer type]],Calc_Rates!$F39)+SUMIFS(Calc_Fixed_1[United Energy],Calc_Fixed_1[[Customer type]:[Customer type]],"All"))*(1+Calc_ROM_1[United Energy]))*(1+GST))/DiY,8),0,1))</f>
        <v>0</v>
      </c>
    </row>
    <row r="41" spans="2:11" ht="15.75" outlineLevel="1" x14ac:dyDescent="0.25">
      <c r="B41"/>
      <c r="C41" s="59" t="s">
        <v>72</v>
      </c>
    </row>
    <row r="42" spans="2:11" outlineLevel="1" x14ac:dyDescent="0.25">
      <c r="B42"/>
      <c r="C42" s="18" t="s">
        <v>359</v>
      </c>
      <c r="D42" s="18" t="s">
        <v>58</v>
      </c>
      <c r="E42" s="18" t="s">
        <v>65</v>
      </c>
      <c r="F42" s="18" t="s">
        <v>67</v>
      </c>
      <c r="G42" s="44">
        <f>SUMIFS(Calc_NetworkF_1[Ausnet],Calc_NetworkF_1[[Cost item]:[Cost item]],$C41,Calc_NetworkF_1[[Customer type]:[Customer type]],$F42)</f>
        <v>141.1585</v>
      </c>
      <c r="H42" s="44">
        <f>SUMIFS(Calc_NetworkF_1[Citipower],Calc_NetworkF_1[[Cost item]:[Cost item]],$C41,Calc_NetworkF_1[[Customer type]:[Customer type]],$F42)</f>
        <v>150.01499999999999</v>
      </c>
      <c r="I42" s="44">
        <f>SUMIFS(Calc_NetworkF_1[Jemena],Calc_NetworkF_1[[Cost item]:[Cost item]],$C41,Calc_NetworkF_1[[Customer type]:[Customer type]],$F42)</f>
        <v>303.69970000000001</v>
      </c>
      <c r="J42" s="44">
        <f>SUMIFS(Calc_NetworkF_1[Powercor],Calc_NetworkF_1[[Cost item]:[Cost item]],$C41,Calc_NetworkF_1[[Customer type]:[Customer type]],$F42)</f>
        <v>179.98150000000001</v>
      </c>
      <c r="K42" s="44">
        <f>SUMIFS(Calc_NetworkF_1[United Energy],Calc_NetworkF_1[[Cost item]:[Cost item]],$C41,Calc_NetworkF_1[[Customer type]:[Customer type]],$F42)</f>
        <v>150.01499999999999</v>
      </c>
    </row>
    <row r="43" spans="2:11" outlineLevel="1" x14ac:dyDescent="0.25">
      <c r="B43"/>
      <c r="C43" s="18" t="s">
        <v>355</v>
      </c>
      <c r="D43" s="18" t="s">
        <v>58</v>
      </c>
      <c r="E43" s="18" t="s">
        <v>65</v>
      </c>
      <c r="F43" s="18" t="s">
        <v>67</v>
      </c>
      <c r="G43" s="52">
        <f>IF(G42=0,"-",SUMIFS(Calc_Fixed_1[Ausnet],Calc_Fixed_1[[Customer type]:[Customer type]],"All")+SUMIFS(Calc_Fixed_1[Ausnet],Calc_Fixed_1[[Customer type]:[Customer type]],$F44))</f>
        <v>300.74908593793066</v>
      </c>
      <c r="H43" s="52">
        <f>IF(H42=0,"-",SUMIFS(Calc_Fixed_1[Citipower],Calc_Fixed_1[[Customer type]:[Customer type]],"All")+SUMIFS(Calc_Fixed_1[Citipower],Calc_Fixed_1[[Customer type]:[Customer type]],$F44))</f>
        <v>288.50763325809464</v>
      </c>
      <c r="I43" s="52">
        <f>IF(I42=0,"-",SUMIFS(Calc_Fixed_1[Jemena],Calc_Fixed_1[[Customer type]:[Customer type]],"All")+SUMIFS(Calc_Fixed_1[Jemena],Calc_Fixed_1[[Customer type]:[Customer type]],$F44))</f>
        <v>278.80837214163233</v>
      </c>
      <c r="J43" s="52">
        <f>IF(J42=0,"-",SUMIFS(Calc_Fixed_1[Powercor],Calc_Fixed_1[[Customer type]:[Customer type]],"All")+SUMIFS(Calc_Fixed_1[Powercor],Calc_Fixed_1[[Customer type]:[Customer type]],$F44))</f>
        <v>284.79158239316024</v>
      </c>
      <c r="K43" s="52">
        <f>IF(K42=0,"-",SUMIFS(Calc_Fixed_1[United Energy],Calc_Fixed_1[[Customer type]:[Customer type]],"All")+SUMIFS(Calc_Fixed_1[United Energy],Calc_Fixed_1[[Customer type]:[Customer type]],$F44))</f>
        <v>265.22953038128531</v>
      </c>
    </row>
    <row r="44" spans="2:11" outlineLevel="1" x14ac:dyDescent="0.25">
      <c r="B44"/>
      <c r="C44" s="18" t="s">
        <v>258</v>
      </c>
      <c r="D44" s="18" t="s">
        <v>58</v>
      </c>
      <c r="E44" s="18" t="s">
        <v>65</v>
      </c>
      <c r="F44" s="18" t="s">
        <v>67</v>
      </c>
      <c r="G44" s="52" cm="1">
        <f t="array" ref="G44">IF(G42=0,"-",(G42+G43)*Calc_ROM_1[Ausnet])</f>
        <v>24.746824812524117</v>
      </c>
      <c r="H44" s="52" cm="1">
        <f t="array" ref="H44">IF(H42=0,"-",(H42+H43)*Calc_ROM_1[Citipower])</f>
        <v>24.5572674624533</v>
      </c>
      <c r="I44" s="52" cm="1">
        <f t="array" ref="I44">IF(I42=0,"-",(I42+I43)*Calc_ROM_1[Jemena])</f>
        <v>32.620452039931408</v>
      </c>
      <c r="J44" s="52" cm="1">
        <f t="array" ref="J44">IF(J42=0,"-",(J42+J43)*Calc_ROM_1[Powercor])</f>
        <v>26.027292614016975</v>
      </c>
      <c r="K44" s="52" cm="1">
        <f t="array" ref="K44">IF(K42=0,"-",(K42+K43)*Calc_ROM_1[United Energy])</f>
        <v>23.253693701351978</v>
      </c>
    </row>
    <row r="45" spans="2:11" outlineLevel="1" x14ac:dyDescent="0.25">
      <c r="B45"/>
      <c r="C45" s="18" t="s">
        <v>360</v>
      </c>
      <c r="D45" s="18" t="s">
        <v>58</v>
      </c>
      <c r="E45" s="18" t="s">
        <v>65</v>
      </c>
      <c r="F45" s="18" t="s">
        <v>67</v>
      </c>
      <c r="G45" s="52">
        <f>IF(G42=0,"-",(G42+G43+G44)*GST)</f>
        <v>46.665441075045479</v>
      </c>
      <c r="H45" s="52">
        <f>IF(H42=0,"-",(H42+H43+H44)*GST)</f>
        <v>46.307990072054793</v>
      </c>
      <c r="I45" s="52">
        <f>IF(I42=0,"-",(I42+I43+I44)*GST)</f>
        <v>61.512852418156371</v>
      </c>
      <c r="J45" s="52">
        <f>IF(J42=0,"-",(J42+J43+J44)*GST)</f>
        <v>49.080037500717729</v>
      </c>
      <c r="K45" s="52">
        <f>IF(K42=0,"-",(K42+K43+K44)*GST)</f>
        <v>43.849822408263734</v>
      </c>
    </row>
    <row r="46" spans="2:11" outlineLevel="1" x14ac:dyDescent="0.25">
      <c r="B46"/>
      <c r="C46" s="18" t="s">
        <v>361</v>
      </c>
      <c r="D46" s="18" t="s">
        <v>58</v>
      </c>
      <c r="E46" s="18" t="s">
        <v>65</v>
      </c>
      <c r="F46" s="18" t="s">
        <v>67</v>
      </c>
      <c r="G46" s="52">
        <f>IF(G42=0,"-",G42+G43+G44+G45)</f>
        <v>513.31985182550022</v>
      </c>
      <c r="H46" s="52">
        <f>IF(H42=0,"-",H42+H43+H44+H45)</f>
        <v>509.38789079260272</v>
      </c>
      <c r="I46" s="52">
        <f>IF(I42=0,"-",I42+I43+I44+I45)</f>
        <v>676.64137659972005</v>
      </c>
      <c r="J46" s="52">
        <f>IF(J42=0,"-",J42+J43+J44+J45)</f>
        <v>539.88041250789502</v>
      </c>
      <c r="K46" s="52">
        <f>IF(K42=0,"-",K42+K43+K44+K45)</f>
        <v>482.34804649090103</v>
      </c>
    </row>
    <row r="47" spans="2:11" outlineLevel="1" x14ac:dyDescent="0.25">
      <c r="B47"/>
      <c r="C47" s="18" t="str">
        <f>C41</f>
        <v>TOU - supply</v>
      </c>
      <c r="D47" s="18" t="s">
        <v>58</v>
      </c>
      <c r="E47" s="18" t="s">
        <v>65</v>
      </c>
      <c r="F47" s="18" t="s">
        <v>67</v>
      </c>
      <c r="G47" s="53">
        <f>IF(G42=0,"-",G46/DiY)</f>
        <v>1.406355758426028</v>
      </c>
      <c r="H47" s="53">
        <f>IF(H42=0,"-",H46/DiY)</f>
        <v>1.3955832624454869</v>
      </c>
      <c r="I47" s="53">
        <f>IF(I42=0,"-",I46/DiY)</f>
        <v>1.8538119906841646</v>
      </c>
      <c r="J47" s="53">
        <f>IF(J42=0,"-",J46/DiY)</f>
        <v>1.4791244178298493</v>
      </c>
      <c r="K47" s="53">
        <f>IF(K42=0,"-",K46/DiY)</f>
        <v>1.3215014972353454</v>
      </c>
    </row>
    <row r="48" spans="2:11" outlineLevel="1" x14ac:dyDescent="0.25">
      <c r="B48"/>
      <c r="G48" s="81" cm="1">
        <f t="array" ref="G48">IF(G42=0,"-",
IF(ROUND(G47,8)=ROUND((((
SUMIFS(Calc_NetworkF_1[Ausnet],Calc_NetworkF_1[[Cost item]:[Cost item]],$C41,Calc_NetworkF_1[[Customer type]:[Customer type]],$F42)+
SUMIFS(Calc_Fixed_1[Ausnet],Calc_Fixed_1[[Customer type]:[Customer type]],Calc_Rates!$F47)+SUMIFS(Calc_Fixed_1[Ausnet],Calc_Fixed_1[[Customer type]:[Customer type]],"All"))*(1+Calc_ROM_1[Ausnet]))*(1+GST))/DiY,8),0,1))</f>
        <v>0</v>
      </c>
      <c r="H48" s="81" cm="1">
        <f t="array" ref="H48">IF(H42=0,"-",
IF(ROUND(H47,8)=ROUND((((
SUMIFS(Calc_NetworkF_1[Citipower],Calc_NetworkF_1[[Cost item]:[Cost item]],$C41,Calc_NetworkF_1[[Customer type]:[Customer type]],$F42)+
SUMIFS(Calc_Fixed_1[Citipower],Calc_Fixed_1[[Customer type]:[Customer type]],Calc_Rates!$F47)+SUMIFS(Calc_Fixed_1[Citipower],Calc_Fixed_1[[Customer type]:[Customer type]],"All"))*(1+Calc_ROM_1[Citipower]))*(1+GST))/DiY,8),0,1))</f>
        <v>0</v>
      </c>
      <c r="I48" s="81" cm="1">
        <f t="array" ref="I48">IF(I42=0,"-",
IF(ROUND(I47,8)=ROUND((((
SUMIFS(Calc_NetworkF_1[Jemena],Calc_NetworkF_1[[Cost item]:[Cost item]],$C41,Calc_NetworkF_1[[Customer type]:[Customer type]],$F42)+
SUMIFS(Calc_Fixed_1[Jemena],Calc_Fixed_1[[Customer type]:[Customer type]],Calc_Rates!$F47)+SUMIFS(Calc_Fixed_1[Jemena],Calc_Fixed_1[[Customer type]:[Customer type]],"All"))*(1+Calc_ROM_1[Jemena]))*(1+GST))/DiY,8),0,1))</f>
        <v>0</v>
      </c>
      <c r="J48" s="81" cm="1">
        <f t="array" ref="J48">IF(J42=0,"-",
IF(ROUND(J47,8)=ROUND((((
SUMIFS(Calc_NetworkF_1[Powercor],Calc_NetworkF_1[[Cost item]:[Cost item]],$C41,Calc_NetworkF_1[[Customer type]:[Customer type]],$F42)+
SUMIFS(Calc_Fixed_1[Powercor],Calc_Fixed_1[[Customer type]:[Customer type]],Calc_Rates!$F47)+SUMIFS(Calc_Fixed_1[Powercor],Calc_Fixed_1[[Customer type]:[Customer type]],"All"))*(1+Calc_ROM_1[Powercor]))*(1+GST))/DiY,8),0,1))</f>
        <v>0</v>
      </c>
      <c r="K48" s="81" cm="1">
        <f t="array" ref="K48">IF(K42=0,"-",
IF(ROUND(K47,8)=ROUND((((
SUMIFS(Calc_NetworkF_1[United Energy],Calc_NetworkF_1[[Cost item]:[Cost item]],$C41,Calc_NetworkF_1[[Customer type]:[Customer type]],$F42)+
SUMIFS(Calc_Fixed_1[United Energy],Calc_Fixed_1[[Customer type]:[Customer type]],Calc_Rates!$F47)+SUMIFS(Calc_Fixed_1[United Energy],Calc_Fixed_1[[Customer type]:[Customer type]],"All"))*(1+Calc_ROM_1[United Energy]))*(1+GST))/DiY,8),0,1))</f>
        <v>0</v>
      </c>
    </row>
    <row r="49" spans="2:14" x14ac:dyDescent="0.25">
      <c r="B49"/>
    </row>
    <row r="50" spans="2:14" ht="15.75" x14ac:dyDescent="0.25">
      <c r="B50"/>
      <c r="C50" s="32" t="s">
        <v>363</v>
      </c>
      <c r="D50" s="32" t="s">
        <v>108</v>
      </c>
      <c r="E50" s="32" t="s">
        <v>56</v>
      </c>
      <c r="F50" s="32" t="s">
        <v>57</v>
      </c>
      <c r="G50" s="43" t="s">
        <v>59</v>
      </c>
      <c r="H50" s="43" t="s">
        <v>60</v>
      </c>
      <c r="I50" s="43" t="s">
        <v>61</v>
      </c>
      <c r="J50" s="43" t="s">
        <v>62</v>
      </c>
      <c r="K50" s="43" t="s">
        <v>63</v>
      </c>
      <c r="M50" s="56"/>
    </row>
    <row r="51" spans="2:14" x14ac:dyDescent="0.25">
      <c r="B51"/>
      <c r="C51" s="18" t="s">
        <v>364</v>
      </c>
      <c r="D51" s="18" t="s">
        <v>178</v>
      </c>
      <c r="E51" s="18" t="s">
        <v>69</v>
      </c>
      <c r="F51" s="18" t="s">
        <v>133</v>
      </c>
      <c r="G51" s="58">
        <f>SUMIFS(Calc_EnviroVEU_1[Ausnet],Calc_EnviroVEU_1[[Fixed/Variable]:[Fixed/Variable]],$D51,Calc_EnviroVEU_1[[Customer type]:[Customer type]],$F51,Calc_EnviroVEU_1[[Cost item]:[Cost item]],"VEU cost")+
SUMIFS(Calc_EnviroLRET_1[Ausnet],Calc_EnviroLRET_1[[Fixed/Variable]:[Fixed/Variable]],$D51,Calc_EnviroLRET_1[[Customer type]:[Customer type]],$F51,Calc_EnviroLRET_1[[Cost item]:[Cost item]],"LRET cost")+
SUMIFS(Calc_EnviroSRES_1[Ausnet],Calc_EnviroSRES_1[[Fixed/Variable]:[Fixed/Variable]],$D51,Calc_EnviroSRES_1[[Customer type]:[Customer type]],$F51,Calc_EnviroSRES_1[[Cost item]:[Cost item]],"SRES cost")</f>
        <v>2.7482716000000001E-2</v>
      </c>
      <c r="H51" s="58">
        <f>SUMIFS(Calc_EnviroVEU_1[Citipower],Calc_EnviroVEU_1[[Fixed/Variable]:[Fixed/Variable]],$D51,Calc_EnviroVEU_1[[Customer type]:[Customer type]],$F51,Calc_EnviroVEU_1[[Cost item]:[Cost item]],"VEU cost")+
SUMIFS(Calc_EnviroLRET_1[Citipower],Calc_EnviroLRET_1[[Fixed/Variable]:[Fixed/Variable]],$D51,Calc_EnviroLRET_1[[Customer type]:[Customer type]],$F51,Calc_EnviroLRET_1[[Cost item]:[Cost item]],"LRET cost")+
SUMIFS(Calc_EnviroSRES_1[Citipower],Calc_EnviroSRES_1[[Fixed/Variable]:[Fixed/Variable]],$D51,Calc_EnviroSRES_1[[Customer type]:[Customer type]],$F51,Calc_EnviroSRES_1[[Cost item]:[Cost item]],"SRES cost")</f>
        <v>2.7482716000000001E-2</v>
      </c>
      <c r="I51" s="58">
        <f>SUMIFS(Calc_EnviroVEU_1[Jemena],Calc_EnviroVEU_1[[Fixed/Variable]:[Fixed/Variable]],$D51,Calc_EnviroVEU_1[[Customer type]:[Customer type]],$F51,Calc_EnviroVEU_1[[Cost item]:[Cost item]],"VEU cost")+
SUMIFS(Calc_EnviroLRET_1[Jemena],Calc_EnviroLRET_1[[Fixed/Variable]:[Fixed/Variable]],$D51,Calc_EnviroLRET_1[[Customer type]:[Customer type]],$F51,Calc_EnviroLRET_1[[Cost item]:[Cost item]],"LRET cost")+
SUMIFS(Calc_EnviroSRES_1[Jemena],Calc_EnviroSRES_1[[Fixed/Variable]:[Fixed/Variable]],$D51,Calc_EnviroSRES_1[[Customer type]:[Customer type]],$F51,Calc_EnviroSRES_1[[Cost item]:[Cost item]],"SRES cost")</f>
        <v>2.7482716000000001E-2</v>
      </c>
      <c r="J51" s="58">
        <f>SUMIFS(Calc_EnviroVEU_1[Powercor],Calc_EnviroVEU_1[[Fixed/Variable]:[Fixed/Variable]],$D51,Calc_EnviroVEU_1[[Customer type]:[Customer type]],$F51,Calc_EnviroVEU_1[[Cost item]:[Cost item]],"VEU cost")+
SUMIFS(Calc_EnviroLRET_1[Powercor],Calc_EnviroLRET_1[[Fixed/Variable]:[Fixed/Variable]],$D51,Calc_EnviroLRET_1[[Customer type]:[Customer type]],$F51,Calc_EnviroLRET_1[[Cost item]:[Cost item]],"LRET cost")+
SUMIFS(Calc_EnviroSRES_1[Powercor],Calc_EnviroSRES_1[[Fixed/Variable]:[Fixed/Variable]],$D51,Calc_EnviroSRES_1[[Customer type]:[Customer type]],$F51,Calc_EnviroSRES_1[[Cost item]:[Cost item]],"SRES cost")</f>
        <v>2.7482716000000001E-2</v>
      </c>
      <c r="K51" s="58">
        <f>SUMIFS(Calc_EnviroVEU_1[United Energy],Calc_EnviroVEU_1[[Fixed/Variable]:[Fixed/Variable]],$D51,Calc_EnviroVEU_1[[Customer type]:[Customer type]],$F51,Calc_EnviroVEU_1[[Cost item]:[Cost item]],"VEU cost")+
SUMIFS(Calc_EnviroLRET_1[United Energy],Calc_EnviroLRET_1[[Fixed/Variable]:[Fixed/Variable]],$D51,Calc_EnviroLRET_1[[Customer type]:[Customer type]],$F51,Calc_EnviroLRET_1[[Cost item]:[Cost item]],"LRET cost")+
SUMIFS(Calc_EnviroSRES_1[United Energy],Calc_EnviroSRES_1[[Fixed/Variable]:[Fixed/Variable]],$D51,Calc_EnviroSRES_1[[Customer type]:[Customer type]],$F51,Calc_EnviroSRES_1[[Cost item]:[Cost item]],"SRES cost")</f>
        <v>2.7482716000000001E-2</v>
      </c>
    </row>
    <row r="52" spans="2:14" x14ac:dyDescent="0.25">
      <c r="B52"/>
      <c r="C52" s="18" t="s">
        <v>141</v>
      </c>
      <c r="D52" s="18" t="s">
        <v>178</v>
      </c>
      <c r="E52" s="18" t="s">
        <v>69</v>
      </c>
      <c r="F52" s="18" t="s">
        <v>133</v>
      </c>
      <c r="G52" s="58">
        <f>SUMIFS(Calc_OtherCosts_1[Ausnet],Calc_OtherCosts_1[Fixed/Variable],$D52,Calc_OtherCosts_1[Customer type],$F52)</f>
        <v>7.8047200000000005E-4</v>
      </c>
      <c r="H52" s="58">
        <f>SUMIFS(Calc_OtherCosts_1[Citipower],Calc_OtherCosts_1[[Fixed/Variable]:[Fixed/Variable]],$D52,Calc_OtherCosts_1[[Customer type]:[Customer type]],$F52)</f>
        <v>7.8047200000000005E-4</v>
      </c>
      <c r="I52" s="58">
        <f>SUMIFS(Calc_OtherCosts_1[Jemena],Calc_OtherCosts_1[[Fixed/Variable]:[Fixed/Variable]],$D52,Calc_OtherCosts_1[[Customer type]:[Customer type]],$F52)</f>
        <v>7.8047200000000005E-4</v>
      </c>
      <c r="J52" s="58">
        <f>SUMIFS(Calc_OtherCosts_1[Powercor],Calc_OtherCosts_1[[Fixed/Variable]:[Fixed/Variable]],$D52,Calc_OtherCosts_1[[Customer type]:[Customer type]],$F52)</f>
        <v>7.8047200000000005E-4</v>
      </c>
      <c r="K52" s="58">
        <f>SUMIFS(Calc_OtherCosts_1[United Energy],Calc_OtherCosts_1[[Fixed/Variable]:[Fixed/Variable]],$D52,Calc_OtherCosts_1[[Customer type]:[Customer type]],$F52)</f>
        <v>7.8047200000000005E-4</v>
      </c>
      <c r="N52" s="57"/>
    </row>
    <row r="53" spans="2:14" x14ac:dyDescent="0.25">
      <c r="B53"/>
      <c r="C53" s="18" t="s">
        <v>365</v>
      </c>
      <c r="D53" s="18" t="s">
        <v>178</v>
      </c>
      <c r="E53" s="18" t="s">
        <v>69</v>
      </c>
      <c r="F53" s="18" t="s">
        <v>66</v>
      </c>
      <c r="G53" s="55">
        <f>SUMIFS(Calc_WholesaleRES_1[Ausnet],Calc_WholesaleRES_1[[Fixed/Variable]:[Fixed/Variable]],$D53,Calc_WholesaleRES_1[[Customer type]:[Customer type]],$F53,Calc_WholesaleRES_1[[Cost item]:[Cost item]],$C53)</f>
        <v>0.12142</v>
      </c>
      <c r="H53" s="55">
        <f>SUMIFS(Calc_WholesaleRES_1[Citipower],Calc_WholesaleRES_1[[Fixed/Variable]:[Fixed/Variable]],$D53,Calc_WholesaleRES_1[[Customer type]:[Customer type]],$F53,Calc_WholesaleRES_1[[Cost item]:[Cost item]],$C53)</f>
        <v>0.10559</v>
      </c>
      <c r="I53" s="55">
        <f>SUMIFS(Calc_WholesaleRES_1[Jemena],Calc_WholesaleRES_1[[Fixed/Variable]:[Fixed/Variable]],$D53,Calc_WholesaleRES_1[[Customer type]:[Customer type]],$F53,Calc_WholesaleRES_1[[Cost item]:[Cost item]],$C53)</f>
        <v>0.1192</v>
      </c>
      <c r="J53" s="55">
        <f>SUMIFS(Calc_WholesaleRES_1[Powercor],Calc_WholesaleRES_1[[Fixed/Variable]:[Fixed/Variable]],$D53,Calc_WholesaleRES_1[[Customer type]:[Customer type]],$F53,Calc_WholesaleRES_1[[Cost item]:[Cost item]],$C53)</f>
        <v>0.12068</v>
      </c>
      <c r="K53" s="55">
        <f>SUMIFS(Calc_WholesaleRES_1[United Energy],Calc_WholesaleRES_1[[Fixed/Variable]:[Fixed/Variable]],$D53,Calc_WholesaleRES_1[[Customer type]:[Customer type]],$F53,Calc_WholesaleRES_1[[Cost item]:[Cost item]],$C53)</f>
        <v>0.1168</v>
      </c>
    </row>
    <row r="54" spans="2:14" x14ac:dyDescent="0.25">
      <c r="B54"/>
      <c r="C54" s="18" t="s">
        <v>365</v>
      </c>
      <c r="D54" s="18" t="s">
        <v>178</v>
      </c>
      <c r="E54" s="18" t="s">
        <v>69</v>
      </c>
      <c r="F54" s="18" t="s">
        <v>67</v>
      </c>
      <c r="G54" s="55">
        <f>SUMIFS(Calc_WholesaleSME_1[Ausnet],Calc_WholesaleSME_1[[Fixed/Variable]:[Fixed/Variable]],$D54,Calc_WholesaleSME_1[[Customer type]:[Customer type]],$F54,Calc_WholesaleSME_1[[Cost item]:[Cost item]],$C54)</f>
        <v>9.8250000000000004E-2</v>
      </c>
      <c r="H54" s="55">
        <f>SUMIFS(Calc_WholesaleSME_1[Citipower],Calc_WholesaleSME_1[[Fixed/Variable]:[Fixed/Variable]],$D54,Calc_WholesaleSME_1[[Customer type]:[Customer type]],$F54,Calc_WholesaleSME_1[[Cost item]:[Cost item]],$C54)</f>
        <v>9.5000000000000015E-2</v>
      </c>
      <c r="I54" s="55">
        <f>SUMIFS(Calc_WholesaleSME_1[Jemena],Calc_WholesaleSME_1[[Fixed/Variable]:[Fixed/Variable]],$D54,Calc_WholesaleSME_1[[Customer type]:[Customer type]],$F54,Calc_WholesaleSME_1[[Cost item]:[Cost item]],$C54)</f>
        <v>0.10066</v>
      </c>
      <c r="J54" s="55">
        <f>SUMIFS(Calc_WholesaleSME_1[Powercor],Calc_WholesaleSME_1[[Fixed/Variable]:[Fixed/Variable]],$D54,Calc_WholesaleSME_1[[Customer type]:[Customer type]],$F54,Calc_WholesaleSME_1[[Cost item]:[Cost item]],$C54)</f>
        <v>9.6430000000000002E-2</v>
      </c>
      <c r="K54" s="55">
        <f>SUMIFS(Calc_WholesaleSME_1[United Energy],Calc_WholesaleSME_1[[Fixed/Variable]:[Fixed/Variable]],$D54,Calc_WholesaleSME_1[[Customer type]:[Customer type]],$F54,Calc_WholesaleSME_1[[Cost item]:[Cost item]],$C54)</f>
        <v>9.9909999999999999E-2</v>
      </c>
    </row>
    <row r="55" spans="2:14" x14ac:dyDescent="0.25">
      <c r="B55"/>
      <c r="C55" s="18" t="s">
        <v>366</v>
      </c>
      <c r="D55" s="18" t="s">
        <v>178</v>
      </c>
      <c r="E55" s="18" t="s">
        <v>69</v>
      </c>
      <c r="F55" s="18" t="s">
        <v>66</v>
      </c>
      <c r="G55" s="58">
        <f>(SUMIFS(G$51:G$54,$F$51:$F$54,"All")+SUMIFS(G$51:G$54,$F$51:$F$54,$F55))*INDEX($G$169:$K$169,1,MATCH(G$50,Calc_Losses_1[[#Headers],[Ausnet]:[United Energy]],0))</f>
        <v>1.2787749085534801E-2</v>
      </c>
      <c r="H55" s="58">
        <f>(SUMIFS(H$51:H$54,$F$51:$F$54,"All")+SUMIFS(H$51:H$54,$F$51:$F$54,$F55))*INDEX($G$169:$K$169,1,MATCH(H$50,Calc_Losses_1[[#Headers],[Ausnet]:[United Energy]],0))</f>
        <v>6.0233934599999914E-3</v>
      </c>
      <c r="I55" s="58">
        <f>(SUMIFS(I$51:I$54,$F$51:$F$54,"All")+SUMIFS(I$51:I$54,$F$51:$F$54,$F55))*INDEX($G$169:$K$169,1,MATCH(I$50,Calc_Losses_1[[#Headers],[Ausnet]:[United Energy]],0))</f>
        <v>6.6840373791021415E-3</v>
      </c>
      <c r="J55" s="58">
        <f>(SUMIFS(J$51:J$54,$F$51:$F$54,"All")+SUMIFS(J$51:J$54,$F$51:$F$54,$F55))*INDEX($G$169:$K$169,1,MATCH(J$50,Calc_Losses_1[[#Headers],[Ausnet]:[United Energy]],0))</f>
        <v>1.067213688385121E-2</v>
      </c>
      <c r="K55" s="58">
        <f>(SUMIFS(K$51:K$54,$F$51:$F$54,"All")+SUMIFS(K$51:K$54,$F$51:$F$54,$F55))*INDEX($G$169:$K$169,1,MATCH(K$50,Calc_Losses_1[[#Headers],[Ausnet]:[United Energy]],0))</f>
        <v>6.8088613184254894E-3</v>
      </c>
    </row>
    <row r="56" spans="2:14" x14ac:dyDescent="0.25">
      <c r="B56"/>
      <c r="C56" s="18" t="s">
        <v>366</v>
      </c>
      <c r="D56" s="18" t="s">
        <v>178</v>
      </c>
      <c r="E56" s="18" t="s">
        <v>69</v>
      </c>
      <c r="F56" s="18" t="s">
        <v>67</v>
      </c>
      <c r="G56" s="58">
        <f>(SUMIFS(G$51:G$54,$F$51:$F$54,"All")+SUMIFS(G$51:G$54,$F$51:$F$54,$F56))*INDEX($G$169:$K$169,1,MATCH(G$50,Calc_Losses_1[[#Headers],[Ausnet]:[United Energy]],0))</f>
        <v>1.0808287328534802E-2</v>
      </c>
      <c r="H56" s="58">
        <f>(SUMIFS(H$51:H$54,$F$51:$F$54,"All")+SUMIFS(H$51:H$54,$F$51:$F$54,$F56))*INDEX($G$169:$K$169,1,MATCH(H$50,Calc_Losses_1[[#Headers],[Ausnet]:[United Energy]],0))</f>
        <v>5.5468434599999922E-3</v>
      </c>
      <c r="I56" s="58">
        <f>(SUMIFS(I$51:I$54,$F$51:$F$54,"All")+SUMIFS(I$51:I$54,$F$51:$F$54,$F56))*INDEX($G$169:$K$169,1,MATCH(I$50,Calc_Losses_1[[#Headers],[Ausnet]:[United Energy]],0))</f>
        <v>5.8436781363021438E-3</v>
      </c>
      <c r="J56" s="58">
        <f>(SUMIFS(J$51:J$54,$F$51:$F$54,"All")+SUMIFS(J$51:J$54,$F$51:$F$54,$F56))*INDEX($G$169:$K$169,1,MATCH(J$50,Calc_Losses_1[[#Headers],[Ausnet]:[United Energy]],0))</f>
        <v>8.9345661838512083E-3</v>
      </c>
      <c r="K56" s="58">
        <f>(SUMIFS(K$51:K$54,$F$51:$F$54,"All")+SUMIFS(K$51:K$54,$F$51:$F$54,$F56))*INDEX($G$169:$K$169,1,MATCH(K$50,Calc_Losses_1[[#Headers],[Ausnet]:[United Energy]],0))</f>
        <v>6.0160918415254876E-3</v>
      </c>
    </row>
    <row r="57" spans="2:14" x14ac:dyDescent="0.25">
      <c r="B57"/>
    </row>
    <row r="58" spans="2:14" ht="15.75" x14ac:dyDescent="0.25">
      <c r="B58"/>
      <c r="C58" s="24" t="s">
        <v>367</v>
      </c>
    </row>
    <row r="59" spans="2:14" ht="15.75" outlineLevel="1" x14ac:dyDescent="0.25">
      <c r="B59"/>
      <c r="C59" s="1" t="s">
        <v>368</v>
      </c>
    </row>
    <row r="60" spans="2:14" ht="15.75" outlineLevel="1" x14ac:dyDescent="0.25">
      <c r="B60"/>
      <c r="C60" s="59" t="s">
        <v>68</v>
      </c>
    </row>
    <row r="61" spans="2:14" outlineLevel="1" x14ac:dyDescent="0.25">
      <c r="B61"/>
      <c r="C61" s="18" t="s">
        <v>359</v>
      </c>
      <c r="D61" s="18" t="s">
        <v>58</v>
      </c>
      <c r="E61" s="18" t="s">
        <v>69</v>
      </c>
      <c r="F61" s="18" t="s">
        <v>66</v>
      </c>
      <c r="G61" s="44">
        <f>SUMIFS(Calc_NetworkV_1[Ausnet],Calc_NetworkV_1[Cost item],$C60,Calc_NetworkV_1[Customer type],$F61)</f>
        <v>0.13469799999999998</v>
      </c>
      <c r="H61" s="44">
        <f>SUMIFS(Calc_NetworkV_1[Citipower],Calc_NetworkV_1[[Cost item]:[Cost item]],$C60,Calc_NetworkV_1[[Customer type]:[Customer type]],$F61)</f>
        <v>0</v>
      </c>
      <c r="I61" s="44">
        <f>SUMIFS(Calc_NetworkV_1[Jemena],Calc_NetworkV_1[[Cost item]:[Cost item]],$C60,Calc_NetworkV_1[[Customer type]:[Customer type]],$F61)</f>
        <v>0</v>
      </c>
      <c r="J61" s="44">
        <f>SUMIFS(Calc_NetworkV_1[Powercor],Calc_NetworkV_1[[Cost item]:[Cost item]],$C60,Calc_NetworkV_1[[Customer type]:[Customer type]],$F61)</f>
        <v>0</v>
      </c>
      <c r="K61" s="44">
        <f>SUMIFS(Calc_NetworkV_1[United Energy],Calc_NetworkV_1[[Cost item]:[Cost item]],$C60,Calc_NetworkV_1[[Customer type]:[Customer type]],$F61)</f>
        <v>0</v>
      </c>
    </row>
    <row r="62" spans="2:14" outlineLevel="1" x14ac:dyDescent="0.25">
      <c r="B62"/>
      <c r="C62" s="18" t="s">
        <v>363</v>
      </c>
      <c r="D62" s="18" t="s">
        <v>58</v>
      </c>
      <c r="E62" s="18" t="s">
        <v>69</v>
      </c>
      <c r="F62" s="18" t="s">
        <v>66</v>
      </c>
      <c r="G62" s="44">
        <f>SUMIFS(Calc_Variable_1[Ausnet],Calc_Variable_1[Customer type],"All")+SUMIFS(Calc_Variable_1[Ausnet],Calc_Variable_1[Customer type],$F62)</f>
        <v>0.16247093708553478</v>
      </c>
      <c r="H62" s="44">
        <f>SUMIFS(Calc_Variable_1[Citipower],Calc_Variable_1[[Customer type]:[Customer type]],"All")+SUMIFS(Calc_Variable_1[Citipower],Calc_Variable_1[[Customer type]:[Customer type]],$F62)</f>
        <v>0.13987658145999998</v>
      </c>
      <c r="I62" s="44">
        <f>SUMIFS(Calc_Variable_1[Jemena],Calc_Variable_1[[Customer type]:[Customer type]],"All")+SUMIFS(Calc_Variable_1[Jemena],Calc_Variable_1[[Customer type]:[Customer type]],$F62)</f>
        <v>0.15414722537910214</v>
      </c>
      <c r="J62" s="44">
        <f>SUMIFS(Calc_Variable_1[Powercor],Calc_Variable_1[[Customer type]:[Customer type]],"All")+SUMIFS(Calc_Variable_1[Powercor],Calc_Variable_1[[Customer type]:[Customer type]],$F62)</f>
        <v>0.15961532488385119</v>
      </c>
      <c r="K62" s="44">
        <f>SUMIFS(Calc_Variable_1[United Energy],Calc_Variable_1[[Customer type]:[Customer type]],"All")+SUMIFS(Calc_Variable_1[United Energy],Calc_Variable_1[[Customer type]:[Customer type]],$F62)</f>
        <v>0.15187204931842549</v>
      </c>
    </row>
    <row r="63" spans="2:14" outlineLevel="1" x14ac:dyDescent="0.25">
      <c r="B63"/>
      <c r="C63" s="18" t="s">
        <v>258</v>
      </c>
      <c r="D63" s="18" t="s">
        <v>58</v>
      </c>
      <c r="E63" s="18" t="s">
        <v>69</v>
      </c>
      <c r="F63" s="18" t="s">
        <v>66</v>
      </c>
      <c r="G63" s="52" cm="1">
        <f t="array" ref="G63">IF(G61=0,"-",
(G61+G62)*Calc_ROM_1[Ausnet])</f>
        <v>1.6641460476789948E-2</v>
      </c>
      <c r="H63" s="52" t="str" cm="1">
        <f t="array" ref="H63">IF(H61=0,"-",
(H61+H62)*Calc_ROM_1[Citipower])</f>
        <v>-</v>
      </c>
      <c r="I63" s="52" t="str" cm="1">
        <f t="array" ref="I63">IF(I61=0,"-",
(I61+I62)*Calc_ROM_1[Jemena])</f>
        <v>-</v>
      </c>
      <c r="J63" s="52" t="str" cm="1">
        <f t="array" ref="J63">IF(J61=0,"-",
(J61+J62)*Calc_ROM_1[Powercor])</f>
        <v>-</v>
      </c>
      <c r="K63" s="52" t="str" cm="1">
        <f t="array" ref="K63">IF(K61=0,"-",
(K61+K62)*Calc_ROM_1[United Energy])</f>
        <v>-</v>
      </c>
    </row>
    <row r="64" spans="2:14" outlineLevel="1" x14ac:dyDescent="0.25">
      <c r="B64"/>
      <c r="C64" s="18" t="s">
        <v>360</v>
      </c>
      <c r="D64" s="18" t="s">
        <v>58</v>
      </c>
      <c r="E64" s="18" t="s">
        <v>69</v>
      </c>
      <c r="F64" s="18" t="s">
        <v>66</v>
      </c>
      <c r="G64" s="52">
        <f>IF(G61=0,"-",
(G61+G62+G63)*GST)</f>
        <v>3.1381039756232472E-2</v>
      </c>
      <c r="H64" s="52" t="str">
        <f>IF(H61=0,"-",
(H61+H62+H63)*GST)</f>
        <v>-</v>
      </c>
      <c r="I64" s="52" t="str">
        <f>IF(I61=0,"-",
(I61+I62+I63)*GST)</f>
        <v>-</v>
      </c>
      <c r="J64" s="52" t="str">
        <f>IF(J61=0,"-",
(J61+J62+J63)*GST)</f>
        <v>-</v>
      </c>
      <c r="K64" s="52" t="str">
        <f>IF(K61=0,"-",
(K61+K62+K63)*GST)</f>
        <v>-</v>
      </c>
    </row>
    <row r="65" spans="2:11" outlineLevel="1" x14ac:dyDescent="0.25">
      <c r="B65"/>
      <c r="C65" s="18" t="str">
        <f>C60&amp;" charge"</f>
        <v>Block 1 charge</v>
      </c>
      <c r="D65" s="18" t="s">
        <v>58</v>
      </c>
      <c r="E65" s="18" t="s">
        <v>69</v>
      </c>
      <c r="F65" s="18" t="s">
        <v>66</v>
      </c>
      <c r="G65" s="53">
        <f>IF(G61=0,"-",
SUM(G61:G64))</f>
        <v>0.34519143731855717</v>
      </c>
      <c r="H65" s="53" t="str">
        <f>IF(H61=0,"-",
SUM(H61:H64))</f>
        <v>-</v>
      </c>
      <c r="I65" s="53" t="str">
        <f>IF(I61=0,"-",
SUM(I61:I64))</f>
        <v>-</v>
      </c>
      <c r="J65" s="53" t="str">
        <f>IF(J61=0,"-",
SUM(J61:J64))</f>
        <v>-</v>
      </c>
      <c r="K65" s="53" t="str">
        <f>IF(K61=0,"-",
SUM(K61:K64))</f>
        <v>-</v>
      </c>
    </row>
    <row r="66" spans="2:11" outlineLevel="1" x14ac:dyDescent="0.25">
      <c r="B66"/>
      <c r="G66" s="81" cm="1">
        <f t="array" ref="G66">IF(G65="-","-",
IF(ROUND(G65,8)=ROUND((((
SUMIFS(Calc_Variable_1[Ausnet],Calc_Variable_1[[Customer type]:[Customer type]],Calc_Rates!$F65)+
SUMIFS(Calc_Variable_1[Ausnet],Calc_Variable_1[[Customer type]:[Customer type]],"All")+G61)*(1+Calc_ROM_1[Ausnet]))*(1+GST)),8),0,1))</f>
        <v>0</v>
      </c>
      <c r="H66" s="81" t="str" cm="1">
        <f t="array" ref="H66">IF(H65="-","-",
IF(ROUND(H65,8)=ROUND((((
SUMIFS(Calc_Variable_1[Citipower],Calc_Variable_1[[Customer type]:[Customer type]],Calc_Rates!$F65)+
SUMIFS(Calc_Variable_1[Citipower],Calc_Variable_1[[Customer type]:[Customer type]],"All")+H61)*(1+Calc_ROM_1[Citipower]))*(1+GST)),8),0,1))</f>
        <v>-</v>
      </c>
      <c r="I66" s="81" t="str" cm="1">
        <f t="array" ref="I66">IF(I65="-","-",
IF(ROUND(I65,8)=ROUND((((
SUMIFS(Calc_Variable_1[Jemena],Calc_Variable_1[[Customer type]:[Customer type]],Calc_Rates!$F65)+
SUMIFS(Calc_Variable_1[Jemena],Calc_Variable_1[[Customer type]:[Customer type]],"All")+I61)*(1+Calc_ROM_1[Jemena]))*(1+GST)),8),0,1))</f>
        <v>-</v>
      </c>
      <c r="J66" s="81" t="str" cm="1">
        <f t="array" ref="J66">IF(J65="-","-",
IF(ROUND(J65,8)=ROUND((((
SUMIFS(Calc_Variable_1[Powercor],Calc_Variable_1[[Customer type]:[Customer type]],Calc_Rates!$F65)+
SUMIFS(Calc_Variable_1[Powercor],Calc_Variable_1[[Customer type]:[Customer type]],"All")+J61)*(1+Calc_ROM_1[Powercor]))*(1+GST)),8),0,1))</f>
        <v>-</v>
      </c>
      <c r="K66" s="81" t="str" cm="1">
        <f t="array" ref="K66">IF(K65="-","-",
IF(ROUND(K65,8)=ROUND((((
SUMIFS(Calc_Variable_1[United Energy],Calc_Variable_1[[Customer type]:[Customer type]],Calc_Rates!$F65)+
SUMIFS(Calc_Variable_1[United Energy],Calc_Variable_1[[Customer type]:[Customer type]],"All")+K61)*(1+Calc_ROM_1[United Energy]))*(1+GST)),8),0,1))</f>
        <v>-</v>
      </c>
    </row>
    <row r="67" spans="2:11" ht="15.75" outlineLevel="1" x14ac:dyDescent="0.25">
      <c r="B67"/>
      <c r="C67" s="59" t="s">
        <v>70</v>
      </c>
    </row>
    <row r="68" spans="2:11" outlineLevel="1" x14ac:dyDescent="0.25">
      <c r="B68"/>
      <c r="C68" s="18" t="s">
        <v>359</v>
      </c>
      <c r="D68" s="18" t="s">
        <v>58</v>
      </c>
      <c r="E68" s="18" t="s">
        <v>69</v>
      </c>
      <c r="F68" s="18" t="s">
        <v>66</v>
      </c>
      <c r="G68" s="44">
        <f>SUMIFS(Calc_NetworkV_1[Ausnet],Calc_NetworkV_1[[Cost item]:[Cost item]],$C67,Calc_NetworkV_1[[Customer type]:[Customer type]],$F68)</f>
        <v>0.13737199999999999</v>
      </c>
      <c r="H68" s="44">
        <f>SUMIFS(Calc_NetworkV_1[Citipower],Calc_NetworkV_1[[Cost item]:[Cost item]],$C67,Calc_NetworkV_1[[Customer type]:[Customer type]],$F68)</f>
        <v>0</v>
      </c>
      <c r="I68" s="44">
        <f>SUMIFS(Calc_NetworkV_1[Jemena],Calc_NetworkV_1[[Cost item]:[Cost item]],$C67,Calc_NetworkV_1[[Customer type]:[Customer type]],$F68)</f>
        <v>0</v>
      </c>
      <c r="J68" s="44">
        <f>SUMIFS(Calc_NetworkV_1[Powercor],Calc_NetworkV_1[[Cost item]:[Cost item]],$C67,Calc_NetworkV_1[[Customer type]:[Customer type]],$F68)</f>
        <v>0</v>
      </c>
      <c r="K68" s="44">
        <f>SUMIFS(Calc_NetworkV_1[United Energy],Calc_NetworkV_1[[Cost item]:[Cost item]],$C67,Calc_NetworkV_1[[Customer type]:[Customer type]],$F68)</f>
        <v>0</v>
      </c>
    </row>
    <row r="69" spans="2:11" outlineLevel="1" x14ac:dyDescent="0.25">
      <c r="B69"/>
      <c r="C69" s="18" t="s">
        <v>363</v>
      </c>
      <c r="D69" s="18" t="s">
        <v>58</v>
      </c>
      <c r="E69" s="18" t="s">
        <v>69</v>
      </c>
      <c r="F69" s="18" t="s">
        <v>66</v>
      </c>
      <c r="G69" s="44">
        <f>SUMIFS(Calc_Variable_1[Ausnet],Calc_Variable_1[[Customer type]:[Customer type]],"All")+SUMIFS(Calc_Variable_1[Ausnet],Calc_Variable_1[[Customer type]:[Customer type]],$F69)</f>
        <v>0.16247093708553478</v>
      </c>
      <c r="H69" s="44">
        <f>SUMIFS(Calc_Variable_1[Citipower],Calc_Variable_1[[Customer type]:[Customer type]],"All")+SUMIFS(Calc_Variable_1[Citipower],Calc_Variable_1[[Customer type]:[Customer type]],$F69)</f>
        <v>0.13987658145999998</v>
      </c>
      <c r="I69" s="44">
        <f>SUMIFS(Calc_Variable_1[Jemena],Calc_Variable_1[[Customer type]:[Customer type]],"All")+SUMIFS(Calc_Variable_1[Jemena],Calc_Variable_1[[Customer type]:[Customer type]],$F69)</f>
        <v>0.15414722537910214</v>
      </c>
      <c r="J69" s="44">
        <f>SUMIFS(Calc_Variable_1[Powercor],Calc_Variable_1[[Customer type]:[Customer type]],"All")+SUMIFS(Calc_Variable_1[Powercor],Calc_Variable_1[[Customer type]:[Customer type]],$F69)</f>
        <v>0.15961532488385119</v>
      </c>
      <c r="K69" s="44">
        <f>SUMIFS(Calc_Variable_1[United Energy],Calc_Variable_1[[Customer type]:[Customer type]],"All")+SUMIFS(Calc_Variable_1[United Energy],Calc_Variable_1[[Customer type]:[Customer type]],$F69)</f>
        <v>0.15187204931842549</v>
      </c>
    </row>
    <row r="70" spans="2:11" outlineLevel="1" x14ac:dyDescent="0.25">
      <c r="B70"/>
      <c r="C70" s="18" t="s">
        <v>258</v>
      </c>
      <c r="D70" s="18" t="s">
        <v>58</v>
      </c>
      <c r="E70" s="18" t="s">
        <v>69</v>
      </c>
      <c r="F70" s="18" t="s">
        <v>66</v>
      </c>
      <c r="G70" s="52" cm="1">
        <f t="array" ref="G70">IF(G68=0,"-",
(G68+G69)*Calc_ROM_1[Ausnet])</f>
        <v>1.6791204476789948E-2</v>
      </c>
      <c r="H70" s="52" t="str" cm="1">
        <f t="array" ref="H70">IF(H68=0,"-",
(H68+H69)*Calc_ROM_1[Citipower])</f>
        <v>-</v>
      </c>
      <c r="I70" s="52" t="str" cm="1">
        <f t="array" ref="I70">IF(I68=0,"-",
(I68+I69)*Calc_ROM_1[Jemena])</f>
        <v>-</v>
      </c>
      <c r="J70" s="52" t="str" cm="1">
        <f t="array" ref="J70">IF(J68=0,"-",
(J68+J69)*Calc_ROM_1[Powercor])</f>
        <v>-</v>
      </c>
      <c r="K70" s="52" t="str" cm="1">
        <f t="array" ref="K70">IF(K68=0,"-",
(K68+K69)*Calc_ROM_1[United Energy])</f>
        <v>-</v>
      </c>
    </row>
    <row r="71" spans="2:11" outlineLevel="1" x14ac:dyDescent="0.25">
      <c r="B71"/>
      <c r="C71" s="18" t="s">
        <v>360</v>
      </c>
      <c r="D71" s="18" t="s">
        <v>58</v>
      </c>
      <c r="E71" s="18" t="s">
        <v>69</v>
      </c>
      <c r="F71" s="18" t="s">
        <v>66</v>
      </c>
      <c r="G71" s="52">
        <f>IF(G68=0,"-",
(G68+G69+G70)*GST)</f>
        <v>3.1663414156232472E-2</v>
      </c>
      <c r="H71" s="52" t="str">
        <f>IF(H68=0,"-",
(H68+H69+H70)*GST)</f>
        <v>-</v>
      </c>
      <c r="I71" s="52" t="str">
        <f>IF(I68=0,"-",
(I68+I69+I70)*GST)</f>
        <v>-</v>
      </c>
      <c r="J71" s="52" t="str">
        <f>IF(J68=0,"-",
(J68+J69+J70)*GST)</f>
        <v>-</v>
      </c>
      <c r="K71" s="52" t="str">
        <f>IF(K68=0,"-",
(K68+K69+K70)*GST)</f>
        <v>-</v>
      </c>
    </row>
    <row r="72" spans="2:11" outlineLevel="1" x14ac:dyDescent="0.25">
      <c r="B72"/>
      <c r="C72" s="18" t="str">
        <f>C67&amp;" charge"</f>
        <v>Balance charge</v>
      </c>
      <c r="D72" s="18" t="s">
        <v>58</v>
      </c>
      <c r="E72" s="18" t="s">
        <v>69</v>
      </c>
      <c r="F72" s="18" t="s">
        <v>66</v>
      </c>
      <c r="G72" s="53">
        <f>IF(G68=0,"-",
SUM(G68:G71))</f>
        <v>0.34829755571855719</v>
      </c>
      <c r="H72" s="53" t="str">
        <f>IF(H68=0,"-",
SUM(H68:H71))</f>
        <v>-</v>
      </c>
      <c r="I72" s="53" t="str">
        <f>IF(I68=0,"-",
SUM(I68:I71))</f>
        <v>-</v>
      </c>
      <c r="J72" s="53" t="str">
        <f>IF(J68=0,"-",
SUM(J68:J71))</f>
        <v>-</v>
      </c>
      <c r="K72" s="53" t="str">
        <f>IF(K68=0,"-",
SUM(K68:K71))</f>
        <v>-</v>
      </c>
    </row>
    <row r="73" spans="2:11" outlineLevel="1" x14ac:dyDescent="0.25">
      <c r="B73"/>
      <c r="G73" s="81" cm="1">
        <f t="array" ref="G73">IF(G72="-","-",
IF(ROUND(G72,8)=ROUND((((
SUMIFS(Calc_Variable_1[Ausnet],Calc_Variable_1[[Customer type]:[Customer type]],Calc_Rates!$F72)+
SUMIFS(Calc_Variable_1[Ausnet],Calc_Variable_1[[Customer type]:[Customer type]],"All")+G68)*(1+Calc_ROM_1[Ausnet]))*(1+GST)),8),0,1))</f>
        <v>0</v>
      </c>
      <c r="H73" s="81" t="str" cm="1">
        <f t="array" ref="H73">IF(H72="-","-",
IF(ROUND(H72,8)=ROUND((((
SUMIFS(Calc_Variable_1[Citipower],Calc_Variable_1[[Customer type]:[Customer type]],Calc_Rates!$F72)+
SUMIFS(Calc_Variable_1[Citipower],Calc_Variable_1[[Customer type]:[Customer type]],"All")+H68)*(1+Calc_ROM_1[Citipower]))*(1+GST)),8),0,1))</f>
        <v>-</v>
      </c>
      <c r="I73" s="81" t="str" cm="1">
        <f t="array" ref="I73">IF(I72="-","-",
IF(ROUND(I72,8)=ROUND((((
SUMIFS(Calc_Variable_1[Jemena],Calc_Variable_1[[Customer type]:[Customer type]],Calc_Rates!$F72)+
SUMIFS(Calc_Variable_1[Jemena],Calc_Variable_1[[Customer type]:[Customer type]],"All")+I68)*(1+Calc_ROM_1[Jemena]))*(1+GST)),8),0,1))</f>
        <v>-</v>
      </c>
      <c r="J73" s="81" t="str" cm="1">
        <f t="array" ref="J73">IF(J72="-","-",
IF(ROUND(J72,8)=ROUND((((
SUMIFS(Calc_Variable_1[Powercor],Calc_Variable_1[[Customer type]:[Customer type]],Calc_Rates!$F72)+
SUMIFS(Calc_Variable_1[Powercor],Calc_Variable_1[[Customer type]:[Customer type]],"All")+J68)*(1+Calc_ROM_1[Powercor]))*(1+GST)),8),0,1))</f>
        <v>-</v>
      </c>
      <c r="K73" s="81" t="str" cm="1">
        <f t="array" ref="K73">IF(K72="-","-",
IF(ROUND(K72,8)=ROUND((((
SUMIFS(Calc_Variable_1[United Energy],Calc_Variable_1[[Customer type]:[Customer type]],Calc_Rates!$F72)+
SUMIFS(Calc_Variable_1[United Energy],Calc_Variable_1[[Customer type]:[Customer type]],"All")+K68)*(1+Calc_ROM_1[United Energy]))*(1+GST)),8),0,1))</f>
        <v>-</v>
      </c>
    </row>
    <row r="74" spans="2:11" ht="15.75" outlineLevel="1" x14ac:dyDescent="0.25">
      <c r="B74"/>
      <c r="C74" s="59" t="s">
        <v>71</v>
      </c>
    </row>
    <row r="75" spans="2:11" outlineLevel="1" x14ac:dyDescent="0.25">
      <c r="B75"/>
      <c r="C75" s="18" t="s">
        <v>359</v>
      </c>
      <c r="D75" s="18" t="s">
        <v>58</v>
      </c>
      <c r="E75" s="18" t="s">
        <v>69</v>
      </c>
      <c r="F75" s="18" t="s">
        <v>66</v>
      </c>
      <c r="G75" s="44">
        <f>SUMIFS(Calc_NetworkV_1[Ausnet],Calc_NetworkV_1[[Cost item]:[Cost item]],$C74,Calc_NetworkV_1[[Customer type]:[Customer type]],$F75)</f>
        <v>0</v>
      </c>
      <c r="H75" s="44">
        <f>SUMIFS(Calc_NetworkV_1[Citipower],Calc_NetworkV_1[[Cost item]:[Cost item]],$C74,Calc_NetworkV_1[[Customer type]:[Customer type]],$F75)</f>
        <v>8.0299999999999996E-2</v>
      </c>
      <c r="I75" s="44">
        <f>SUMIFS(Calc_NetworkV_1[Jemena],Calc_NetworkV_1[[Cost item]:[Cost item]],$C74,Calc_NetworkV_1[[Customer type]:[Customer type]],$F75)</f>
        <v>0.10189499020000001</v>
      </c>
      <c r="J75" s="44">
        <f>SUMIFS(Calc_NetworkV_1[Powercor],Calc_NetworkV_1[[Cost item]:[Cost item]],$C74,Calc_NetworkV_1[[Customer type]:[Customer type]],$F75)</f>
        <v>9.4700000000000006E-2</v>
      </c>
      <c r="K75" s="44">
        <f>SUMIFS(Calc_NetworkV_1[United Energy],Calc_NetworkV_1[[Cost item]:[Cost item]],$C74,Calc_NetworkV_1[[Customer type]:[Customer type]],$F75)</f>
        <v>8.9700000000000002E-2</v>
      </c>
    </row>
    <row r="76" spans="2:11" outlineLevel="1" x14ac:dyDescent="0.25">
      <c r="B76"/>
      <c r="C76" s="18" t="s">
        <v>363</v>
      </c>
      <c r="D76" s="18" t="s">
        <v>58</v>
      </c>
      <c r="E76" s="18" t="s">
        <v>69</v>
      </c>
      <c r="F76" s="18" t="s">
        <v>66</v>
      </c>
      <c r="G76" s="44">
        <f>SUMIFS(Calc_Variable_1[Ausnet],Calc_Variable_1[[Customer type]:[Customer type]],"All")+SUMIFS(Calc_Variable_1[Ausnet],Calc_Variable_1[[Customer type]:[Customer type]],$F76)</f>
        <v>0.16247093708553478</v>
      </c>
      <c r="H76" s="44">
        <f>SUMIFS(Calc_Variable_1[Citipower],Calc_Variable_1[[Customer type]:[Customer type]],"All")+SUMIFS(Calc_Variable_1[Citipower],Calc_Variable_1[[Customer type]:[Customer type]],$F76)</f>
        <v>0.13987658145999998</v>
      </c>
      <c r="I76" s="44">
        <f>SUMIFS(Calc_Variable_1[Jemena],Calc_Variable_1[[Customer type]:[Customer type]],"All")+SUMIFS(Calc_Variable_1[Jemena],Calc_Variable_1[[Customer type]:[Customer type]],$F76)</f>
        <v>0.15414722537910214</v>
      </c>
      <c r="J76" s="44">
        <f>SUMIFS(Calc_Variable_1[Powercor],Calc_Variable_1[[Customer type]:[Customer type]],"All")+SUMIFS(Calc_Variable_1[Powercor],Calc_Variable_1[[Customer type]:[Customer type]],$F76)</f>
        <v>0.15961532488385119</v>
      </c>
      <c r="K76" s="44">
        <f>SUMIFS(Calc_Variable_1[United Energy],Calc_Variable_1[[Customer type]:[Customer type]],"All")+SUMIFS(Calc_Variable_1[United Energy],Calc_Variable_1[[Customer type]:[Customer type]],$F76)</f>
        <v>0.15187204931842549</v>
      </c>
    </row>
    <row r="77" spans="2:11" outlineLevel="1" x14ac:dyDescent="0.25">
      <c r="B77"/>
      <c r="C77" s="18" t="s">
        <v>258</v>
      </c>
      <c r="D77" s="18" t="s">
        <v>58</v>
      </c>
      <c r="E77" s="18" t="s">
        <v>69</v>
      </c>
      <c r="F77" s="18" t="s">
        <v>66</v>
      </c>
      <c r="G77" s="52" t="str" cm="1">
        <f t="array" ref="G77">IF(G75=0,"-",
(G75+G76)*Calc_ROM_1[Ausnet])</f>
        <v>-</v>
      </c>
      <c r="H77" s="52" cm="1">
        <f t="array" ref="H77">IF(H75=0,"-",
(H75+H76)*Calc_ROM_1[Ausnet])</f>
        <v>1.2329888561759999E-2</v>
      </c>
      <c r="I77" s="52" cm="1">
        <f t="array" ref="I77">IF(I75=0,"-",
(I75+I76)*Calc_ROM_1[Ausnet])</f>
        <v>1.4338364072429719E-2</v>
      </c>
      <c r="J77" s="52" cm="1">
        <f t="array" ref="J77">IF(J75=0,"-",
(J75+J76)*Calc_ROM_1[Ausnet])</f>
        <v>1.4241658193495668E-2</v>
      </c>
      <c r="K77" s="52" cm="1">
        <f t="array" ref="K77">IF(K75=0,"-",
(K75+K76)*Calc_ROM_1[Ausnet])</f>
        <v>1.3528034761831828E-2</v>
      </c>
    </row>
    <row r="78" spans="2:11" outlineLevel="1" x14ac:dyDescent="0.25">
      <c r="B78"/>
      <c r="C78" s="18" t="s">
        <v>360</v>
      </c>
      <c r="D78" s="18" t="s">
        <v>58</v>
      </c>
      <c r="E78" s="18" t="s">
        <v>69</v>
      </c>
      <c r="F78" s="18" t="s">
        <v>66</v>
      </c>
      <c r="G78" s="52" t="str">
        <f>IF(G75=0,"-",
(G75+G76+G77)*GST)</f>
        <v>-</v>
      </c>
      <c r="H78" s="52">
        <f>IF(H75=0,"-",
(H75+H76+H77)*GST)</f>
        <v>2.3250647002175998E-2</v>
      </c>
      <c r="I78" s="52">
        <f>IF(I75=0,"-",
(I75+I76+I77)*GST)</f>
        <v>2.7038057965153184E-2</v>
      </c>
      <c r="J78" s="52">
        <f>IF(J75=0,"-",
(J75+J76+J77)*GST)</f>
        <v>2.6855698307734689E-2</v>
      </c>
      <c r="K78" s="52">
        <f>IF(K75=0,"-",
(K75+K76+K77)*GST)</f>
        <v>2.5510008408025732E-2</v>
      </c>
    </row>
    <row r="79" spans="2:11" outlineLevel="1" x14ac:dyDescent="0.25">
      <c r="B79"/>
      <c r="C79" s="18" t="str">
        <f>C74&amp;" charge"</f>
        <v>Single rate charge</v>
      </c>
      <c r="D79" s="18" t="s">
        <v>58</v>
      </c>
      <c r="E79" s="18" t="s">
        <v>69</v>
      </c>
      <c r="F79" s="18" t="s">
        <v>66</v>
      </c>
      <c r="G79" s="53" t="str">
        <f>IF(G75=0,"-",
SUM(G75:G78))</f>
        <v>-</v>
      </c>
      <c r="H79" s="53">
        <f>IF(H75=0,"-",
SUM(H75:H78))</f>
        <v>0.255757117023936</v>
      </c>
      <c r="I79" s="53">
        <f>IF(I75=0,"-",
SUM(I75:I78))</f>
        <v>0.29741863761668502</v>
      </c>
      <c r="J79" s="53">
        <f>IF(J75=0,"-",
SUM(J75:J78))</f>
        <v>0.29541268138508159</v>
      </c>
      <c r="K79" s="53">
        <f>IF(K75=0,"-",
SUM(K75:K78))</f>
        <v>0.28061009248828306</v>
      </c>
    </row>
    <row r="80" spans="2:11" outlineLevel="1" x14ac:dyDescent="0.25">
      <c r="B80"/>
      <c r="G80" s="81" t="str" cm="1">
        <f t="array" ref="G80">IF(G79="-","-",
IF(ROUND(G79,8)=ROUND((((
SUMIFS(Calc_Variable_1[Ausnet],Calc_Variable_1[[Customer type]:[Customer type]],Calc_Rates!$F79)+
SUMIFS(Calc_Variable_1[Ausnet],Calc_Variable_1[[Customer type]:[Customer type]],"All")+G75)*(1+Calc_ROM_1[Ausnet]))*(1+GST)),8),0,1))</f>
        <v>-</v>
      </c>
      <c r="H80" s="81" cm="1">
        <f t="array" ref="H80">IF(H79="-","-",
IF(ROUND(H79,8)=ROUND((((
SUMIFS(Calc_Variable_1[Citipower],Calc_Variable_1[[Customer type]:[Customer type]],Calc_Rates!$F79)+
SUMIFS(Calc_Variable_1[Citipower],Calc_Variable_1[[Customer type]:[Customer type]],"All")+H75)*(1+Calc_ROM_1[Citipower]))*(1+GST)),8),0,1))</f>
        <v>0</v>
      </c>
      <c r="I80" s="81" cm="1">
        <f t="array" ref="I80">IF(I79="-","-",
IF(ROUND(I79,8)=ROUND((((
SUMIFS(Calc_Variable_1[Jemena],Calc_Variable_1[[Customer type]:[Customer type]],Calc_Rates!$F79)+
SUMIFS(Calc_Variable_1[Jemena],Calc_Variable_1[[Customer type]:[Customer type]],"All")+I75)*(1+Calc_ROM_1[Jemena]))*(1+GST)),8),0,1))</f>
        <v>0</v>
      </c>
      <c r="J80" s="81" cm="1">
        <f t="array" ref="J80">IF(J79="-","-",
IF(ROUND(J79,8)=ROUND((((
SUMIFS(Calc_Variable_1[Powercor],Calc_Variable_1[[Customer type]:[Customer type]],Calc_Rates!$F79)+
SUMIFS(Calc_Variable_1[Powercor],Calc_Variable_1[[Customer type]:[Customer type]],"All")+J75)*(1+Calc_ROM_1[Powercor]))*(1+GST)),8),0,1))</f>
        <v>0</v>
      </c>
      <c r="K80" s="81" cm="1">
        <f t="array" ref="K80">IF(K79="-","-",
IF(ROUND(K79,8)=ROUND((((
SUMIFS(Calc_Variable_1[United Energy],Calc_Variable_1[[Customer type]:[Customer type]],Calc_Rates!$F79)+
SUMIFS(Calc_Variable_1[United Energy],Calc_Variable_1[[Customer type]:[Customer type]],"All")+K75)*(1+Calc_ROM_1[United Energy]))*(1+GST)),8),0,1))</f>
        <v>0</v>
      </c>
    </row>
    <row r="81" spans="2:11" ht="15.75" outlineLevel="1" x14ac:dyDescent="0.25">
      <c r="B81"/>
      <c r="C81" s="101" t="s">
        <v>369</v>
      </c>
    </row>
    <row r="82" spans="2:11" ht="15.75" outlineLevel="1" x14ac:dyDescent="0.25">
      <c r="B82"/>
      <c r="C82" s="59" t="s">
        <v>73</v>
      </c>
    </row>
    <row r="83" spans="2:11" outlineLevel="1" x14ac:dyDescent="0.25">
      <c r="B83"/>
      <c r="C83" s="18" t="s">
        <v>359</v>
      </c>
      <c r="D83" s="18" t="s">
        <v>58</v>
      </c>
      <c r="E83" s="18" t="s">
        <v>69</v>
      </c>
      <c r="F83" s="18" t="s">
        <v>66</v>
      </c>
      <c r="G83" s="44">
        <f>SUMIFS(Calc_NetworkV_1[Ausnet],Calc_NetworkV_1[[Cost item]:[Cost item]],$C82,Calc_NetworkV_1[[Customer type]:[Customer type]],$F83)</f>
        <v>0.23836541229470223</v>
      </c>
      <c r="H83" s="44">
        <f>SUMIFS(Calc_NetworkV_1[Citipower],Calc_NetworkV_1[[Cost item]:[Cost item]],$C82,Calc_NetworkV_1[[Customer type]:[Customer type]],$F83)</f>
        <v>0.15990000000000001</v>
      </c>
      <c r="I83" s="44">
        <f>SUMIFS(Calc_NetworkV_1[Jemena],Calc_NetworkV_1[[Cost item]:[Cost item]],$C82,Calc_NetworkV_1[[Customer type]:[Customer type]],$F83)</f>
        <v>0.16852856820000001</v>
      </c>
      <c r="J83" s="44">
        <f>SUMIFS(Calc_NetworkV_1[Powercor],Calc_NetworkV_1[[Cost item]:[Cost item]],$C82,Calc_NetworkV_1[[Customer type]:[Customer type]],$F83)</f>
        <v>0.18510000000000001</v>
      </c>
      <c r="K83" s="44">
        <f>SUMIFS(Calc_NetworkV_1[United Energy],Calc_NetworkV_1[[Cost item]:[Cost item]],$C82,Calc_NetworkV_1[[Customer type]:[Customer type]],$F83)</f>
        <v>0.17510000000000001</v>
      </c>
    </row>
    <row r="84" spans="2:11" outlineLevel="1" x14ac:dyDescent="0.25">
      <c r="B84"/>
      <c r="C84" s="18" t="s">
        <v>363</v>
      </c>
      <c r="D84" s="18" t="s">
        <v>58</v>
      </c>
      <c r="E84" s="18" t="s">
        <v>69</v>
      </c>
      <c r="F84" s="18" t="s">
        <v>66</v>
      </c>
      <c r="G84" s="44">
        <f>SUMIFS(Calc_Variable_1[Ausnet],Calc_Variable_1[[Customer type]:[Customer type]],"All")+SUMIFS(Calc_Variable_1[Ausnet],Calc_Variable_1[[Customer type]:[Customer type]],$F84)</f>
        <v>0.16247093708553478</v>
      </c>
      <c r="H84" s="44">
        <f>SUMIFS(Calc_Variable_1[Citipower],Calc_Variable_1[[Customer type]:[Customer type]],"All")+SUMIFS(Calc_Variable_1[Citipower],Calc_Variable_1[[Customer type]:[Customer type]],$F84)</f>
        <v>0.13987658145999998</v>
      </c>
      <c r="I84" s="44">
        <f>SUMIFS(Calc_Variable_1[Jemena],Calc_Variable_1[[Customer type]:[Customer type]],"All")+SUMIFS(Calc_Variable_1[Jemena],Calc_Variable_1[[Customer type]:[Customer type]],$F84)</f>
        <v>0.15414722537910214</v>
      </c>
      <c r="J84" s="44">
        <f>SUMIFS(Calc_Variable_1[Powercor],Calc_Variable_1[[Customer type]:[Customer type]],"All")+SUMIFS(Calc_Variable_1[Powercor],Calc_Variable_1[[Customer type]:[Customer type]],$F84)</f>
        <v>0.15961532488385119</v>
      </c>
      <c r="K84" s="44">
        <f>SUMIFS(Calc_Variable_1[United Energy],Calc_Variable_1[[Customer type]:[Customer type]],"All")+SUMIFS(Calc_Variable_1[United Energy],Calc_Variable_1[[Customer type]:[Customer type]],$F84)</f>
        <v>0.15187204931842549</v>
      </c>
    </row>
    <row r="85" spans="2:11" outlineLevel="1" x14ac:dyDescent="0.25">
      <c r="B85"/>
      <c r="C85" s="18" t="s">
        <v>258</v>
      </c>
      <c r="D85" s="18" t="s">
        <v>58</v>
      </c>
      <c r="E85" s="18" t="s">
        <v>69</v>
      </c>
      <c r="F85" s="18" t="s">
        <v>66</v>
      </c>
      <c r="G85" s="52" cm="1">
        <f t="array" ref="G85">IF(G83=0,"-",
(G83+G84)*Calc_ROM_1[Ausnet])</f>
        <v>2.2446835565293276E-2</v>
      </c>
      <c r="H85" s="52" cm="1">
        <f t="array" ref="H85">IF(H83=0,"-",
(H83+H84)*Calc_ROM_1[Ausnet])</f>
        <v>1.6787488561759999E-2</v>
      </c>
      <c r="I85" s="52" cm="1">
        <f t="array" ref="I85">IF(I83=0,"-",
(I83+I84)*Calc_ROM_1[Ausnet])</f>
        <v>1.8069844440429722E-2</v>
      </c>
      <c r="J85" s="52" cm="1">
        <f t="array" ref="J85">IF(J83=0,"-",
(J83+J84)*Calc_ROM_1[Ausnet])</f>
        <v>1.9304058193495666E-2</v>
      </c>
      <c r="K85" s="52" cm="1">
        <f t="array" ref="K85">IF(K83=0,"-",
(K83+K84)*Calc_ROM_1[Ausnet])</f>
        <v>1.8310434761831827E-2</v>
      </c>
    </row>
    <row r="86" spans="2:11" outlineLevel="1" x14ac:dyDescent="0.25">
      <c r="B86"/>
      <c r="C86" s="18" t="s">
        <v>360</v>
      </c>
      <c r="D86" s="18" t="s">
        <v>58</v>
      </c>
      <c r="E86" s="18" t="s">
        <v>69</v>
      </c>
      <c r="F86" s="18" t="s">
        <v>66</v>
      </c>
      <c r="G86" s="52">
        <f>IF(G83=0,"-",
(G83+G84+G85)*GST)</f>
        <v>4.2328318494553034E-2</v>
      </c>
      <c r="H86" s="52">
        <f>IF(H83=0,"-",
(H83+H84+H85)*GST)</f>
        <v>3.1656407002176E-2</v>
      </c>
      <c r="I86" s="52">
        <f>IF(I83=0,"-",
(I83+I84+I85)*GST)</f>
        <v>3.4074563801953187E-2</v>
      </c>
      <c r="J86" s="52">
        <f>IF(J83=0,"-",
(J83+J84+J85)*GST)</f>
        <v>3.6401938307734687E-2</v>
      </c>
      <c r="K86" s="52">
        <f>IF(K83=0,"-",
(K83+K84+K85)*GST)</f>
        <v>3.4528248408025729E-2</v>
      </c>
    </row>
    <row r="87" spans="2:11" outlineLevel="1" x14ac:dyDescent="0.25">
      <c r="B87"/>
      <c r="C87" s="18" t="str">
        <f>C82&amp;" charge"</f>
        <v>Peak charge</v>
      </c>
      <c r="D87" s="18" t="s">
        <v>58</v>
      </c>
      <c r="E87" s="18" t="s">
        <v>69</v>
      </c>
      <c r="F87" s="18" t="s">
        <v>66</v>
      </c>
      <c r="G87" s="53">
        <f>IF(G83=0,"-",
SUM(G83:G86))</f>
        <v>0.46561150344008334</v>
      </c>
      <c r="H87" s="53">
        <f>IF(H83=0,"-",
SUM(H83:H86))</f>
        <v>0.34822047702393594</v>
      </c>
      <c r="I87" s="53">
        <f>IF(I83=0,"-",
SUM(I83:I86))</f>
        <v>0.37482020182148501</v>
      </c>
      <c r="J87" s="53">
        <f>IF(J83=0,"-",
SUM(J83:J86))</f>
        <v>0.40042132138508157</v>
      </c>
      <c r="K87" s="53">
        <f>IF(K83=0,"-",
SUM(K83:K86))</f>
        <v>0.37981073248828301</v>
      </c>
    </row>
    <row r="88" spans="2:11" outlineLevel="1" x14ac:dyDescent="0.25">
      <c r="B88"/>
      <c r="G88" s="81" cm="1">
        <f t="array" ref="G88">IF(G87="-","-",
IF(ROUND(G87,8)=ROUND((((
SUMIFS(Calc_Variable_1[Ausnet],Calc_Variable_1[[Customer type]:[Customer type]],Calc_Rates!$F87)+
SUMIFS(Calc_Variable_1[Ausnet],Calc_Variable_1[[Customer type]:[Customer type]],"All")+G83)*(1+Calc_ROM_1[Ausnet]))*(1+GST)),8),0,1))</f>
        <v>0</v>
      </c>
      <c r="H88" s="81" cm="1">
        <f t="array" ref="H88">IF(H87="-","-",
IF(ROUND(H87,8)=ROUND((((
SUMIFS(Calc_Variable_1[Citipower],Calc_Variable_1[[Customer type]:[Customer type]],Calc_Rates!$F87)+
SUMIFS(Calc_Variable_1[Citipower],Calc_Variable_1[[Customer type]:[Customer type]],"All")+H83)*(1+Calc_ROM_1[Citipower]))*(1+GST)),8),0,1))</f>
        <v>0</v>
      </c>
      <c r="I88" s="81" cm="1">
        <f t="array" ref="I88">IF(I87="-","-",
IF(ROUND(I87,8)=ROUND((((
SUMIFS(Calc_Variable_1[Jemena],Calc_Variable_1[[Customer type]:[Customer type]],Calc_Rates!$F87)+
SUMIFS(Calc_Variable_1[Jemena],Calc_Variable_1[[Customer type]:[Customer type]],"All")+I83)*(1+Calc_ROM_1[Jemena]))*(1+GST)),8),0,1))</f>
        <v>0</v>
      </c>
      <c r="J88" s="81" cm="1">
        <f t="array" ref="J88">IF(J87="-","-",
IF(ROUND(J87,8)=ROUND((((
SUMIFS(Calc_Variable_1[Powercor],Calc_Variable_1[[Customer type]:[Customer type]],Calc_Rates!$F87)+
SUMIFS(Calc_Variable_1[Powercor],Calc_Variable_1[[Customer type]:[Customer type]],"All")+J83)*(1+Calc_ROM_1[Powercor]))*(1+GST)),8),0,1))</f>
        <v>0</v>
      </c>
      <c r="K88" s="81" cm="1">
        <f t="array" ref="K88">IF(K87="-","-",
IF(ROUND(K87,8)=ROUND((((
SUMIFS(Calc_Variable_1[United Energy],Calc_Variable_1[[Customer type]:[Customer type]],Calc_Rates!$F87)+
SUMIFS(Calc_Variable_1[United Energy],Calc_Variable_1[[Customer type]:[Customer type]],"All")+K83)*(1+Calc_ROM_1[United Energy]))*(1+GST)),8),0,1))</f>
        <v>0</v>
      </c>
    </row>
    <row r="89" spans="2:11" ht="15.75" outlineLevel="1" x14ac:dyDescent="0.25">
      <c r="B89"/>
      <c r="C89" s="59" t="s">
        <v>74</v>
      </c>
    </row>
    <row r="90" spans="2:11" outlineLevel="1" x14ac:dyDescent="0.25">
      <c r="B90"/>
      <c r="C90" s="18" t="s">
        <v>359</v>
      </c>
      <c r="D90" s="18" t="s">
        <v>58</v>
      </c>
      <c r="E90" s="18" t="s">
        <v>69</v>
      </c>
      <c r="F90" s="18" t="s">
        <v>66</v>
      </c>
      <c r="G90" s="44">
        <f>SUMIFS(Calc_NetworkV_1[Ausnet],Calc_NetworkV_1[[Cost item]:[Cost item]],$C89,Calc_NetworkV_1[[Customer type]:[Customer type]],$F90)</f>
        <v>4.787851885391374E-2</v>
      </c>
      <c r="H90" s="44">
        <f>SUMIFS(Calc_NetworkV_1[Citipower],Calc_NetworkV_1[[Cost item]:[Cost item]],$C89,Calc_NetworkV_1[[Customer type]:[Customer type]],$F90)</f>
        <v>0.04</v>
      </c>
      <c r="I90" s="44">
        <f>SUMIFS(Calc_NetworkV_1[Jemena],Calc_NetworkV_1[[Cost item]:[Cost item]],$C89,Calc_NetworkV_1[[Customer type]:[Customer type]],$F90)</f>
        <v>4.8303303799999996E-2</v>
      </c>
      <c r="J90" s="44">
        <f>SUMIFS(Calc_NetworkV_1[Powercor],Calc_NetworkV_1[[Cost item]:[Cost item]],$C89,Calc_NetworkV_1[[Customer type]:[Customer type]],$F90)</f>
        <v>4.6300000000000001E-2</v>
      </c>
      <c r="K90" s="44">
        <f>SUMIFS(Calc_NetworkV_1[United Energy],Calc_NetworkV_1[[Cost item]:[Cost item]],$C89,Calc_NetworkV_1[[Customer type]:[Customer type]],$F90)</f>
        <v>4.3700000000000003E-2</v>
      </c>
    </row>
    <row r="91" spans="2:11" outlineLevel="1" x14ac:dyDescent="0.25">
      <c r="B91"/>
      <c r="C91" s="18" t="s">
        <v>363</v>
      </c>
      <c r="D91" s="18" t="s">
        <v>58</v>
      </c>
      <c r="E91" s="18" t="s">
        <v>69</v>
      </c>
      <c r="F91" s="18" t="s">
        <v>66</v>
      </c>
      <c r="G91" s="44">
        <f>SUMIFS(Calc_Variable_1[Ausnet],Calc_Variable_1[[Customer type]:[Customer type]],"All")+SUMIFS(Calc_Variable_1[Ausnet],Calc_Variable_1[[Customer type]:[Customer type]],$F91)</f>
        <v>0.16247093708553478</v>
      </c>
      <c r="H91" s="44">
        <f>SUMIFS(Calc_Variable_1[Citipower],Calc_Variable_1[[Customer type]:[Customer type]],"All")+SUMIFS(Calc_Variable_1[Citipower],Calc_Variable_1[[Customer type]:[Customer type]],$F91)</f>
        <v>0.13987658145999998</v>
      </c>
      <c r="I91" s="44">
        <f>SUMIFS(Calc_Variable_1[Jemena],Calc_Variable_1[[Customer type]:[Customer type]],"All")+SUMIFS(Calc_Variable_1[Jemena],Calc_Variable_1[[Customer type]:[Customer type]],$F91)</f>
        <v>0.15414722537910214</v>
      </c>
      <c r="J91" s="44">
        <f>SUMIFS(Calc_Variable_1[Powercor],Calc_Variable_1[[Customer type]:[Customer type]],"All")+SUMIFS(Calc_Variable_1[Powercor],Calc_Variable_1[[Customer type]:[Customer type]],$F91)</f>
        <v>0.15961532488385119</v>
      </c>
      <c r="K91" s="44">
        <f>SUMIFS(Calc_Variable_1[United Energy],Calc_Variable_1[[Customer type]:[Customer type]],"All")+SUMIFS(Calc_Variable_1[United Energy],Calc_Variable_1[[Customer type]:[Customer type]],$F91)</f>
        <v>0.15187204931842549</v>
      </c>
    </row>
    <row r="92" spans="2:11" outlineLevel="1" x14ac:dyDescent="0.25">
      <c r="B92"/>
      <c r="C92" s="18" t="s">
        <v>258</v>
      </c>
      <c r="D92" s="18" t="s">
        <v>58</v>
      </c>
      <c r="E92" s="18" t="s">
        <v>69</v>
      </c>
      <c r="F92" s="18" t="s">
        <v>66</v>
      </c>
      <c r="G92" s="52" cm="1">
        <f t="array" ref="G92">IF(G90=0,"-",
(G90+G91)*Calc_ROM_1[Ausnet])</f>
        <v>1.1779569532609118E-2</v>
      </c>
      <c r="H92" s="52" cm="1">
        <f t="array" ref="H92">IF(H90=0,"-",
(H90+H91)*Calc_ROM_1[Ausnet])</f>
        <v>1.0073088561760001E-2</v>
      </c>
      <c r="I92" s="52" cm="1">
        <f t="array" ref="I92">IF(I90=0,"-",
(I90+I91)*Calc_ROM_1[Ausnet])</f>
        <v>1.133722963402972E-2</v>
      </c>
      <c r="J92" s="52" cm="1">
        <f t="array" ref="J92">IF(J90=0,"-",
(J90+J91)*Calc_ROM_1[Ausnet])</f>
        <v>1.1531258193495666E-2</v>
      </c>
      <c r="K92" s="52" cm="1">
        <f t="array" ref="K92">IF(K90=0,"-",
(K90+K91)*Calc_ROM_1[Ausnet])</f>
        <v>1.0952034761831826E-2</v>
      </c>
    </row>
    <row r="93" spans="2:11" outlineLevel="1" x14ac:dyDescent="0.25">
      <c r="B93"/>
      <c r="C93" s="18" t="s">
        <v>360</v>
      </c>
      <c r="D93" s="18" t="s">
        <v>58</v>
      </c>
      <c r="E93" s="18" t="s">
        <v>69</v>
      </c>
      <c r="F93" s="18" t="s">
        <v>66</v>
      </c>
      <c r="G93" s="52">
        <f>IF(G90=0,"-",
(G90+G91+G92)*GST)</f>
        <v>2.2212902547205766E-2</v>
      </c>
      <c r="H93" s="52">
        <f>IF(H90=0,"-",
(H90+H91+H92)*GST)</f>
        <v>1.8994967002176E-2</v>
      </c>
      <c r="I93" s="52">
        <f>IF(I90=0,"-",
(I90+I91+I92)*GST)</f>
        <v>2.1378775881313188E-2</v>
      </c>
      <c r="J93" s="52">
        <f>IF(J90=0,"-",
(J90+J91+J92)*GST)</f>
        <v>2.1744658307734688E-2</v>
      </c>
      <c r="K93" s="52">
        <f>IF(K90=0,"-",
(K90+K91+K92)*GST)</f>
        <v>2.0652408408025732E-2</v>
      </c>
    </row>
    <row r="94" spans="2:11" outlineLevel="1" x14ac:dyDescent="0.25">
      <c r="B94"/>
      <c r="C94" s="18" t="str">
        <f>C89&amp;" charge"</f>
        <v>Off peak charge</v>
      </c>
      <c r="D94" s="18" t="s">
        <v>58</v>
      </c>
      <c r="E94" s="18" t="s">
        <v>69</v>
      </c>
      <c r="F94" s="18" t="s">
        <v>66</v>
      </c>
      <c r="G94" s="53">
        <f>IF(G90=0,"-",
SUM(G90:G93))</f>
        <v>0.24434192801926341</v>
      </c>
      <c r="H94" s="53">
        <f>IF(H90=0,"-",
SUM(H90:H93))</f>
        <v>0.20894463702393601</v>
      </c>
      <c r="I94" s="53">
        <f>IF(I90=0,"-",
SUM(I90:I93))</f>
        <v>0.23516653469444504</v>
      </c>
      <c r="J94" s="53">
        <f>IF(J90=0,"-",
SUM(J90:J93))</f>
        <v>0.23919124138508158</v>
      </c>
      <c r="K94" s="53">
        <f>IF(K90=0,"-",
SUM(K90:K93))</f>
        <v>0.22717649248828303</v>
      </c>
    </row>
    <row r="95" spans="2:11" outlineLevel="1" x14ac:dyDescent="0.25">
      <c r="B95"/>
      <c r="G95" s="81" cm="1">
        <f t="array" ref="G95">IF(G94="-","-",
IF(ROUND(G94,8)=ROUND((((
SUMIFS(Calc_Variable_1[Ausnet],Calc_Variable_1[[Customer type]:[Customer type]],Calc_Rates!$F94)+
SUMIFS(Calc_Variable_1[Ausnet],Calc_Variable_1[[Customer type]:[Customer type]],"All")+G90)*(1+Calc_ROM_1[Ausnet]))*(1+GST)),8),0,1))</f>
        <v>0</v>
      </c>
      <c r="H95" s="81" cm="1">
        <f t="array" ref="H95">IF(H94="-","-",
IF(ROUND(H94,8)=ROUND((((
SUMIFS(Calc_Variable_1[Citipower],Calc_Variable_1[[Customer type]:[Customer type]],Calc_Rates!$F94)+
SUMIFS(Calc_Variable_1[Citipower],Calc_Variable_1[[Customer type]:[Customer type]],"All")+H90)*(1+Calc_ROM_1[Citipower]))*(1+GST)),8),0,1))</f>
        <v>0</v>
      </c>
      <c r="I95" s="81" cm="1">
        <f t="array" ref="I95">IF(I94="-","-",
IF(ROUND(I94,8)=ROUND((((
SUMIFS(Calc_Variable_1[Jemena],Calc_Variable_1[[Customer type]:[Customer type]],Calc_Rates!$F94)+
SUMIFS(Calc_Variable_1[Jemena],Calc_Variable_1[[Customer type]:[Customer type]],"All")+I90)*(1+Calc_ROM_1[Jemena]))*(1+GST)),8),0,1))</f>
        <v>0</v>
      </c>
      <c r="J95" s="81" cm="1">
        <f t="array" ref="J95">IF(J94="-","-",
IF(ROUND(J94,8)=ROUND((((
SUMIFS(Calc_Variable_1[Powercor],Calc_Variable_1[[Customer type]:[Customer type]],Calc_Rates!$F94)+
SUMIFS(Calc_Variable_1[Powercor],Calc_Variable_1[[Customer type]:[Customer type]],"All")+J90)*(1+Calc_ROM_1[Powercor]))*(1+GST)),8),0,1))</f>
        <v>0</v>
      </c>
      <c r="K95" s="81" cm="1">
        <f t="array" ref="K95">IF(K94="-","-",
IF(ROUND(K94,8)=ROUND((((
SUMIFS(Calc_Variable_1[United Energy],Calc_Variable_1[[Customer type]:[Customer type]],Calc_Rates!$F94)+
SUMIFS(Calc_Variable_1[United Energy],Calc_Variable_1[[Customer type]:[Customer type]],"All")+K90)*(1+Calc_ROM_1[United Energy]))*(1+GST)),8),0,1))</f>
        <v>0</v>
      </c>
    </row>
    <row r="96" spans="2:11" ht="15.75" outlineLevel="1" x14ac:dyDescent="0.25">
      <c r="B96"/>
      <c r="C96" s="59" t="s">
        <v>75</v>
      </c>
    </row>
    <row r="97" spans="2:11" outlineLevel="1" x14ac:dyDescent="0.25">
      <c r="B97"/>
      <c r="C97" s="18" t="s">
        <v>359</v>
      </c>
      <c r="D97" s="18" t="s">
        <v>58</v>
      </c>
      <c r="E97" s="18" t="s">
        <v>69</v>
      </c>
      <c r="F97" s="18" t="s">
        <v>66</v>
      </c>
      <c r="G97" s="44">
        <f>SUMIFS(Calc_NetworkV_1[Ausnet],Calc_NetworkV_1[[Cost item]:[Cost item]],$C96,Calc_NetworkV_1[[Customer type]:[Customer type]],$F97)</f>
        <v>4.787851885391374E-2</v>
      </c>
      <c r="H97" s="44">
        <f>SUMIFS(Calc_NetworkV_1[Citipower],Calc_NetworkV_1[[Cost item]:[Cost item]],$C96,Calc_NetworkV_1[[Customer type]:[Customer type]],$F97)</f>
        <v>2.41E-2</v>
      </c>
      <c r="I97" s="44">
        <f>SUMIFS(Calc_NetworkV_1[Jemena],Calc_NetworkV_1[[Cost item]:[Cost item]],$C96,Calc_NetworkV_1[[Customer type]:[Customer type]],$F97)</f>
        <v>4.09174993E-2</v>
      </c>
      <c r="J97" s="44">
        <f>SUMIFS(Calc_NetworkV_1[Powercor],Calc_NetworkV_1[[Cost item]:[Cost item]],$C96,Calc_NetworkV_1[[Customer type]:[Customer type]],$F97)</f>
        <v>2.6600000000000002E-2</v>
      </c>
      <c r="K97" s="44">
        <f>SUMIFS(Calc_NetworkV_1[United Energy],Calc_NetworkV_1[[Cost item]:[Cost item]],$C96,Calc_NetworkV_1[[Customer type]:[Customer type]],$F97)</f>
        <v>2.5600000000000001E-2</v>
      </c>
    </row>
    <row r="98" spans="2:11" outlineLevel="1" x14ac:dyDescent="0.25">
      <c r="B98"/>
      <c r="C98" s="18" t="s">
        <v>363</v>
      </c>
      <c r="D98" s="18" t="s">
        <v>58</v>
      </c>
      <c r="E98" s="18" t="s">
        <v>69</v>
      </c>
      <c r="F98" s="18" t="s">
        <v>66</v>
      </c>
      <c r="G98" s="44">
        <f>SUMIFS(Calc_Variable_1[Ausnet],Calc_Variable_1[[Customer type]:[Customer type]],"All")+SUMIFS(Calc_Variable_1[Ausnet],Calc_Variable_1[[Customer type]:[Customer type]],$F98)</f>
        <v>0.16247093708553478</v>
      </c>
      <c r="H98" s="44">
        <f>SUMIFS(Calc_Variable_1[Citipower],Calc_Variable_1[[Customer type]:[Customer type]],"All")+SUMIFS(Calc_Variable_1[Citipower],Calc_Variable_1[[Customer type]:[Customer type]],$F98)</f>
        <v>0.13987658145999998</v>
      </c>
      <c r="I98" s="44">
        <f>SUMIFS(Calc_Variable_1[Jemena],Calc_Variable_1[[Customer type]:[Customer type]],"All")+SUMIFS(Calc_Variable_1[Jemena],Calc_Variable_1[[Customer type]:[Customer type]],$F98)</f>
        <v>0.15414722537910214</v>
      </c>
      <c r="J98" s="44">
        <f>SUMIFS(Calc_Variable_1[Powercor],Calc_Variable_1[[Customer type]:[Customer type]],"All")+SUMIFS(Calc_Variable_1[Powercor],Calc_Variable_1[[Customer type]:[Customer type]],$F98)</f>
        <v>0.15961532488385119</v>
      </c>
      <c r="K98" s="44">
        <f>SUMIFS(Calc_Variable_1[United Energy],Calc_Variable_1[[Customer type]:[Customer type]],"All")+SUMIFS(Calc_Variable_1[United Energy],Calc_Variable_1[[Customer type]:[Customer type]],$F98)</f>
        <v>0.15187204931842549</v>
      </c>
    </row>
    <row r="99" spans="2:11" outlineLevel="1" x14ac:dyDescent="0.25">
      <c r="B99"/>
      <c r="C99" s="18" t="s">
        <v>258</v>
      </c>
      <c r="D99" s="18" t="s">
        <v>58</v>
      </c>
      <c r="E99" s="18" t="s">
        <v>69</v>
      </c>
      <c r="F99" s="18" t="s">
        <v>66</v>
      </c>
      <c r="G99" s="52" cm="1">
        <f t="array" ref="G99">IF(G97=0,"-",
(G97+G98)*Calc_ROM_1[Ausnet])</f>
        <v>1.1779569532609118E-2</v>
      </c>
      <c r="H99" s="52" cm="1">
        <f t="array" ref="H99">IF(H97=0,"-",
(H97+H98)*Calc_ROM_1[Ausnet])</f>
        <v>9.1826885617599992E-3</v>
      </c>
      <c r="I99" s="52" cm="1">
        <f t="array" ref="I99">IF(I97=0,"-",
(I97+I98)*Calc_ROM_1[Ausnet])</f>
        <v>1.0923624582029719E-2</v>
      </c>
      <c r="J99" s="52" cm="1">
        <f t="array" ref="J99">IF(J97=0,"-",
(J97+J98)*Calc_ROM_1[Ausnet])</f>
        <v>1.0428058193495668E-2</v>
      </c>
      <c r="K99" s="52" cm="1">
        <f t="array" ref="K99">IF(K97=0,"-",
(K97+K98)*Calc_ROM_1[Ausnet])</f>
        <v>9.938434761831828E-3</v>
      </c>
    </row>
    <row r="100" spans="2:11" outlineLevel="1" x14ac:dyDescent="0.25">
      <c r="B100"/>
      <c r="C100" s="18" t="s">
        <v>360</v>
      </c>
      <c r="D100" s="18" t="s">
        <v>58</v>
      </c>
      <c r="E100" s="18" t="s">
        <v>69</v>
      </c>
      <c r="F100" s="18" t="s">
        <v>66</v>
      </c>
      <c r="G100" s="52">
        <f>IF(G97=0,"-",
(G97+G98+G99)*GST)</f>
        <v>2.2212902547205766E-2</v>
      </c>
      <c r="H100" s="52">
        <f>IF(H97=0,"-",
(H97+H98+H99)*GST)</f>
        <v>1.7315927002176001E-2</v>
      </c>
      <c r="I100" s="52">
        <f>IF(I97=0,"-",
(I97+I98+I99)*GST)</f>
        <v>2.0598834926113186E-2</v>
      </c>
      <c r="J100" s="52">
        <f>IF(J97=0,"-",
(J97+J98+J99)*GST)</f>
        <v>1.9664338307734688E-2</v>
      </c>
      <c r="K100" s="52">
        <f>IF(K97=0,"-",
(K97+K98+K99)*GST)</f>
        <v>1.8741048408025734E-2</v>
      </c>
    </row>
    <row r="101" spans="2:11" outlineLevel="1" x14ac:dyDescent="0.25">
      <c r="B101"/>
      <c r="C101" s="18" t="str">
        <f>C96&amp;" charge"</f>
        <v>Controlled load charge</v>
      </c>
      <c r="D101" s="18" t="s">
        <v>58</v>
      </c>
      <c r="E101" s="18" t="s">
        <v>69</v>
      </c>
      <c r="F101" s="18" t="s">
        <v>66</v>
      </c>
      <c r="G101" s="53">
        <f>IF(G97=0,"-",
SUM(G97:G100))</f>
        <v>0.24434192801926341</v>
      </c>
      <c r="H101" s="53">
        <f>IF(H97=0,"-",
SUM(H97:H100))</f>
        <v>0.19047519702393598</v>
      </c>
      <c r="I101" s="53">
        <f>IF(I97=0,"-",
SUM(I97:I100))</f>
        <v>0.22658718418724505</v>
      </c>
      <c r="J101" s="53">
        <f>IF(J97=0,"-",
SUM(J97:J100))</f>
        <v>0.21630772138508153</v>
      </c>
      <c r="K101" s="53">
        <f>IF(K97=0,"-",
SUM(K97:K100))</f>
        <v>0.20615153248828305</v>
      </c>
    </row>
    <row r="102" spans="2:11" outlineLevel="1" x14ac:dyDescent="0.25">
      <c r="B102"/>
      <c r="G102" s="81" cm="1">
        <f t="array" ref="G102">IF(G101="-","-",
IF(ROUND(G101,8)=ROUND((((
SUMIFS(Calc_Variable_1[Ausnet],Calc_Variable_1[[Customer type]:[Customer type]],Calc_Rates!$F101)+
SUMIFS(Calc_Variable_1[Ausnet],Calc_Variable_1[[Customer type]:[Customer type]],"All")+G97)*(1+Calc_ROM_1[Ausnet]))*(1+GST)),8),0,1))</f>
        <v>0</v>
      </c>
      <c r="H102" s="81" cm="1">
        <f t="array" ref="H102">IF(H101="-","-",
IF(ROUND(H101,8)=ROUND((((
SUMIFS(Calc_Variable_1[Citipower],Calc_Variable_1[[Customer type]:[Customer type]],Calc_Rates!$F101)+
SUMIFS(Calc_Variable_1[Citipower],Calc_Variable_1[[Customer type]:[Customer type]],"All")+H97)*(1+Calc_ROM_1[Citipower]))*(1+GST)),8),0,1))</f>
        <v>0</v>
      </c>
      <c r="I102" s="81" cm="1">
        <f t="array" ref="I102">IF(I101="-","-",
IF(ROUND(I101,8)=ROUND((((
SUMIFS(Calc_Variable_1[Jemena],Calc_Variable_1[[Customer type]:[Customer type]],Calc_Rates!$F101)+
SUMIFS(Calc_Variable_1[Jemena],Calc_Variable_1[[Customer type]:[Customer type]],"All")+I97)*(1+Calc_ROM_1[Jemena]))*(1+GST)),8),0,1))</f>
        <v>0</v>
      </c>
      <c r="J102" s="81" cm="1">
        <f t="array" ref="J102">IF(J101="-","-",
IF(ROUND(J101,8)=ROUND((((
SUMIFS(Calc_Variable_1[Powercor],Calc_Variable_1[[Customer type]:[Customer type]],Calc_Rates!$F101)+
SUMIFS(Calc_Variable_1[Powercor],Calc_Variable_1[[Customer type]:[Customer type]],"All")+J97)*(1+Calc_ROM_1[Powercor]))*(1+GST)),8),0,1))</f>
        <v>0</v>
      </c>
      <c r="K102" s="81" cm="1">
        <f t="array" ref="K102">IF(K101="-","-",
IF(ROUND(K101,8)=ROUND((((
SUMIFS(Calc_Variable_1[United Energy],Calc_Variable_1[[Customer type]:[Customer type]],Calc_Rates!$F101)+
SUMIFS(Calc_Variable_1[United Energy],Calc_Variable_1[[Customer type]:[Customer type]],"All")+K97)*(1+Calc_ROM_1[United Energy]))*(1+GST)),8),0,1))</f>
        <v>0</v>
      </c>
    </row>
    <row r="103" spans="2:11" ht="15.75" x14ac:dyDescent="0.25">
      <c r="B103"/>
      <c r="C103" s="24" t="s">
        <v>370</v>
      </c>
    </row>
    <row r="104" spans="2:11" ht="15.75" outlineLevel="1" x14ac:dyDescent="0.25">
      <c r="B104"/>
      <c r="C104" s="1" t="s">
        <v>368</v>
      </c>
    </row>
    <row r="105" spans="2:11" ht="15.75" outlineLevel="1" x14ac:dyDescent="0.25">
      <c r="B105"/>
      <c r="C105" s="59" t="s">
        <v>68</v>
      </c>
    </row>
    <row r="106" spans="2:11" outlineLevel="1" x14ac:dyDescent="0.25">
      <c r="B106"/>
      <c r="C106" s="18" t="s">
        <v>359</v>
      </c>
      <c r="D106" s="18" t="s">
        <v>58</v>
      </c>
      <c r="E106" s="18" t="s">
        <v>69</v>
      </c>
      <c r="F106" s="18" t="s">
        <v>67</v>
      </c>
      <c r="G106" s="44">
        <f>SUMIFS(Calc_NetworkV_1[Ausnet],Calc_NetworkV_1[[Cost item]:[Cost item]],$C105,Calc_NetworkV_1[[Customer type]:[Customer type]],$F106)</f>
        <v>0.19387499999999999</v>
      </c>
      <c r="H106" s="44">
        <f>SUMIFS(Calc_NetworkV_1[Citipower],Calc_NetworkV_1[[Cost item]:[Cost item]],$C105,Calc_NetworkV_1[[Customer type]:[Customer type]],$F106)</f>
        <v>0</v>
      </c>
      <c r="I106" s="44">
        <f>SUMIFS(Calc_NetworkV_1[Jemena],Calc_NetworkV_1[[Cost item]:[Cost item]],$C105,Calc_NetworkV_1[[Customer type]:[Customer type]],$F106)</f>
        <v>0</v>
      </c>
      <c r="J106" s="44">
        <f>SUMIFS(Calc_NetworkV_1[Powercor],Calc_NetworkV_1[[Cost item]:[Cost item]],$C105,Calc_NetworkV_1[[Customer type]:[Customer type]],$F106)</f>
        <v>0</v>
      </c>
      <c r="K106" s="44">
        <f>SUMIFS(Calc_NetworkV_1[United Energy],Calc_NetworkV_1[[Cost item]:[Cost item]],$C105,Calc_NetworkV_1[[Customer type]:[Customer type]],$F106)</f>
        <v>0</v>
      </c>
    </row>
    <row r="107" spans="2:11" outlineLevel="1" x14ac:dyDescent="0.25">
      <c r="B107"/>
      <c r="C107" s="18" t="s">
        <v>363</v>
      </c>
      <c r="D107" s="18" t="s">
        <v>58</v>
      </c>
      <c r="E107" s="18" t="s">
        <v>69</v>
      </c>
      <c r="F107" s="18" t="s">
        <v>67</v>
      </c>
      <c r="G107" s="44">
        <f>SUMIFS(Calc_Variable_1[Ausnet],Calc_Variable_1[[Customer type]:[Customer type]],"All")+SUMIFS(Calc_Variable_1[Ausnet],Calc_Variable_1[[Customer type]:[Customer type]],$F107)</f>
        <v>0.13732147532853481</v>
      </c>
      <c r="H107" s="44">
        <f>SUMIFS(Calc_Variable_1[Citipower],Calc_Variable_1[[Customer type]:[Customer type]],"All")+SUMIFS(Calc_Variable_1[Citipower],Calc_Variable_1[[Customer type]:[Customer type]],$F107)</f>
        <v>0.12881003146</v>
      </c>
      <c r="I107" s="44">
        <f>SUMIFS(Calc_Variable_1[Jemena],Calc_Variable_1[[Customer type]:[Customer type]],"All")+SUMIFS(Calc_Variable_1[Jemena],Calc_Variable_1[[Customer type]:[Customer type]],$F107)</f>
        <v>0.13476686613630215</v>
      </c>
      <c r="J107" s="44">
        <f>SUMIFS(Calc_Variable_1[Powercor],Calc_Variable_1[[Customer type]:[Customer type]],"All")+SUMIFS(Calc_Variable_1[Powercor],Calc_Variable_1[[Customer type]:[Customer type]],$F107)</f>
        <v>0.1336277541838512</v>
      </c>
      <c r="K107" s="44">
        <f>SUMIFS(Calc_Variable_1[United Energy],Calc_Variable_1[[Customer type]:[Customer type]],"All")+SUMIFS(Calc_Variable_1[United Energy],Calc_Variable_1[[Customer type]:[Customer type]],$F107)</f>
        <v>0.13418927984152548</v>
      </c>
    </row>
    <row r="108" spans="2:11" outlineLevel="1" x14ac:dyDescent="0.25">
      <c r="B108"/>
      <c r="C108" s="18" t="s">
        <v>258</v>
      </c>
      <c r="D108" s="18" t="s">
        <v>58</v>
      </c>
      <c r="E108" s="18" t="s">
        <v>69</v>
      </c>
      <c r="F108" s="18" t="s">
        <v>67</v>
      </c>
      <c r="G108" s="52" cm="1">
        <f t="array" ref="G108">IF(G106=0,"-",
(G106+G107)*Calc_ROM_1[Ausnet])</f>
        <v>1.8547002618397951E-2</v>
      </c>
      <c r="H108" s="52" t="str" cm="1">
        <f t="array" ref="H108">IF(H106=0,"-",
(H106+H107)*Calc_ROM_1[Ausnet])</f>
        <v>-</v>
      </c>
      <c r="I108" s="52" t="str" cm="1">
        <f t="array" ref="I108">IF(I106=0,"-",
(I106+I107)*Calc_ROM_1[Ausnet])</f>
        <v>-</v>
      </c>
      <c r="J108" s="52" t="str" cm="1">
        <f t="array" ref="J108">IF(J106=0,"-",
(J106+J107)*Calc_ROM_1[Ausnet])</f>
        <v>-</v>
      </c>
      <c r="K108" s="52" t="str" cm="1">
        <f t="array" ref="K108">IF(K106=0,"-",
(K106+K107)*Calc_ROM_1[Ausnet])</f>
        <v>-</v>
      </c>
    </row>
    <row r="109" spans="2:11" outlineLevel="1" x14ac:dyDescent="0.25">
      <c r="B109"/>
      <c r="C109" s="18" t="s">
        <v>360</v>
      </c>
      <c r="D109" s="18" t="s">
        <v>58</v>
      </c>
      <c r="E109" s="18" t="s">
        <v>69</v>
      </c>
      <c r="F109" s="18" t="s">
        <v>67</v>
      </c>
      <c r="G109" s="52">
        <f>IF(G106=0,"-",
(G106+G107+G108)*GST)</f>
        <v>3.4974347794693272E-2</v>
      </c>
      <c r="H109" s="52" t="str">
        <f>IF(H106=0,"-",
(H106+H107+H108)*GST)</f>
        <v>-</v>
      </c>
      <c r="I109" s="52" t="str">
        <f>IF(I106=0,"-",
(I106+I107+I108)*GST)</f>
        <v>-</v>
      </c>
      <c r="J109" s="52" t="str">
        <f>IF(J106=0,"-",
(J106+J107+J108)*GST)</f>
        <v>-</v>
      </c>
      <c r="K109" s="52" t="str">
        <f>IF(K106=0,"-",
(K106+K107+K108)*GST)</f>
        <v>-</v>
      </c>
    </row>
    <row r="110" spans="2:11" outlineLevel="1" x14ac:dyDescent="0.25">
      <c r="B110"/>
      <c r="C110" s="18" t="str">
        <f>C105&amp;" charge"</f>
        <v>Block 1 charge</v>
      </c>
      <c r="D110" s="18" t="s">
        <v>58</v>
      </c>
      <c r="E110" s="18" t="s">
        <v>69</v>
      </c>
      <c r="F110" s="18" t="s">
        <v>67</v>
      </c>
      <c r="G110" s="53">
        <f>IF(G106=0,"-",
SUM(G106:G109))</f>
        <v>0.384717825741626</v>
      </c>
      <c r="H110" s="53" t="str">
        <f>IF(H106=0,"-",
SUM(H106:H109))</f>
        <v>-</v>
      </c>
      <c r="I110" s="53" t="str">
        <f>IF(I106=0,"-",
SUM(I106:I109))</f>
        <v>-</v>
      </c>
      <c r="J110" s="53" t="str">
        <f>IF(J106=0,"-",
SUM(J106:J109))</f>
        <v>-</v>
      </c>
      <c r="K110" s="53" t="str">
        <f>IF(K106=0,"-",
SUM(K106:K109))</f>
        <v>-</v>
      </c>
    </row>
    <row r="111" spans="2:11" outlineLevel="1" x14ac:dyDescent="0.25">
      <c r="B111"/>
      <c r="G111" s="81" cm="1">
        <f t="array" ref="G111">IF(G110="-","-",
IF(ROUND(G110,8)=ROUND((((
SUMIFS(Calc_Variable_1[Ausnet],Calc_Variable_1[[Customer type]:[Customer type]],Calc_Rates!$F110)+
SUMIFS(Calc_Variable_1[Ausnet],Calc_Variable_1[[Customer type]:[Customer type]],"All")+G106)*(1+Calc_ROM_1[Ausnet]))*(1+GST)),8),0,1))</f>
        <v>0</v>
      </c>
      <c r="H111" s="81" t="str" cm="1">
        <f t="array" ref="H111">IF(H110="-","-",
IF(ROUND(H110,8)=ROUND((((
SUMIFS(Calc_Variable_1[Citipower],Calc_Variable_1[[Customer type]:[Customer type]],Calc_Rates!$F110)+
SUMIFS(Calc_Variable_1[Citipower],Calc_Variable_1[[Customer type]:[Customer type]],"All")+H106)*(1+Calc_ROM_1[Citipower]))*(1+GST)),8),0,1))</f>
        <v>-</v>
      </c>
      <c r="I111" s="81" t="str" cm="1">
        <f t="array" ref="I111">IF(I110="-","-",
IF(ROUND(I110,8)=ROUND((((
SUMIFS(Calc_Variable_1[Jemena],Calc_Variable_1[[Customer type]:[Customer type]],Calc_Rates!$F110)+
SUMIFS(Calc_Variable_1[Jemena],Calc_Variable_1[[Customer type]:[Customer type]],"All")+I106)*(1+Calc_ROM_1[Jemena]))*(1+GST)),8),0,1))</f>
        <v>-</v>
      </c>
      <c r="J111" s="81" t="str" cm="1">
        <f t="array" ref="J111">IF(J110="-","-",
IF(ROUND(J110,8)=ROUND((((
SUMIFS(Calc_Variable_1[Powercor],Calc_Variable_1[[Customer type]:[Customer type]],Calc_Rates!$F110)+
SUMIFS(Calc_Variable_1[Powercor],Calc_Variable_1[[Customer type]:[Customer type]],"All")+J106)*(1+Calc_ROM_1[Powercor]))*(1+GST)),8),0,1))</f>
        <v>-</v>
      </c>
      <c r="K111" s="81" t="str" cm="1">
        <f t="array" ref="K111">IF(K110="-","-",
IF(ROUND(K110,8)=ROUND((((
SUMIFS(Calc_Variable_1[United Energy],Calc_Variable_1[[Customer type]:[Customer type]],Calc_Rates!$F110)+
SUMIFS(Calc_Variable_1[United Energy],Calc_Variable_1[[Customer type]:[Customer type]],"All")+K106)*(1+Calc_ROM_1[United Energy]))*(1+GST)),8),0,1))</f>
        <v>-</v>
      </c>
    </row>
    <row r="112" spans="2:11" ht="15.75" outlineLevel="1" x14ac:dyDescent="0.25">
      <c r="B112"/>
      <c r="C112" s="59" t="s">
        <v>70</v>
      </c>
    </row>
    <row r="113" spans="2:11" outlineLevel="1" x14ac:dyDescent="0.25">
      <c r="B113"/>
      <c r="C113" s="18" t="s">
        <v>359</v>
      </c>
      <c r="D113" s="18" t="s">
        <v>58</v>
      </c>
      <c r="E113" s="18" t="s">
        <v>69</v>
      </c>
      <c r="F113" s="18" t="s">
        <v>67</v>
      </c>
      <c r="G113" s="44">
        <f>SUMIFS(Calc_NetworkV_1[Ausnet],Calc_NetworkV_1[[Cost item]:[Cost item]],$C112,Calc_NetworkV_1[[Customer type]:[Customer type]],$F113)</f>
        <v>0.203847</v>
      </c>
      <c r="H113" s="44">
        <f>SUMIFS(Calc_NetworkV_1[Citipower],Calc_NetworkV_1[[Cost item]:[Cost item]],$C112,Calc_NetworkV_1[[Customer type]:[Customer type]],$F113)</f>
        <v>0</v>
      </c>
      <c r="I113" s="44">
        <f>SUMIFS(Calc_NetworkV_1[Jemena],Calc_NetworkV_1[[Cost item]:[Cost item]],$C112,Calc_NetworkV_1[[Customer type]:[Customer type]],$F113)</f>
        <v>0</v>
      </c>
      <c r="J113" s="44">
        <f>SUMIFS(Calc_NetworkV_1[Powercor],Calc_NetworkV_1[[Cost item]:[Cost item]],$C112,Calc_NetworkV_1[[Customer type]:[Customer type]],$F113)</f>
        <v>0</v>
      </c>
      <c r="K113" s="44">
        <f>SUMIFS(Calc_NetworkV_1[United Energy],Calc_NetworkV_1[[Cost item]:[Cost item]],$C112,Calc_NetworkV_1[[Customer type]:[Customer type]],$F113)</f>
        <v>0</v>
      </c>
    </row>
    <row r="114" spans="2:11" outlineLevel="1" x14ac:dyDescent="0.25">
      <c r="B114"/>
      <c r="C114" s="18" t="s">
        <v>363</v>
      </c>
      <c r="D114" s="18" t="s">
        <v>58</v>
      </c>
      <c r="E114" s="18" t="s">
        <v>69</v>
      </c>
      <c r="F114" s="18" t="s">
        <v>67</v>
      </c>
      <c r="G114" s="44">
        <f>SUMIFS(Calc_Variable_1[Ausnet],Calc_Variable_1[[Customer type]:[Customer type]],"All")+SUMIFS(Calc_Variable_1[Ausnet],Calc_Variable_1[[Customer type]:[Customer type]],$F114)</f>
        <v>0.13732147532853481</v>
      </c>
      <c r="H114" s="44">
        <f>SUMIFS(Calc_Variable_1[Citipower],Calc_Variable_1[[Customer type]:[Customer type]],"All")+SUMIFS(Calc_Variable_1[Citipower],Calc_Variable_1[[Customer type]:[Customer type]],$F114)</f>
        <v>0.12881003146</v>
      </c>
      <c r="I114" s="44">
        <f>SUMIFS(Calc_Variable_1[Jemena],Calc_Variable_1[[Customer type]:[Customer type]],"All")+SUMIFS(Calc_Variable_1[Jemena],Calc_Variable_1[[Customer type]:[Customer type]],$F114)</f>
        <v>0.13476686613630215</v>
      </c>
      <c r="J114" s="44">
        <f>SUMIFS(Calc_Variable_1[Powercor],Calc_Variable_1[[Customer type]:[Customer type]],"All")+SUMIFS(Calc_Variable_1[Powercor],Calc_Variable_1[[Customer type]:[Customer type]],$F114)</f>
        <v>0.1336277541838512</v>
      </c>
      <c r="K114" s="44">
        <f>SUMIFS(Calc_Variable_1[United Energy],Calc_Variable_1[[Customer type]:[Customer type]],"All")+SUMIFS(Calc_Variable_1[United Energy],Calc_Variable_1[[Customer type]:[Customer type]],$F114)</f>
        <v>0.13418927984152548</v>
      </c>
    </row>
    <row r="115" spans="2:11" outlineLevel="1" x14ac:dyDescent="0.25">
      <c r="B115"/>
      <c r="C115" s="18" t="s">
        <v>258</v>
      </c>
      <c r="D115" s="18" t="s">
        <v>58</v>
      </c>
      <c r="E115" s="18" t="s">
        <v>69</v>
      </c>
      <c r="F115" s="18" t="s">
        <v>67</v>
      </c>
      <c r="G115" s="52" cm="1">
        <f t="array" ref="G115">IF(G113=0,"-",
(G113+G114)*Calc_ROM_1[Ausnet])</f>
        <v>1.9105434618397948E-2</v>
      </c>
      <c r="H115" s="52" t="str" cm="1">
        <f t="array" ref="H115">IF(H113=0,"-",
(H113+H114)*Calc_ROM_1[Ausnet])</f>
        <v>-</v>
      </c>
      <c r="I115" s="52" t="str" cm="1">
        <f t="array" ref="I115">IF(I113=0,"-",
(I113+I114)*Calc_ROM_1[Ausnet])</f>
        <v>-</v>
      </c>
      <c r="J115" s="52" t="str" cm="1">
        <f t="array" ref="J115">IF(J113=0,"-",
(J113+J114)*Calc_ROM_1[Ausnet])</f>
        <v>-</v>
      </c>
      <c r="K115" s="52" t="str" cm="1">
        <f t="array" ref="K115">IF(K113=0,"-",
(K113+K114)*Calc_ROM_1[Ausnet])</f>
        <v>-</v>
      </c>
    </row>
    <row r="116" spans="2:11" outlineLevel="1" x14ac:dyDescent="0.25">
      <c r="B116"/>
      <c r="C116" s="18" t="s">
        <v>360</v>
      </c>
      <c r="D116" s="18" t="s">
        <v>58</v>
      </c>
      <c r="E116" s="18" t="s">
        <v>69</v>
      </c>
      <c r="F116" s="18" t="s">
        <v>67</v>
      </c>
      <c r="G116" s="52">
        <f>IF(G113=0,"-",
(G113+G114+G115)*GST)</f>
        <v>3.6027390994693279E-2</v>
      </c>
      <c r="H116" s="52" t="str">
        <f>IF(H113=0,"-",
(H113+H114+H115)*GST)</f>
        <v>-</v>
      </c>
      <c r="I116" s="52" t="str">
        <f>IF(I113=0,"-",
(I113+I114+I115)*GST)</f>
        <v>-</v>
      </c>
      <c r="J116" s="52" t="str">
        <f>IF(J113=0,"-",
(J113+J114+J115)*GST)</f>
        <v>-</v>
      </c>
      <c r="K116" s="52" t="str">
        <f>IF(K113=0,"-",
(K113+K114+K115)*GST)</f>
        <v>-</v>
      </c>
    </row>
    <row r="117" spans="2:11" outlineLevel="1" x14ac:dyDescent="0.25">
      <c r="B117"/>
      <c r="C117" s="18" t="str">
        <f>C112&amp;" charge"</f>
        <v>Balance charge</v>
      </c>
      <c r="D117" s="18" t="s">
        <v>58</v>
      </c>
      <c r="E117" s="18" t="s">
        <v>69</v>
      </c>
      <c r="F117" s="18" t="s">
        <v>67</v>
      </c>
      <c r="G117" s="53">
        <f>IF(G113=0,"-",
SUM(G113:G116))</f>
        <v>0.39630130094162602</v>
      </c>
      <c r="H117" s="53" t="str">
        <f>IF(H113=0,"-",
SUM(H113:H116))</f>
        <v>-</v>
      </c>
      <c r="I117" s="53" t="str">
        <f>IF(I113=0,"-",
SUM(I113:I116))</f>
        <v>-</v>
      </c>
      <c r="J117" s="53" t="str">
        <f>IF(J113=0,"-",
SUM(J113:J116))</f>
        <v>-</v>
      </c>
      <c r="K117" s="53" t="str">
        <f>IF(K113=0,"-",
SUM(K113:K116))</f>
        <v>-</v>
      </c>
    </row>
    <row r="118" spans="2:11" outlineLevel="1" x14ac:dyDescent="0.25">
      <c r="B118"/>
      <c r="G118" s="81" cm="1">
        <f t="array" ref="G118">IF(G117="-","-",
IF(ROUND(G117,8)=ROUND((((
SUMIFS(Calc_Variable_1[Ausnet],Calc_Variable_1[[Customer type]:[Customer type]],Calc_Rates!$F117)+
SUMIFS(Calc_Variable_1[Ausnet],Calc_Variable_1[[Customer type]:[Customer type]],"All")+G113)*(1+Calc_ROM_1[Ausnet]))*(1+GST)),8),0,1))</f>
        <v>0</v>
      </c>
      <c r="H118" s="81" t="str" cm="1">
        <f t="array" ref="H118">IF(H117="-","-",
IF(ROUND(H117,8)=ROUND((((
SUMIFS(Calc_Variable_1[Citipower],Calc_Variable_1[[Customer type]:[Customer type]],Calc_Rates!$F117)+
SUMIFS(Calc_Variable_1[Citipower],Calc_Variable_1[[Customer type]:[Customer type]],"All")+H113)*(1+Calc_ROM_1[Citipower]))*(1+GST)),8),0,1))</f>
        <v>-</v>
      </c>
      <c r="I118" s="81" t="str" cm="1">
        <f t="array" ref="I118">IF(I117="-","-",
IF(ROUND(I117,8)=ROUND((((
SUMIFS(Calc_Variable_1[Jemena],Calc_Variable_1[[Customer type]:[Customer type]],Calc_Rates!$F117)+
SUMIFS(Calc_Variable_1[Jemena],Calc_Variable_1[[Customer type]:[Customer type]],"All")+I113)*(1+Calc_ROM_1[Jemena]))*(1+GST)),8),0,1))</f>
        <v>-</v>
      </c>
      <c r="J118" s="81" t="str" cm="1">
        <f t="array" ref="J118">IF(J117="-","-",
IF(ROUND(J117,8)=ROUND((((
SUMIFS(Calc_Variable_1[Powercor],Calc_Variable_1[[Customer type]:[Customer type]],Calc_Rates!$F117)+
SUMIFS(Calc_Variable_1[Powercor],Calc_Variable_1[[Customer type]:[Customer type]],"All")+J113)*(1+Calc_ROM_1[Powercor]))*(1+GST)),8),0,1))</f>
        <v>-</v>
      </c>
      <c r="K118" s="81" t="str" cm="1">
        <f t="array" ref="K118">IF(K117="-","-",
IF(ROUND(K117,8)=ROUND((((
SUMIFS(Calc_Variable_1[United Energy],Calc_Variable_1[[Customer type]:[Customer type]],Calc_Rates!$F117)+
SUMIFS(Calc_Variable_1[United Energy],Calc_Variable_1[[Customer type]:[Customer type]],"All")+K113)*(1+Calc_ROM_1[United Energy]))*(1+GST)),8),0,1))</f>
        <v>-</v>
      </c>
    </row>
    <row r="119" spans="2:11" ht="15.75" outlineLevel="1" x14ac:dyDescent="0.25">
      <c r="B119"/>
      <c r="C119" s="59" t="s">
        <v>71</v>
      </c>
    </row>
    <row r="120" spans="2:11" outlineLevel="1" x14ac:dyDescent="0.25">
      <c r="B120"/>
      <c r="C120" s="18" t="s">
        <v>359</v>
      </c>
      <c r="D120" s="18" t="s">
        <v>58</v>
      </c>
      <c r="E120" s="18" t="s">
        <v>69</v>
      </c>
      <c r="F120" s="18" t="s">
        <v>67</v>
      </c>
      <c r="G120" s="44">
        <f>SUMIFS(Calc_NetworkV_1[Ausnet],Calc_NetworkV_1[[Cost item]:[Cost item]],$C119,Calc_NetworkV_1[[Customer type]:[Customer type]],$F120)</f>
        <v>0</v>
      </c>
      <c r="H120" s="44">
        <f>SUMIFS(Calc_NetworkV_1[Citipower],Calc_NetworkV_1[[Cost item]:[Cost item]],$C119,Calc_NetworkV_1[[Customer type]:[Customer type]],$F120)</f>
        <v>8.8800000000000004E-2</v>
      </c>
      <c r="I120" s="44">
        <f>SUMIFS(Calc_NetworkV_1[Jemena],Calc_NetworkV_1[[Cost item]:[Cost item]],$C119,Calc_NetworkV_1[[Customer type]:[Customer type]],$F120)</f>
        <v>0.13405337370000001</v>
      </c>
      <c r="J120" s="44">
        <f>SUMIFS(Calc_NetworkV_1[Powercor],Calc_NetworkV_1[[Cost item]:[Cost item]],$C119,Calc_NetworkV_1[[Customer type]:[Customer type]],$F120)</f>
        <v>0.10589999999999999</v>
      </c>
      <c r="K120" s="44">
        <f>SUMIFS(Calc_NetworkV_1[United Energy],Calc_NetworkV_1[[Cost item]:[Cost item]],$C119,Calc_NetworkV_1[[Customer type]:[Customer type]],$F120)</f>
        <v>9.8599999999999993E-2</v>
      </c>
    </row>
    <row r="121" spans="2:11" outlineLevel="1" x14ac:dyDescent="0.25">
      <c r="B121"/>
      <c r="C121" s="18" t="s">
        <v>363</v>
      </c>
      <c r="D121" s="18" t="s">
        <v>58</v>
      </c>
      <c r="E121" s="18" t="s">
        <v>69</v>
      </c>
      <c r="F121" s="18" t="s">
        <v>67</v>
      </c>
      <c r="G121" s="44">
        <f>SUMIFS(Calc_Variable_1[Ausnet],Calc_Variable_1[[Customer type]:[Customer type]],"All")+SUMIFS(Calc_Variable_1[Ausnet],Calc_Variable_1[[Customer type]:[Customer type]],$F121)</f>
        <v>0.13732147532853481</v>
      </c>
      <c r="H121" s="44">
        <f>SUMIFS(Calc_Variable_1[Citipower],Calc_Variable_1[[Customer type]:[Customer type]],"All")+SUMIFS(Calc_Variable_1[Citipower],Calc_Variable_1[[Customer type]:[Customer type]],$F121)</f>
        <v>0.12881003146</v>
      </c>
      <c r="I121" s="44">
        <f>SUMIFS(Calc_Variable_1[Jemena],Calc_Variable_1[[Customer type]:[Customer type]],"All")+SUMIFS(Calc_Variable_1[Jemena],Calc_Variable_1[[Customer type]:[Customer type]],$F121)</f>
        <v>0.13476686613630215</v>
      </c>
      <c r="J121" s="44">
        <f>SUMIFS(Calc_Variable_1[Powercor],Calc_Variable_1[[Customer type]:[Customer type]],"All")+SUMIFS(Calc_Variable_1[Powercor],Calc_Variable_1[[Customer type]:[Customer type]],$F121)</f>
        <v>0.1336277541838512</v>
      </c>
      <c r="K121" s="44">
        <f>SUMIFS(Calc_Variable_1[United Energy],Calc_Variable_1[[Customer type]:[Customer type]],"All")+SUMIFS(Calc_Variable_1[United Energy],Calc_Variable_1[[Customer type]:[Customer type]],$F121)</f>
        <v>0.13418927984152548</v>
      </c>
    </row>
    <row r="122" spans="2:11" outlineLevel="1" x14ac:dyDescent="0.25">
      <c r="B122"/>
      <c r="C122" s="18" t="s">
        <v>258</v>
      </c>
      <c r="D122" s="18" t="s">
        <v>58</v>
      </c>
      <c r="E122" s="18" t="s">
        <v>69</v>
      </c>
      <c r="F122" s="18" t="s">
        <v>67</v>
      </c>
      <c r="G122" s="52" t="str" cm="1">
        <f t="array" ref="G122">IF(G120=0,"-",
(G120+G121)*Calc_ROM_1[Ausnet])</f>
        <v>-</v>
      </c>
      <c r="H122" s="52" cm="1">
        <f t="array" ref="H122">IF(H120=0,"-",
(H120+H121)*Calc_ROM_1[Ausnet])</f>
        <v>1.2186161761760001E-2</v>
      </c>
      <c r="I122" s="52" cm="1">
        <f t="array" ref="I122">IF(I120=0,"-",
(I120+I121)*Calc_ROM_1[Ausnet])</f>
        <v>1.5053933430832922E-2</v>
      </c>
      <c r="J122" s="52" cm="1">
        <f t="array" ref="J122">IF(J120=0,"-",
(J120+J121)*Calc_ROM_1[Ausnet])</f>
        <v>1.3413554234295667E-2</v>
      </c>
      <c r="K122" s="52" cm="1">
        <f t="array" ref="K122">IF(K120=0,"-",
(K120+K121)*Calc_ROM_1[Ausnet])</f>
        <v>1.3036199671125426E-2</v>
      </c>
    </row>
    <row r="123" spans="2:11" outlineLevel="1" x14ac:dyDescent="0.25">
      <c r="B123"/>
      <c r="C123" s="18" t="s">
        <v>360</v>
      </c>
      <c r="D123" s="18" t="s">
        <v>58</v>
      </c>
      <c r="E123" s="18" t="s">
        <v>69</v>
      </c>
      <c r="F123" s="18" t="s">
        <v>67</v>
      </c>
      <c r="G123" s="52" t="str">
        <f>IF(G120=0,"-",
(G120+G121+G122)*GST)</f>
        <v>-</v>
      </c>
      <c r="H123" s="52">
        <f>IF(H120=0,"-",
(H120+H121+H122)*GST)</f>
        <v>2.2979619322176001E-2</v>
      </c>
      <c r="I123" s="52">
        <f>IF(I120=0,"-",
(I120+I121+I122)*GST)</f>
        <v>2.8387417326713512E-2</v>
      </c>
      <c r="J123" s="52">
        <f>IF(J120=0,"-",
(J120+J121+J122)*GST)</f>
        <v>2.5294130841814689E-2</v>
      </c>
      <c r="K123" s="52">
        <f>IF(K120=0,"-",
(K120+K121+K122)*GST)</f>
        <v>2.4582547951265091E-2</v>
      </c>
    </row>
    <row r="124" spans="2:11" outlineLevel="1" x14ac:dyDescent="0.25">
      <c r="B124"/>
      <c r="C124" s="18" t="str">
        <f>C119&amp;" charge"</f>
        <v>Single rate charge</v>
      </c>
      <c r="D124" s="18" t="s">
        <v>58</v>
      </c>
      <c r="E124" s="18" t="s">
        <v>69</v>
      </c>
      <c r="F124" s="18" t="s">
        <v>67</v>
      </c>
      <c r="G124" s="53" t="str">
        <f>IF(G120=0,"-",
SUM(G120:G123))</f>
        <v>-</v>
      </c>
      <c r="H124" s="53">
        <f>IF(H120=0,"-",
SUM(H120:H123))</f>
        <v>0.252775812543936</v>
      </c>
      <c r="I124" s="53">
        <f>IF(I120=0,"-",
SUM(I120:I123))</f>
        <v>0.31226159059384861</v>
      </c>
      <c r="J124" s="53">
        <f>IF(J120=0,"-",
SUM(J120:J123))</f>
        <v>0.27823543925996158</v>
      </c>
      <c r="K124" s="53">
        <f>IF(K120=0,"-",
SUM(K120:K123))</f>
        <v>0.27040802746391601</v>
      </c>
    </row>
    <row r="125" spans="2:11" outlineLevel="1" x14ac:dyDescent="0.25">
      <c r="B125"/>
      <c r="G125" s="81" t="str" cm="1">
        <f t="array" ref="G125">IF(G124="-","-",
IF(ROUND(G124,8)=ROUND((((
SUMIFS(Calc_Variable_1[Ausnet],Calc_Variable_1[[Customer type]:[Customer type]],Calc_Rates!$F124)+
SUMIFS(Calc_Variable_1[Ausnet],Calc_Variable_1[[Customer type]:[Customer type]],"All")+G120)*(1+Calc_ROM_1[Ausnet]))*(1+GST)),8),0,1))</f>
        <v>-</v>
      </c>
      <c r="H125" s="81" cm="1">
        <f t="array" ref="H125">IF(H124="-","-",
IF(ROUND(H124,8)=ROUND((((
SUMIFS(Calc_Variable_1[Citipower],Calc_Variable_1[[Customer type]:[Customer type]],Calc_Rates!$F124)+
SUMIFS(Calc_Variable_1[Citipower],Calc_Variable_1[[Customer type]:[Customer type]],"All")+H120)*(1+Calc_ROM_1[Citipower]))*(1+GST)),8),0,1))</f>
        <v>0</v>
      </c>
      <c r="I125" s="81" cm="1">
        <f t="array" ref="I125">IF(I124="-","-",
IF(ROUND(I124,8)=ROUND((((
SUMIFS(Calc_Variable_1[Jemena],Calc_Variable_1[[Customer type]:[Customer type]],Calc_Rates!$F124)+
SUMIFS(Calc_Variable_1[Jemena],Calc_Variable_1[[Customer type]:[Customer type]],"All")+I120)*(1+Calc_ROM_1[Jemena]))*(1+GST)),8),0,1))</f>
        <v>0</v>
      </c>
      <c r="J125" s="81" cm="1">
        <f t="array" ref="J125">IF(J124="-","-",
IF(ROUND(J124,8)=ROUND((((
SUMIFS(Calc_Variable_1[Powercor],Calc_Variable_1[[Customer type]:[Customer type]],Calc_Rates!$F124)+
SUMIFS(Calc_Variable_1[Powercor],Calc_Variable_1[[Customer type]:[Customer type]],"All")+J120)*(1+Calc_ROM_1[Powercor]))*(1+GST)),8),0,1))</f>
        <v>0</v>
      </c>
      <c r="K125" s="81" cm="1">
        <f t="array" ref="K125">IF(K124="-","-",
IF(ROUND(K124,8)=ROUND((((
SUMIFS(Calc_Variable_1[United Energy],Calc_Variable_1[[Customer type]:[Customer type]],Calc_Rates!$F124)+
SUMIFS(Calc_Variable_1[United Energy],Calc_Variable_1[[Customer type]:[Customer type]],"All")+K120)*(1+Calc_ROM_1[United Energy]))*(1+GST)),8),0,1))</f>
        <v>0</v>
      </c>
    </row>
    <row r="126" spans="2:11" ht="15.75" outlineLevel="1" x14ac:dyDescent="0.25">
      <c r="B126"/>
      <c r="C126" s="101" t="s">
        <v>369</v>
      </c>
    </row>
    <row r="127" spans="2:11" ht="15.75" outlineLevel="1" x14ac:dyDescent="0.25">
      <c r="B127"/>
      <c r="C127" s="59" t="s">
        <v>73</v>
      </c>
    </row>
    <row r="128" spans="2:11" outlineLevel="1" x14ac:dyDescent="0.25">
      <c r="B128"/>
      <c r="C128" s="18" t="s">
        <v>359</v>
      </c>
      <c r="D128" s="18" t="s">
        <v>58</v>
      </c>
      <c r="E128" s="18" t="s">
        <v>69</v>
      </c>
      <c r="F128" s="18" t="s">
        <v>67</v>
      </c>
      <c r="G128" s="44">
        <f>SUMIFS(Calc_NetworkV_1[Ausnet],Calc_NetworkV_1[[Cost item]:[Cost item]],$C127,Calc_NetworkV_1[[Customer type]:[Customer type]],$F128)</f>
        <v>0.20422266911355627</v>
      </c>
      <c r="H128" s="44">
        <f>SUMIFS(Calc_NetworkV_1[Citipower],Calc_NetworkV_1[[Cost item]:[Cost item]],$C127,Calc_NetworkV_1[[Customer type]:[Customer type]],$F128)</f>
        <v>0.14460000000000001</v>
      </c>
      <c r="I128" s="44">
        <f>SUMIFS(Calc_NetworkV_1[Jemena],Calc_NetworkV_1[[Cost item]:[Cost item]],$C127,Calc_NetworkV_1[[Customer type]:[Customer type]],$F128)</f>
        <v>0.17037500000000003</v>
      </c>
      <c r="J128" s="44">
        <f>SUMIFS(Calc_NetworkV_1[Powercor],Calc_NetworkV_1[[Cost item]:[Cost item]],$C127,Calc_NetworkV_1[[Customer type]:[Customer type]],$F128)</f>
        <v>0.18859999999999999</v>
      </c>
      <c r="K128" s="44">
        <f>SUMIFS(Calc_NetworkV_1[United Energy],Calc_NetworkV_1[[Cost item]:[Cost item]],$C127,Calc_NetworkV_1[[Customer type]:[Customer type]],$F128)</f>
        <v>0.1618</v>
      </c>
    </row>
    <row r="129" spans="1:11" outlineLevel="1" x14ac:dyDescent="0.25">
      <c r="B129"/>
      <c r="C129" s="18" t="s">
        <v>363</v>
      </c>
      <c r="D129" s="18" t="s">
        <v>58</v>
      </c>
      <c r="E129" s="18" t="s">
        <v>69</v>
      </c>
      <c r="F129" s="18" t="s">
        <v>67</v>
      </c>
      <c r="G129" s="44">
        <f>SUMIFS(Calc_Variable_1[Ausnet],Calc_Variable_1[[Customer type]:[Customer type]],"All")+SUMIFS(Calc_Variable_1[Ausnet],Calc_Variable_1[[Customer type]:[Customer type]],$F129)</f>
        <v>0.13732147532853481</v>
      </c>
      <c r="H129" s="44">
        <f>SUMIFS(Calc_Variable_1[Citipower],Calc_Variable_1[[Customer type]:[Customer type]],"All")+SUMIFS(Calc_Variable_1[Citipower],Calc_Variable_1[[Customer type]:[Customer type]],$F129)</f>
        <v>0.12881003146</v>
      </c>
      <c r="I129" s="44">
        <f>SUMIFS(Calc_Variable_1[Jemena],Calc_Variable_1[[Customer type]:[Customer type]],"All")+SUMIFS(Calc_Variable_1[Jemena],Calc_Variable_1[[Customer type]:[Customer type]],$F129)</f>
        <v>0.13476686613630215</v>
      </c>
      <c r="J129" s="44">
        <f>SUMIFS(Calc_Variable_1[Powercor],Calc_Variable_1[[Customer type]:[Customer type]],"All")+SUMIFS(Calc_Variable_1[Powercor],Calc_Variable_1[[Customer type]:[Customer type]],$F129)</f>
        <v>0.1336277541838512</v>
      </c>
      <c r="K129" s="44">
        <f>SUMIFS(Calc_Variable_1[United Energy],Calc_Variable_1[[Customer type]:[Customer type]],"All")+SUMIFS(Calc_Variable_1[United Energy],Calc_Variable_1[[Customer type]:[Customer type]],$F129)</f>
        <v>0.13418927984152548</v>
      </c>
    </row>
    <row r="130" spans="1:11" outlineLevel="1" x14ac:dyDescent="0.25">
      <c r="B130"/>
      <c r="C130" s="18" t="s">
        <v>258</v>
      </c>
      <c r="D130" s="18" t="s">
        <v>58</v>
      </c>
      <c r="E130" s="18" t="s">
        <v>69</v>
      </c>
      <c r="F130" s="18" t="s">
        <v>67</v>
      </c>
      <c r="G130" s="52" cm="1">
        <f t="array" ref="G130">IF(G128=0,"-",
(G128+G129)*Calc_ROM_1[Ausnet])</f>
        <v>1.9126472088757101E-2</v>
      </c>
      <c r="H130" s="52" cm="1">
        <f t="array" ref="H130">IF(H128=0,"-",
(H128+H129)*Calc_ROM_1[Ausnet])</f>
        <v>1.5310961761759998E-2</v>
      </c>
      <c r="I130" s="52" cm="1">
        <f t="array" ref="I130">IF(I128=0,"-",
(I128+I129)*Calc_ROM_1[Ausnet])</f>
        <v>1.7087944503632921E-2</v>
      </c>
      <c r="J130" s="52" cm="1">
        <f t="array" ref="J130">IF(J128=0,"-",
(J128+J129)*Calc_ROM_1[Ausnet])</f>
        <v>1.8044754234295666E-2</v>
      </c>
      <c r="K130" s="52" cm="1">
        <f t="array" ref="K130">IF(K128=0,"-",
(K128+K129)*Calc_ROM_1[Ausnet])</f>
        <v>1.6575399671125427E-2</v>
      </c>
    </row>
    <row r="131" spans="1:11" outlineLevel="1" x14ac:dyDescent="0.25">
      <c r="B131"/>
      <c r="C131" s="18" t="s">
        <v>360</v>
      </c>
      <c r="D131" s="18" t="s">
        <v>58</v>
      </c>
      <c r="E131" s="18" t="s">
        <v>69</v>
      </c>
      <c r="F131" s="18" t="s">
        <v>67</v>
      </c>
      <c r="G131" s="52">
        <f>IF(G128=0,"-",
(G128+G129+G130)*GST)</f>
        <v>3.606706165308482E-2</v>
      </c>
      <c r="H131" s="52">
        <f>IF(H128=0,"-",
(H128+H129+H130)*GST)</f>
        <v>2.8872099322175999E-2</v>
      </c>
      <c r="I131" s="52">
        <f>IF(I128=0,"-",
(I128+I129+I130)*GST)</f>
        <v>3.222298106399351E-2</v>
      </c>
      <c r="J131" s="52">
        <f>IF(J128=0,"-",
(J128+J129+J130)*GST)</f>
        <v>3.4027250841814689E-2</v>
      </c>
      <c r="K131" s="52">
        <f>IF(K128=0,"-",
(K128+K129+K130)*GST)</f>
        <v>3.1256467951265091E-2</v>
      </c>
    </row>
    <row r="132" spans="1:11" outlineLevel="1" x14ac:dyDescent="0.25">
      <c r="B132"/>
      <c r="C132" s="18" t="str">
        <f>C127&amp;" charge"</f>
        <v>Peak charge</v>
      </c>
      <c r="D132" s="18" t="s">
        <v>58</v>
      </c>
      <c r="E132" s="18" t="s">
        <v>69</v>
      </c>
      <c r="F132" s="18" t="s">
        <v>67</v>
      </c>
      <c r="G132" s="53">
        <f>IF(G128=0,"-",
SUM(G128:G131))</f>
        <v>0.39673767818393302</v>
      </c>
      <c r="H132" s="53">
        <f>IF(H128=0,"-",
SUM(H128:H131))</f>
        <v>0.31759309254393597</v>
      </c>
      <c r="I132" s="53">
        <f>IF(I128=0,"-",
SUM(I128:I131))</f>
        <v>0.35445279170392863</v>
      </c>
      <c r="J132" s="53">
        <f>IF(J128=0,"-",
SUM(J128:J131))</f>
        <v>0.37429975925996156</v>
      </c>
      <c r="K132" s="53">
        <f>IF(K128=0,"-",
SUM(K128:K131))</f>
        <v>0.34382114746391595</v>
      </c>
    </row>
    <row r="133" spans="1:11" outlineLevel="1" x14ac:dyDescent="0.25">
      <c r="B133"/>
      <c r="G133" s="81" cm="1">
        <f t="array" ref="G133">IF(G132="-","-",
IF(ROUND(G132,8)=ROUND((((
SUMIFS(Calc_Variable_1[Ausnet],Calc_Variable_1[[Customer type]:[Customer type]],Calc_Rates!$F132)+
SUMIFS(Calc_Variable_1[Ausnet],Calc_Variable_1[[Customer type]:[Customer type]],"All")+G128)*(1+Calc_ROM_1[Ausnet]))*(1+GST)),8),0,1))</f>
        <v>0</v>
      </c>
      <c r="H133" s="81" cm="1">
        <f t="array" ref="H133">IF(H132="-","-",
IF(ROUND(H132,8)=ROUND((((
SUMIFS(Calc_Variable_1[Citipower],Calc_Variable_1[[Customer type]:[Customer type]],Calc_Rates!$F132)+
SUMIFS(Calc_Variable_1[Citipower],Calc_Variable_1[[Customer type]:[Customer type]],"All")+H128)*(1+Calc_ROM_1[Citipower]))*(1+GST)),8),0,1))</f>
        <v>0</v>
      </c>
      <c r="I133" s="81" cm="1">
        <f t="array" ref="I133">IF(I132="-","-",
IF(ROUND(I132,8)=ROUND((((
SUMIFS(Calc_Variable_1[Jemena],Calc_Variable_1[[Customer type]:[Customer type]],Calc_Rates!$F132)+
SUMIFS(Calc_Variable_1[Jemena],Calc_Variable_1[[Customer type]:[Customer type]],"All")+I128)*(1+Calc_ROM_1[Jemena]))*(1+GST)),8),0,1))</f>
        <v>0</v>
      </c>
      <c r="J133" s="81" cm="1">
        <f t="array" ref="J133">IF(J132="-","-",
IF(ROUND(J132,8)=ROUND((((
SUMIFS(Calc_Variable_1[Powercor],Calc_Variable_1[[Customer type]:[Customer type]],Calc_Rates!$F132)+
SUMIFS(Calc_Variable_1[Powercor],Calc_Variable_1[[Customer type]:[Customer type]],"All")+J128)*(1+Calc_ROM_1[Powercor]))*(1+GST)),8),0,1))</f>
        <v>0</v>
      </c>
      <c r="K133" s="81" cm="1">
        <f t="array" ref="K133">IF(K132="-","-",
IF(ROUND(K132,8)=ROUND((((
SUMIFS(Calc_Variable_1[United Energy],Calc_Variable_1[[Customer type]:[Customer type]],Calc_Rates!$F132)+
SUMIFS(Calc_Variable_1[United Energy],Calc_Variable_1[[Customer type]:[Customer type]],"All")+K128)*(1+Calc_ROM_1[United Energy]))*(1+GST)),8),0,1))</f>
        <v>0</v>
      </c>
    </row>
    <row r="134" spans="1:11" ht="15.75" outlineLevel="1" x14ac:dyDescent="0.25">
      <c r="B134"/>
      <c r="C134" s="59" t="s">
        <v>74</v>
      </c>
    </row>
    <row r="135" spans="1:11" outlineLevel="1" x14ac:dyDescent="0.25">
      <c r="B135"/>
      <c r="C135" s="18" t="s">
        <v>359</v>
      </c>
      <c r="D135" s="18" t="s">
        <v>58</v>
      </c>
      <c r="E135" s="18" t="s">
        <v>69</v>
      </c>
      <c r="F135" s="18" t="s">
        <v>67</v>
      </c>
      <c r="G135" s="44">
        <f>SUMIFS(Calc_NetworkV_1[Ausnet],Calc_NetworkV_1[[Cost item]:[Cost item]],$C134,Calc_NetworkV_1[[Customer type]:[Customer type]],$F135)</f>
        <v>4.8104057633506642E-2</v>
      </c>
      <c r="H135" s="44">
        <f>SUMIFS(Calc_NetworkV_1[Citipower],Calc_NetworkV_1[[Cost item]:[Cost item]],$C134,Calc_NetworkV_1[[Customer type]:[Customer type]],$F135)</f>
        <v>3.2199999999999999E-2</v>
      </c>
      <c r="I135" s="44">
        <f>SUMIFS(Calc_NetworkV_1[Jemena],Calc_NetworkV_1[[Cost item]:[Cost item]],$C134,Calc_NetworkV_1[[Customer type]:[Customer type]],$F135)</f>
        <v>3.5708999999999998E-2</v>
      </c>
      <c r="J135" s="44">
        <f>SUMIFS(Calc_NetworkV_1[Powercor],Calc_NetworkV_1[[Cost item]:[Cost item]],$C134,Calc_NetworkV_1[[Customer type]:[Customer type]],$F135)</f>
        <v>4.1900000000000007E-2</v>
      </c>
      <c r="K135" s="44">
        <f>SUMIFS(Calc_NetworkV_1[United Energy],Calc_NetworkV_1[[Cost item]:[Cost item]],$C134,Calc_NetworkV_1[[Customer type]:[Customer type]],$F135)</f>
        <v>3.6000000000000004E-2</v>
      </c>
    </row>
    <row r="136" spans="1:11" outlineLevel="1" x14ac:dyDescent="0.25">
      <c r="B136"/>
      <c r="C136" s="18" t="s">
        <v>363</v>
      </c>
      <c r="D136" s="18" t="s">
        <v>58</v>
      </c>
      <c r="E136" s="18" t="s">
        <v>69</v>
      </c>
      <c r="F136" s="18" t="s">
        <v>67</v>
      </c>
      <c r="G136" s="44">
        <f>SUMIFS(Calc_Variable_1[Ausnet],Calc_Variable_1[[Customer type]:[Customer type]],"All")+SUMIFS(Calc_Variable_1[Ausnet],Calc_Variable_1[[Customer type]:[Customer type]],$F136)</f>
        <v>0.13732147532853481</v>
      </c>
      <c r="H136" s="44">
        <f>SUMIFS(Calc_Variable_1[Citipower],Calc_Variable_1[[Customer type]:[Customer type]],"All")+SUMIFS(Calc_Variable_1[Citipower],Calc_Variable_1[[Customer type]:[Customer type]],$F136)</f>
        <v>0.12881003146</v>
      </c>
      <c r="I136" s="44">
        <f>SUMIFS(Calc_Variable_1[Jemena],Calc_Variable_1[[Customer type]:[Customer type]],"All")+SUMIFS(Calc_Variable_1[Jemena],Calc_Variable_1[[Customer type]:[Customer type]],$F136)</f>
        <v>0.13476686613630215</v>
      </c>
      <c r="J136" s="44">
        <f>SUMIFS(Calc_Variable_1[Powercor],Calc_Variable_1[[Customer type]:[Customer type]],"All")+SUMIFS(Calc_Variable_1[Powercor],Calc_Variable_1[[Customer type]:[Customer type]],$F136)</f>
        <v>0.1336277541838512</v>
      </c>
      <c r="K136" s="44">
        <f>SUMIFS(Calc_Variable_1[United Energy],Calc_Variable_1[[Customer type]:[Customer type]],"All")+SUMIFS(Calc_Variable_1[United Energy],Calc_Variable_1[[Customer type]:[Customer type]],$F136)</f>
        <v>0.13418927984152548</v>
      </c>
    </row>
    <row r="137" spans="1:11" ht="15.75" outlineLevel="1" collapsed="1" x14ac:dyDescent="0.25">
      <c r="A137" s="1" t="s">
        <v>35</v>
      </c>
      <c r="C137" s="18" t="s">
        <v>258</v>
      </c>
      <c r="D137" s="18" t="s">
        <v>58</v>
      </c>
      <c r="E137" s="18" t="s">
        <v>69</v>
      </c>
      <c r="F137" s="18" t="s">
        <v>67</v>
      </c>
      <c r="G137" s="52" cm="1">
        <f t="array" ref="G137">IF(G135=0,"-",
(G135+G136)*Calc_ROM_1[Ausnet])</f>
        <v>1.0383829845874321E-2</v>
      </c>
      <c r="H137" s="52" cm="1">
        <f t="array" ref="H137">IF(H135=0,"-",
(H135+H136)*Calc_ROM_1[Ausnet])</f>
        <v>9.0165617617599999E-3</v>
      </c>
      <c r="I137" s="52" cm="1">
        <f t="array" ref="I137">IF(I135=0,"-",
(I135+I136)*Calc_ROM_1[Ausnet])</f>
        <v>9.5466485036329197E-3</v>
      </c>
      <c r="J137" s="52" cm="1">
        <f t="array" ref="J137">IF(J135=0,"-",
(J135+J136)*Calc_ROM_1[Ausnet])</f>
        <v>9.829554234295667E-3</v>
      </c>
      <c r="K137" s="52" cm="1">
        <f t="array" ref="K137">IF(K135=0,"-",
(K135+K136)*Calc_ROM_1[Ausnet])</f>
        <v>9.5305996711254268E-3</v>
      </c>
    </row>
    <row r="138" spans="1:11" outlineLevel="1" x14ac:dyDescent="0.25">
      <c r="C138" s="18" t="s">
        <v>360</v>
      </c>
      <c r="D138" s="18" t="s">
        <v>58</v>
      </c>
      <c r="E138" s="18" t="s">
        <v>69</v>
      </c>
      <c r="F138" s="18" t="s">
        <v>67</v>
      </c>
      <c r="G138" s="52">
        <f>IF(G135=0,"-",
(G135+G136+G137)*GST)</f>
        <v>1.9580936280791578E-2</v>
      </c>
      <c r="H138" s="52">
        <f>IF(H135=0,"-",
(H135+H136+H137)*GST)</f>
        <v>1.7002659322176001E-2</v>
      </c>
      <c r="I138" s="52">
        <f>IF(I135=0,"-",
(I135+I136+I137)*GST)</f>
        <v>1.8002251463993507E-2</v>
      </c>
      <c r="J138" s="52">
        <f>IF(J135=0,"-",
(J135+J136+J137)*GST)</f>
        <v>1.8535730841814684E-2</v>
      </c>
      <c r="K138" s="52">
        <f>IF(K135=0,"-",
(K135+K136+K137)*GST)</f>
        <v>1.7971987951265093E-2</v>
      </c>
    </row>
    <row r="139" spans="1:11" outlineLevel="1" x14ac:dyDescent="0.25">
      <c r="C139" s="18" t="str">
        <f>C134&amp;" charge"</f>
        <v>Off peak charge</v>
      </c>
      <c r="D139" s="18" t="s">
        <v>58</v>
      </c>
      <c r="E139" s="18" t="s">
        <v>69</v>
      </c>
      <c r="F139" s="18" t="s">
        <v>67</v>
      </c>
      <c r="G139" s="53">
        <f>IF(G135=0,"-",
SUM(G135:G138))</f>
        <v>0.21539029908870735</v>
      </c>
      <c r="H139" s="53">
        <f>IF(H135=0,"-",
SUM(H135:H138))</f>
        <v>0.18702925254393601</v>
      </c>
      <c r="I139" s="53">
        <f>IF(I135=0,"-",
SUM(I135:I138))</f>
        <v>0.19802476610392858</v>
      </c>
      <c r="J139" s="53">
        <f>IF(J135=0,"-",
SUM(J135:J138))</f>
        <v>0.20389303925996152</v>
      </c>
      <c r="K139" s="53">
        <f>IF(K135=0,"-",
SUM(K135:K138))</f>
        <v>0.19769186746391601</v>
      </c>
    </row>
    <row r="140" spans="1:11" outlineLevel="1" x14ac:dyDescent="0.25">
      <c r="G140" s="81" cm="1">
        <f t="array" ref="G140">IF(G139="-","-",
IF(ROUND(G139,8)=ROUND((((
SUMIFS(Calc_Variable_1[Ausnet],Calc_Variable_1[[Customer type]:[Customer type]],Calc_Rates!$F139)+
SUMIFS(Calc_Variable_1[Ausnet],Calc_Variable_1[[Customer type]:[Customer type]],"All")+G135)*(1+Calc_ROM_1[Ausnet]))*(1+GST)),8),0,1))</f>
        <v>0</v>
      </c>
      <c r="H140" s="81" cm="1">
        <f t="array" ref="H140">IF(H139="-","-",
IF(ROUND(H139,8)=ROUND((((
SUMIFS(Calc_Variable_1[Citipower],Calc_Variable_1[[Customer type]:[Customer type]],Calc_Rates!$F139)+
SUMIFS(Calc_Variable_1[Citipower],Calc_Variable_1[[Customer type]:[Customer type]],"All")+H135)*(1+Calc_ROM_1[Citipower]))*(1+GST)),8),0,1))</f>
        <v>0</v>
      </c>
      <c r="I140" s="81" cm="1">
        <f t="array" ref="I140">IF(I139="-","-",
IF(ROUND(I139,8)=ROUND((((
SUMIFS(Calc_Variable_1[Jemena],Calc_Variable_1[[Customer type]:[Customer type]],Calc_Rates!$F139)+
SUMIFS(Calc_Variable_1[Jemena],Calc_Variable_1[[Customer type]:[Customer type]],"All")+I135)*(1+Calc_ROM_1[Jemena]))*(1+GST)),8),0,1))</f>
        <v>0</v>
      </c>
      <c r="J140" s="81" cm="1">
        <f t="array" ref="J140">IF(J139="-","-",
IF(ROUND(J139,8)=ROUND((((
SUMIFS(Calc_Variable_1[Powercor],Calc_Variable_1[[Customer type]:[Customer type]],Calc_Rates!$F139)+
SUMIFS(Calc_Variable_1[Powercor],Calc_Variable_1[[Customer type]:[Customer type]],"All")+J135)*(1+Calc_ROM_1[Powercor]))*(1+GST)),8),0,1))</f>
        <v>0</v>
      </c>
      <c r="K140" s="81" cm="1">
        <f t="array" ref="K140">IF(K139="-","-",
IF(ROUND(K139,8)=ROUND((((
SUMIFS(Calc_Variable_1[United Energy],Calc_Variable_1[[Customer type]:[Customer type]],Calc_Rates!$F139)+
SUMIFS(Calc_Variable_1[United Energy],Calc_Variable_1[[Customer type]:[Customer type]],"All")+K135)*(1+Calc_ROM_1[United Energy]))*(1+GST)),8),0,1))</f>
        <v>0</v>
      </c>
    </row>
    <row r="142" spans="1:11" ht="16.5" thickBot="1" x14ac:dyDescent="0.3">
      <c r="B142" s="161">
        <f>MAX(B$3:B141)+0.01</f>
        <v>5.0199999999999996</v>
      </c>
      <c r="C142" s="23" t="s">
        <v>371</v>
      </c>
      <c r="D142" s="23"/>
      <c r="E142" s="23"/>
      <c r="F142" s="23"/>
      <c r="G142" s="23"/>
      <c r="H142" s="23"/>
      <c r="I142" s="23"/>
      <c r="J142" s="23"/>
      <c r="K142" s="23"/>
    </row>
    <row r="143" spans="1:11" outlineLevel="1" x14ac:dyDescent="0.25"/>
    <row r="144" spans="1:11" ht="15.75" outlineLevel="1" x14ac:dyDescent="0.25">
      <c r="C144" s="24" t="s">
        <v>27</v>
      </c>
    </row>
    <row r="145" spans="3:10" ht="15.75" outlineLevel="1" x14ac:dyDescent="0.25">
      <c r="C145" s="39" t="s">
        <v>372</v>
      </c>
      <c r="D145" s="54">
        <f>IFERROR(INDEX(Input_CPI[Indice],MATCH($D$5,Input_CPI[Decision paper],0),1),"-")</f>
        <v>136.1</v>
      </c>
    </row>
    <row r="146" spans="3:10" ht="15.75" outlineLevel="1" x14ac:dyDescent="0.25">
      <c r="C146" s="24"/>
    </row>
    <row r="147" spans="3:10" ht="15.75" outlineLevel="1" x14ac:dyDescent="0.25">
      <c r="C147" s="32" t="s">
        <v>49</v>
      </c>
      <c r="D147" s="32" t="s">
        <v>108</v>
      </c>
      <c r="E147" s="32" t="s">
        <v>56</v>
      </c>
      <c r="F147" s="32" t="s">
        <v>57</v>
      </c>
      <c r="G147" s="32" t="s">
        <v>373</v>
      </c>
      <c r="H147" s="43" t="s">
        <v>374</v>
      </c>
      <c r="I147" s="43" t="s">
        <v>375</v>
      </c>
    </row>
    <row r="148" spans="3:10" outlineLevel="1" x14ac:dyDescent="0.25">
      <c r="C148" s="18" t="s">
        <v>131</v>
      </c>
      <c r="D148" s="18"/>
      <c r="E148" s="18" t="str">
        <f>INDEX(Input_ForRateCalc[Unit],MATCH(Calc_CPI_1[[#This Row],[Cost item]],Input_ForRateCalc[Cost item],0),1)</f>
        <v>$</v>
      </c>
      <c r="F148" s="18" t="str">
        <f>INDEX(Input_ForRateCalc[Customer type],MATCH(Calc_CPI_1[[#This Row],[Cost item]],Input_ForRateCalc[Cost item],0),1)</f>
        <v>All</v>
      </c>
      <c r="G148" s="18" t="str">
        <f>INDEX(Input_CostItemCPI[],MATCH(Calc_CPI_1[[#This Row],[Cost item]],Input_CostItemCPI[Cost item],0),MATCH($D$5,Input_CostItemCPI[#Headers],0))</f>
        <v>Yes</v>
      </c>
      <c r="H148" s="158" cm="1">
        <f t="array" ref="H148">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1.7950635751682917E-2</v>
      </c>
      <c r="I148" s="174" cm="1">
        <f t="array" ref="I148">IFERROR((H148)*
INDEX(Input_ForRateCalc[],MATCH(Calc_CPI_1[[#This Row],[Cost item]:[Cost item]],Input_ForRateCalc[Cost item],0),MATCH($D$5,Inputs!$C$15:$AZ$15,0)),"-")</f>
        <v>2.5136275243081587</v>
      </c>
    </row>
    <row r="149" spans="3:10" outlineLevel="1" x14ac:dyDescent="0.25">
      <c r="C149" s="18" t="s">
        <v>137</v>
      </c>
      <c r="D149" s="18"/>
      <c r="E149" s="18" t="str">
        <f>INDEX(Input_ForRateCalc[Unit],MATCH(Calc_CPI_1[[#This Row],[Cost item]],Input_ForRateCalc[Cost item],0),1)</f>
        <v>$</v>
      </c>
      <c r="F149" s="18" t="str">
        <f>INDEX(Input_ForRateCalc[Customer type],MATCH(Calc_CPI_1[[#This Row],[Cost item]],Input_ForRateCalc[Cost item],0),1)</f>
        <v>All</v>
      </c>
      <c r="G149" s="18" t="str">
        <f>INDEX(Input_CostItemCPI[],MATCH(Calc_CPI_1[[#This Row],[Cost item]],Input_CostItemCPI[Cost item],0),MATCH($D$5,Input_CostItemCPI[#Headers],0))</f>
        <v>No</v>
      </c>
      <c r="H149" s="158" cm="1">
        <f t="array" ref="H149">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49" s="174" cm="1">
        <f t="array" ref="I149">IFERROR((H149)*
INDEX(Input_ForRateCalc[],MATCH(Calc_CPI_1[[#This Row],[Cost item]:[Cost item]],Input_ForRateCalc[Cost item],0),MATCH($D$5,Inputs!$C$15:$AZ$15,0)),"-")</f>
        <v>0</v>
      </c>
      <c r="J149" t="s">
        <v>376</v>
      </c>
    </row>
    <row r="150" spans="3:10" outlineLevel="1" x14ac:dyDescent="0.25">
      <c r="C150" s="18" t="s">
        <v>138</v>
      </c>
      <c r="D150" s="18"/>
      <c r="E150" s="18" t="str">
        <f>INDEX(Input_ForRateCalc[Unit],MATCH(Calc_CPI_1[[#This Row],[Cost item]],Input_ForRateCalc[Cost item],0),1)</f>
        <v>$</v>
      </c>
      <c r="F150" s="18" t="str">
        <f>INDEX(Input_ForRateCalc[Customer type],MATCH(Calc_CPI_1[[#This Row],[Cost item]],Input_ForRateCalc[Cost item],0),1)</f>
        <v>All</v>
      </c>
      <c r="G150" s="18" t="str">
        <f>INDEX(Input_CostItemCPI[],MATCH(Calc_CPI_1[[#This Row],[Cost item]],Input_CostItemCPI[Cost item],0),MATCH($D$5,Input_CostItemCPI[#Headers],0))</f>
        <v>Yes</v>
      </c>
      <c r="H150" s="158" cm="1">
        <f t="array" ref="H150">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0.18554006968641112</v>
      </c>
      <c r="I150" s="174" cm="1">
        <f t="array" ref="I150">IFERROR((H150)*
INDEX(Input_ForRateCalc[],MATCH(Calc_CPI_1[[#This Row],[Cost item]:[Cost item]],Input_ForRateCalc[Cost item],0),MATCH($D$5,Inputs!$C$15:$AZ$15,0)),"-")</f>
        <v>7.0505226480836232</v>
      </c>
    </row>
    <row r="151" spans="3:10" outlineLevel="1" x14ac:dyDescent="0.25">
      <c r="C151" s="18" t="s">
        <v>140</v>
      </c>
      <c r="D151" s="18"/>
      <c r="E151" s="18" t="str">
        <f>INDEX(Input_ForRateCalc[Unit],MATCH(Calc_CPI_1[[#This Row],[Cost item]],Input_ForRateCalc[Cost item],0),1)</f>
        <v>$</v>
      </c>
      <c r="F151" s="18" t="str">
        <f>INDEX(Input_ForRateCalc[Customer type],MATCH(Calc_CPI_1[[#This Row],[Cost item]],Input_ForRateCalc[Cost item],0),1)</f>
        <v>All</v>
      </c>
      <c r="G151" s="18" t="str">
        <f>INDEX(Input_CostItemCPI[],MATCH(Calc_CPI_1[[#This Row],[Cost item]],Input_CostItemCPI[Cost item],0),MATCH($D$5,Input_CostItemCPI[#Headers],0))</f>
        <v>No</v>
      </c>
      <c r="H151" s="158" cm="1">
        <f t="array" ref="H151">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1" s="174" cm="1">
        <f t="array" ref="I151">IFERROR((H151)*
INDEX(Input_ForRateCalc[],MATCH(Calc_CPI_1[[#This Row],[Cost item]:[Cost item]],Input_ForRateCalc[Cost item],0),MATCH($D$5,Inputs!$C$15:$AZ$15,0)),"-")</f>
        <v>0</v>
      </c>
    </row>
    <row r="152" spans="3:10" outlineLevel="1" x14ac:dyDescent="0.25">
      <c r="C152" s="18" t="s">
        <v>142</v>
      </c>
      <c r="D152" s="18"/>
      <c r="E152" s="18" t="str">
        <f>INDEX(Input_ForRateCalc[Unit],MATCH(Calc_CPI_1[[#This Row],[Cost item]],Input_ForRateCalc[Cost item],0),1)</f>
        <v>$</v>
      </c>
      <c r="F152" s="18" t="str">
        <f>INDEX(Input_ForRateCalc[Customer type],MATCH(Calc_CPI_1[[#This Row],[Cost item]],Input_ForRateCalc[Cost item],0),1)</f>
        <v>All</v>
      </c>
      <c r="G152" s="18" t="str">
        <f>INDEX(Input_CostItemCPI[],MATCH(Calc_CPI_1[[#This Row],[Cost item]],Input_CostItemCPI[Cost item],0),MATCH($D$5,Input_CostItemCPI[#Headers],0))</f>
        <v>Yes</v>
      </c>
      <c r="H152" s="158" cm="1">
        <f t="array" ref="H152">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1.7950635751682917E-2</v>
      </c>
      <c r="I152" s="174" cm="1">
        <f t="array" ref="I152">IFERROR((H152)*
INDEX(Input_ForRateCalc[],MATCH(Calc_CPI_1[[#This Row],[Cost item]:[Cost item]],Input_ForRateCalc[Cost item],0),MATCH($D$5,Inputs!$C$15:$AZ$15,0)),"-")</f>
        <v>4.0087359760658289E-2</v>
      </c>
    </row>
    <row r="153" spans="3:10" outlineLevel="1" x14ac:dyDescent="0.25">
      <c r="C153" s="42" t="s">
        <v>144</v>
      </c>
      <c r="D153" s="18"/>
      <c r="E153" s="18" t="str">
        <f>INDEX(Input_ForRateCalc[Unit],MATCH(Calc_CPI_1[[#This Row],[Cost item]],Input_ForRateCalc[Cost item],0),1)</f>
        <v>$/week</v>
      </c>
      <c r="F153" s="18" t="str">
        <f>INDEX(Input_ForRateCalc[Customer type],MATCH(Calc_CPI_1[[#This Row],[Cost item]],Input_ForRateCalc[Cost item],0),1)</f>
        <v>All</v>
      </c>
      <c r="G153" s="18" t="str">
        <f>INDEX(Input_CostItemCPI[],MATCH(Calc_CPI_1[[#This Row],[Cost item]],Input_CostItemCPI[Cost item],0),MATCH($D$5,Input_CostItemCPI[#Headers],0))</f>
        <v>No</v>
      </c>
      <c r="H153" s="158" cm="1">
        <f t="array" ref="H153">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3" s="174" cm="1">
        <f t="array" ref="I153">IFERROR((H153)*
INDEX(Input_ForRateCalc[],MATCH(Calc_CPI_1[[#This Row],[Cost item]:[Cost item]],Input_ForRateCalc[Cost item],0),MATCH($D$5,Inputs!$C$15:$AZ$15,0)),"-")</f>
        <v>0</v>
      </c>
    </row>
    <row r="154" spans="3:10" outlineLevel="1" x14ac:dyDescent="0.25">
      <c r="C154" s="33" t="s">
        <v>146</v>
      </c>
      <c r="D154" s="18"/>
      <c r="E154" s="18" t="str">
        <f>INDEX(Input_ForRateCalc[Unit],MATCH(Calc_CPI_1[[#This Row],[Cost item]],Input_ForRateCalc[Cost item],0),1)</f>
        <v>$/week</v>
      </c>
      <c r="F154" s="18" t="str">
        <f>INDEX(Input_ForRateCalc[Customer type],MATCH(Calc_CPI_1[[#This Row],[Cost item]],Input_ForRateCalc[Cost item],0),1)</f>
        <v>All</v>
      </c>
      <c r="G154" s="18" t="str">
        <f>INDEX(Input_CostItemCPI[],MATCH(Calc_CPI_1[[#This Row],[Cost item]],Input_CostItemCPI[Cost item],0),MATCH($D$5,Input_CostItemCPI[#Headers],0))</f>
        <v>No</v>
      </c>
      <c r="H154" s="158" cm="1">
        <f t="array" ref="H154">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4" s="174" cm="1">
        <f t="array" ref="I154">IFERROR((H154)*
INDEX(Input_ForRateCalc[],MATCH(Calc_CPI_1[[#This Row],[Cost item]:[Cost item]],Input_ForRateCalc[Cost item],0),MATCH($D$5,Inputs!$C$15:$AZ$15,0)),"-")</f>
        <v>0</v>
      </c>
    </row>
    <row r="155" spans="3:10" outlineLevel="1" x14ac:dyDescent="0.25">
      <c r="C155" s="33" t="s">
        <v>209</v>
      </c>
      <c r="D155" s="18"/>
      <c r="E155" s="18" t="str">
        <f>INDEX(Input_ForRateCalc[Unit],MATCH(Calc_CPI_1[[#This Row],[Cost item]],Input_ForRateCalc[Cost item],0),1)</f>
        <v>$/MWh</v>
      </c>
      <c r="F155" s="18" t="str">
        <f>INDEX(Input_ForRateCalc[Customer type],MATCH(Calc_CPI_1[[#This Row],[Cost item]],Input_ForRateCalc[Cost item],0),1)</f>
        <v>All</v>
      </c>
      <c r="G155" s="18" t="str">
        <f>INDEX(Input_CostItemCPI[],MATCH(Calc_CPI_1[[#This Row],[Cost item]],Input_CostItemCPI[Cost item],0),MATCH($D$5,Input_CostItemCPI[#Headers],0))</f>
        <v>No</v>
      </c>
      <c r="H155" s="158" cm="1">
        <f t="array" ref="H155">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5" s="174" cm="1">
        <f t="array" ref="I155">IFERROR((H155)*
INDEX(Input_ForRateCalc[],MATCH(Calc_CPI_1[[#This Row],[Cost item]:[Cost item]],Input_ForRateCalc[Cost item],0),MATCH($D$5,Inputs!$C$15:$AZ$15,0)),"-")</f>
        <v>0</v>
      </c>
    </row>
    <row r="156" spans="3:10" outlineLevel="1" x14ac:dyDescent="0.25">
      <c r="C156" s="18" t="s">
        <v>213</v>
      </c>
      <c r="D156" s="18"/>
      <c r="E156" s="18" t="str">
        <f>INDEX(Input_ForRateCalc[Unit],MATCH(Calc_CPI_1[[#This Row],[Cost item]],Input_ForRateCalc[Cost item],0),1)</f>
        <v>$/MWh</v>
      </c>
      <c r="F156" s="18" t="str">
        <f>INDEX(Input_ForRateCalc[Customer type],MATCH(Calc_CPI_1[[#This Row],[Cost item]],Input_ForRateCalc[Cost item],0),1)</f>
        <v>All</v>
      </c>
      <c r="G156" s="18" t="str">
        <f>INDEX(Input_CostItemCPI[],MATCH(Calc_CPI_1[[#This Row],[Cost item]],Input_CostItemCPI[Cost item],0),MATCH($D$5,Input_CostItemCPI[#Headers],0))</f>
        <v>No</v>
      </c>
      <c r="H156" s="158" cm="1">
        <f t="array" ref="H156">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6" s="174" cm="1">
        <f t="array" ref="I156">IFERROR((H156)*
INDEX(Input_ForRateCalc[],MATCH(Calc_CPI_1[[#This Row],[Cost item]:[Cost item]],Input_ForRateCalc[Cost item],0),MATCH($D$5,Inputs!$C$15:$AZ$15,0)),"-")</f>
        <v>0</v>
      </c>
    </row>
    <row r="157" spans="3:10" outlineLevel="1" x14ac:dyDescent="0.25">
      <c r="C157" s="18" t="s">
        <v>214</v>
      </c>
      <c r="D157" s="18"/>
      <c r="E157" s="18" t="str">
        <f>INDEX(Input_ForRateCalc[Unit],MATCH(Calc_CPI_1[[#This Row],[Cost item]],Input_ForRateCalc[Cost item],0),1)</f>
        <v>$/MWh</v>
      </c>
      <c r="F157" s="18" t="str">
        <f>INDEX(Input_ForRateCalc[Customer type],MATCH(Calc_CPI_1[[#This Row],[Cost item]],Input_ForRateCalc[Cost item],0),1)</f>
        <v>All</v>
      </c>
      <c r="G157" s="18" t="str">
        <f>INDEX(Input_CostItemCPI[],MATCH(Calc_CPI_1[[#This Row],[Cost item]],Input_CostItemCPI[Cost item],0),MATCH($D$5,Input_CostItemCPI[#Headers],0))</f>
        <v>No</v>
      </c>
      <c r="H157" s="158" cm="1">
        <f t="array" ref="H157">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7" s="174" cm="1">
        <f t="array" ref="I157">IFERROR((H157)*
INDEX(Input_ForRateCalc[],MATCH(Calc_CPI_1[[#This Row],[Cost item]:[Cost item]],Input_ForRateCalc[Cost item],0),MATCH($D$5,Inputs!$C$15:$AZ$15,0)),"-")</f>
        <v>0</v>
      </c>
    </row>
    <row r="158" spans="3:10" outlineLevel="1" x14ac:dyDescent="0.25">
      <c r="C158" s="42" t="s">
        <v>147</v>
      </c>
      <c r="D158" s="18"/>
      <c r="E158" s="18" t="str">
        <f>INDEX(Input_ForRateCalc[Unit],MATCH(Calc_CPI_1[[#This Row],[Cost item]],Input_ForRateCalc[Cost item],0),1)</f>
        <v>$/week</v>
      </c>
      <c r="F158" s="18" t="str">
        <f>INDEX(Input_ForRateCalc[Customer type],MATCH(Calc_CPI_1[[#This Row],[Cost item]],Input_ForRateCalc[Cost item],0),1)</f>
        <v>All</v>
      </c>
      <c r="G158" s="18" t="str">
        <f>INDEX(Input_CostItemCPI[],MATCH(Calc_CPI_1[[#This Row],[Cost item]],Input_CostItemCPI[Cost item],0),MATCH($D$5,Input_CostItemCPI[#Headers],0))</f>
        <v>No</v>
      </c>
      <c r="H158" s="158" cm="1">
        <f t="array" ref="H158">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8" s="174" cm="1">
        <f t="array" ref="I158">IFERROR((H158)*
INDEX(Input_ForRateCalc[],MATCH(Calc_CPI_1[[#This Row],[Cost item]:[Cost item]],Input_ForRateCalc[Cost item],0),MATCH($D$5,Inputs!$C$15:$AZ$15,0)),"-")</f>
        <v>0</v>
      </c>
    </row>
    <row r="159" spans="3:10" outlineLevel="1" x14ac:dyDescent="0.25">
      <c r="C159" s="42" t="s">
        <v>148</v>
      </c>
      <c r="D159" s="18"/>
      <c r="E159" s="18" t="str">
        <f>INDEX(Input_ForRateCalc[Unit],MATCH(Calc_CPI_1[[#This Row],[Cost item]],Input_ForRateCalc[Cost item],0),1)</f>
        <v>$/week</v>
      </c>
      <c r="F159" s="18" t="str">
        <f>INDEX(Input_ForRateCalc[Customer type],MATCH(Calc_CPI_1[[#This Row],[Cost item]],Input_ForRateCalc[Cost item],0),1)</f>
        <v>All</v>
      </c>
      <c r="G159" s="18" t="str">
        <f>INDEX(Input_CostItemCPI[],MATCH(Calc_CPI_1[[#This Row],[Cost item]],Input_CostItemCPI[Cost item],0),MATCH($D$5,Input_CostItemCPI[#Headers],0))</f>
        <v>No</v>
      </c>
      <c r="H159" s="158" cm="1">
        <f t="array" ref="H159">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9" s="174" cm="1">
        <f t="array" ref="I159">IFERROR((H159)*
INDEX(Input_ForRateCalc[],MATCH(Calc_CPI_1[[#This Row],[Cost item]:[Cost item]],Input_ForRateCalc[Cost item],0),MATCH($D$5,Inputs!$C$15:$AZ$15,0)),"-")</f>
        <v>0</v>
      </c>
    </row>
    <row r="160" spans="3:10" outlineLevel="1" x14ac:dyDescent="0.25">
      <c r="C160" s="18" t="s">
        <v>149</v>
      </c>
      <c r="D160" s="18"/>
      <c r="E160" s="18" t="str">
        <f>INDEX(Input_ForRateCalc[Unit],MATCH(Calc_CPI_1[[#This Row],[Cost item]],Input_ForRateCalc[Cost item],0),1)</f>
        <v>$/week</v>
      </c>
      <c r="F160" s="18" t="str">
        <f>INDEX(Input_ForRateCalc[Customer type],MATCH(Calc_CPI_1[[#This Row],[Cost item]],Input_ForRateCalc[Cost item],0),1)</f>
        <v>All</v>
      </c>
      <c r="G160" s="18" t="str">
        <f>INDEX(Input_CostItemCPI[],MATCH(Calc_CPI_1[[#This Row],[Cost item]],Input_CostItemCPI[Cost item],0),MATCH($D$5,Input_CostItemCPI[#Headers],0))</f>
        <v>No</v>
      </c>
      <c r="H160" s="158" cm="1">
        <f t="array" ref="H160">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60" s="174" cm="1">
        <f t="array" ref="I160">IFERROR((H160)*
INDEX(Input_ForRateCalc[],MATCH(Calc_CPI_1[[#This Row],[Cost item]:[Cost item]],Input_ForRateCalc[Cost item],0),MATCH($D$5,Inputs!$C$15:$AZ$15,0)),"-")</f>
        <v>0</v>
      </c>
    </row>
    <row r="161" spans="1:11" outlineLevel="1" x14ac:dyDescent="0.25">
      <c r="C161" s="42" t="s">
        <v>216</v>
      </c>
      <c r="D161" s="18"/>
      <c r="E161" s="18" t="str">
        <f>INDEX(Input_ForRateCalc[Unit],MATCH(Calc_CPI_1[[#This Row],[Cost item]],Input_ForRateCalc[Cost item],0),1)</f>
        <v>$/MWh</v>
      </c>
      <c r="F161" s="18" t="str">
        <f>INDEX(Input_ForRateCalc[Customer type],MATCH(Calc_CPI_1[[#This Row],[Cost item]],Input_ForRateCalc[Cost item],0),1)</f>
        <v>All</v>
      </c>
      <c r="G161" s="18" t="str">
        <f>INDEX(Input_CostItemCPI[],MATCH(Calc_CPI_1[[#This Row],[Cost item]],Input_CostItemCPI[Cost item],0),MATCH($D$5,Input_CostItemCPI[#Headers],0))</f>
        <v>No</v>
      </c>
      <c r="H161" s="158" cm="1">
        <f t="array" ref="H161">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61" s="174" cm="1">
        <f t="array" ref="I161">IFERROR((H161)*
INDEX(Input_ForRateCalc[],MATCH(Calc_CPI_1[[#This Row],[Cost item]:[Cost item]],Input_ForRateCalc[Cost item],0),MATCH($D$5,Inputs!$C$15:$AZ$15,0)),"-")</f>
        <v>0</v>
      </c>
    </row>
    <row r="162" spans="1:11" outlineLevel="1" x14ac:dyDescent="0.25">
      <c r="C162" s="42" t="s">
        <v>217</v>
      </c>
      <c r="D162" s="18"/>
      <c r="E162" s="18" t="str">
        <f>INDEX(Input_ForRateCalc[Unit],MATCH(Calc_CPI_1[[#This Row],[Cost item]],Input_ForRateCalc[Cost item],0),1)</f>
        <v>$/MWh</v>
      </c>
      <c r="F162" s="18" t="str">
        <f>INDEX(Input_ForRateCalc[Customer type],MATCH(Calc_CPI_1[[#This Row],[Cost item]],Input_ForRateCalc[Cost item],0),1)</f>
        <v>All</v>
      </c>
      <c r="G162" s="18" t="str">
        <f>INDEX(Input_CostItemCPI[],MATCH(Calc_CPI_1[[#This Row],[Cost item]],Input_CostItemCPI[Cost item],0),MATCH($D$5,Input_CostItemCPI[#Headers],0))</f>
        <v>No</v>
      </c>
      <c r="H162" s="158" cm="1">
        <f t="array" ref="H162">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62" s="174" cm="1">
        <f t="array" ref="I162">IFERROR((H162)*
INDEX(Input_ForRateCalc[],MATCH(Calc_CPI_1[[#This Row],[Cost item]:[Cost item]],Input_ForRateCalc[Cost item],0),MATCH($D$5,Inputs!$C$15:$AZ$15,0)),"-")</f>
        <v>0</v>
      </c>
    </row>
    <row r="163" spans="1:11" outlineLevel="1" x14ac:dyDescent="0.25">
      <c r="C163" s="42" t="s">
        <v>218</v>
      </c>
      <c r="D163" s="18"/>
      <c r="E163" s="18" t="str">
        <f>INDEX(Input_ForRateCalc[Unit],MATCH(Calc_CPI_1[[#This Row],[Cost item]],Input_ForRateCalc[Cost item],0),1)</f>
        <v>$/MWh</v>
      </c>
      <c r="F163" s="18" t="str">
        <f>INDEX(Input_ForRateCalc[Customer type],MATCH(Calc_CPI_1[[#This Row],[Cost item]],Input_ForRateCalc[Cost item],0),1)</f>
        <v>All</v>
      </c>
      <c r="G163" s="18" t="str">
        <f>INDEX(Input_CostItemCPI[],MATCH(Calc_CPI_1[[#This Row],[Cost item]],Input_CostItemCPI[Cost item],0),MATCH($D$5,Input_CostItemCPI[#Headers],0))</f>
        <v>No</v>
      </c>
      <c r="H163" s="158" cm="1">
        <f t="array" ref="H163">IF(Calc_CPI_1[[#This Row],[Adjust?]]="No",0,
IFERROR(
($D$145-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63" s="174" cm="1">
        <f t="array" ref="I163">IFERROR((H163)*
INDEX(Input_ForRateCalc[],MATCH(Calc_CPI_1[[#This Row],[Cost item]:[Cost item]],Input_ForRateCalc[Cost item],0),MATCH($D$5,Inputs!$C$15:$AZ$15,0)),"-")</f>
        <v>0</v>
      </c>
    </row>
    <row r="164" spans="1:11" outlineLevel="1" x14ac:dyDescent="0.25"/>
    <row r="165" spans="1:11" ht="15.75" outlineLevel="1" x14ac:dyDescent="0.25">
      <c r="C165" s="24" t="s">
        <v>366</v>
      </c>
    </row>
    <row r="166" spans="1:11" ht="15.75" outlineLevel="1" x14ac:dyDescent="0.25">
      <c r="C166" s="32" t="s">
        <v>49</v>
      </c>
      <c r="D166" s="32" t="s">
        <v>108</v>
      </c>
      <c r="E166" s="32" t="s">
        <v>56</v>
      </c>
      <c r="F166" s="32" t="s">
        <v>57</v>
      </c>
      <c r="G166" s="43" t="s">
        <v>59</v>
      </c>
      <c r="H166" s="43" t="s">
        <v>60</v>
      </c>
      <c r="I166" s="43" t="s">
        <v>61</v>
      </c>
      <c r="J166" s="43" t="s">
        <v>62</v>
      </c>
      <c r="K166" s="43" t="s">
        <v>63</v>
      </c>
    </row>
    <row r="167" spans="1:11" outlineLevel="1" x14ac:dyDescent="0.25">
      <c r="C167" s="18" t="s">
        <v>377</v>
      </c>
      <c r="D167" s="18" t="s">
        <v>58</v>
      </c>
      <c r="E167" s="18" t="s">
        <v>259</v>
      </c>
      <c r="F167" s="18" t="s">
        <v>133</v>
      </c>
      <c r="G167" s="51" cm="1">
        <f t="array" ref="G167">IFERROR(INDEX(Input_ForRateCalc[],MATCH(Calc_Losses_1[[#This Row],[Cost item]:[Cost item]]&amp;" - "&amp;Calc_Losses_1[[#Headers],[Ausnet]],Input_ForRateCalc[[Cost item]:[Cost item]],0),MATCH($D$5,Inputs!$C$15:$AZ$15,0)),"-")</f>
        <v>1.0041</v>
      </c>
      <c r="H167" s="51" cm="1">
        <f t="array" ref="H167">IFERROR(INDEX(Input_ForRateCalc[],MATCH(Calc_Losses_1[[#This Row],[Cost item]:[Cost item]]&amp;" - "&amp;Calc_Losses_1[[#Headers],[Citipower]],Input_ForRateCalc[[Cost item]:[Cost item]],0),MATCH($D$5,Inputs!$C$15:$AZ$15,0)),"-")</f>
        <v>1</v>
      </c>
      <c r="I167" s="51" cm="1">
        <f t="array" ref="I167">IFERROR(INDEX(Input_ForRateCalc[],MATCH(Calc_Losses_1[[#This Row],[Cost item]:[Cost item]]&amp;" - "&amp;Calc_Losses_1[[#Headers],[Jemena]],Input_ForRateCalc[[Cost item]:[Cost item]],0),MATCH($D$5,Inputs!$C$15:$AZ$15,0)),"-")</f>
        <v>1.0005999999999999</v>
      </c>
      <c r="J167" s="51" cm="1">
        <f t="array" ref="J167">IFERROR(INDEX(Input_ForRateCalc[],MATCH(Calc_Losses_1[[#This Row],[Cost item]:[Cost item]]&amp;" - "&amp;Calc_Losses_1[[#Headers],[Powercor]],Input_ForRateCalc[[Cost item]:[Cost item]],0),MATCH($D$5,Inputs!$C$15:$AZ$15,0)),"-")</f>
        <v>0.998</v>
      </c>
      <c r="K167" s="51" cm="1">
        <f t="array" ref="K167">IFERROR(INDEX(Input_ForRateCalc[],MATCH(Calc_Losses_1[[#This Row],[Cost item]:[Cost item]]&amp;" - "&amp;Calc_Losses_1[[#Headers],[United Energy]],Input_ForRateCalc[[Cost item]:[Cost item]],0),MATCH($D$5,Inputs!$C$15:$AZ$15,0)),"-")</f>
        <v>0.99870000000000003</v>
      </c>
    </row>
    <row r="168" spans="1:11" outlineLevel="1" x14ac:dyDescent="0.25">
      <c r="C168" s="18" t="s">
        <v>378</v>
      </c>
      <c r="D168" s="18" t="s">
        <v>58</v>
      </c>
      <c r="E168" s="18" t="s">
        <v>259</v>
      </c>
      <c r="F168" s="18" t="s">
        <v>133</v>
      </c>
      <c r="G168" s="51" cm="1">
        <f t="array" ref="G168">IFERROR(INDEX(Input_ForRateCalc[],MATCH(Calc_Losses_1[[#This Row],[Cost item]:[Cost item]]&amp;" - "&amp;Calc_Losses_1[[#Headers],[Ausnet]],Input_ForRateCalc[[Cost item]:[Cost item]],0),MATCH($D$5,Inputs!$C$15:$AZ$15,0)),"-")</f>
        <v>1.081</v>
      </c>
      <c r="H168" s="51" cm="1">
        <f t="array" ref="H168">IFERROR(INDEX(Input_ForRateCalc[],MATCH(Calc_Losses_1[[#This Row],[Cost item]:[Cost item]]&amp;" - "&amp;Calc_Losses_1[[#Headers],[Citipower]],Input_ForRateCalc[[Cost item]:[Cost item]],0),MATCH($D$5,Inputs!$C$15:$AZ$15,0)),"-")</f>
        <v>1.0449999999999999</v>
      </c>
      <c r="I168" s="51" cm="1">
        <f t="array" ref="I168">IFERROR(INDEX(Input_ForRateCalc[],MATCH(Calc_Losses_1[[#This Row],[Cost item]:[Cost item]]&amp;" - "&amp;Calc_Losses_1[[#Headers],[Jemena]],Input_ForRateCalc[[Cost item]:[Cost item]],0),MATCH($D$5,Inputs!$C$15:$AZ$15,0)),"-")</f>
        <v>1.0447</v>
      </c>
      <c r="J168" s="51" cm="1">
        <f t="array" ref="J168">IFERROR(INDEX(Input_ForRateCalc[],MATCH(Calc_Losses_1[[#This Row],[Cost item]:[Cost item]]&amp;" - "&amp;Calc_Losses_1[[#Headers],[Powercor]],Input_ForRateCalc[[Cost item]:[Cost item]],0),MATCH($D$5,Inputs!$C$15:$AZ$15,0)),"-")</f>
        <v>1.0738000000000001</v>
      </c>
      <c r="K168" s="51" cm="1">
        <f t="array" ref="K168">IFERROR(INDEX(Input_ForRateCalc[],MATCH(Calc_Losses_1[[#This Row],[Cost item]:[Cost item]]&amp;" - "&amp;Calc_Losses_1[[#Headers],[United Energy]],Input_ForRateCalc[[Cost item]:[Cost item]],0),MATCH($D$5,Inputs!$C$15:$AZ$15,0)),"-")</f>
        <v>1.0483</v>
      </c>
    </row>
    <row r="169" spans="1:11" outlineLevel="1" x14ac:dyDescent="0.25">
      <c r="C169" s="33" t="s">
        <v>379</v>
      </c>
      <c r="D169" s="18" t="s">
        <v>58</v>
      </c>
      <c r="E169" s="33" t="s">
        <v>259</v>
      </c>
      <c r="F169" s="18" t="s">
        <v>133</v>
      </c>
      <c r="G169" s="130">
        <f>(G167*G168)-1</f>
        <v>8.5432100000000011E-2</v>
      </c>
      <c r="H169" s="130">
        <f>(H167*H168)-1</f>
        <v>4.4999999999999929E-2</v>
      </c>
      <c r="I169" s="130">
        <f>(I167*I168)-1</f>
        <v>4.5326819999999879E-2</v>
      </c>
      <c r="J169" s="130">
        <f>(J167*J168)-1</f>
        <v>7.165240000000006E-2</v>
      </c>
      <c r="K169" s="130">
        <f>(K167*K168)-1</f>
        <v>4.6937210000000062E-2</v>
      </c>
    </row>
    <row r="170" spans="1:11" outlineLevel="1" x14ac:dyDescent="0.25">
      <c r="B170"/>
    </row>
    <row r="171" spans="1:11" ht="15.75" outlineLevel="1" collapsed="1" x14ac:dyDescent="0.25">
      <c r="A171" s="1" t="s">
        <v>35</v>
      </c>
      <c r="C171" s="24" t="s">
        <v>258</v>
      </c>
    </row>
    <row r="172" spans="1:11" ht="15.75" outlineLevel="1" x14ac:dyDescent="0.25">
      <c r="C172" s="32" t="s">
        <v>49</v>
      </c>
      <c r="D172" s="32" t="s">
        <v>108</v>
      </c>
      <c r="E172" s="32" t="s">
        <v>56</v>
      </c>
      <c r="F172" s="32" t="s">
        <v>57</v>
      </c>
      <c r="G172" s="43" t="s">
        <v>59</v>
      </c>
      <c r="H172" s="43" t="s">
        <v>60</v>
      </c>
      <c r="I172" s="43" t="s">
        <v>61</v>
      </c>
      <c r="J172" s="43" t="s">
        <v>62</v>
      </c>
      <c r="K172" s="43" t="s">
        <v>63</v>
      </c>
    </row>
    <row r="173" spans="1:11" outlineLevel="1" x14ac:dyDescent="0.25">
      <c r="C173" s="18" t="s">
        <v>258</v>
      </c>
      <c r="D173" s="18" t="s">
        <v>58</v>
      </c>
      <c r="E173" s="18" t="s">
        <v>259</v>
      </c>
      <c r="F173" s="18" t="s">
        <v>133</v>
      </c>
      <c r="G173" s="61" cm="1">
        <f t="array" ref="G173">IFERROR(INDEX(Input_ForRateCalc[],MATCH(Calc_ROM_1[[#This Row],[Cost item]:[Cost item]],Input_ForRateCalc[[Cost item]:[Cost item]],0),MATCH($D$5,Inputs!$C$15:$AZ$15,0)),"-")</f>
        <v>5.6000000000000001E-2</v>
      </c>
      <c r="H173" s="61" cm="1">
        <f t="array" ref="H173">IFERROR(INDEX(Input_ForRateCalc[],MATCH(Calc_ROM_1[[#This Row],[Cost item]:[Cost item]],Input_ForRateCalc[[Cost item]:[Cost item]],0),MATCH($D$5,Inputs!$C$15:$AZ$15,0)),"-")</f>
        <v>5.6000000000000001E-2</v>
      </c>
      <c r="I173" s="61" cm="1">
        <f t="array" ref="I173">IFERROR(INDEX(Input_ForRateCalc[],MATCH(Calc_ROM_1[[#This Row],[Cost item]:[Cost item]],Input_ForRateCalc[[Cost item]:[Cost item]],0),MATCH($D$5,Inputs!$C$15:$AZ$15,0)),"-")</f>
        <v>5.6000000000000001E-2</v>
      </c>
      <c r="J173" s="61" cm="1">
        <f t="array" ref="J173">IFERROR(INDEX(Input_ForRateCalc[],MATCH(Calc_ROM_1[[#This Row],[Cost item]:[Cost item]],Input_ForRateCalc[[Cost item]:[Cost item]],0),MATCH($D$5,Inputs!$C$15:$AZ$15,0)),"-")</f>
        <v>5.6000000000000001E-2</v>
      </c>
      <c r="K173" s="61" cm="1">
        <f t="array" ref="K173">IFERROR(INDEX(Input_ForRateCalc[],MATCH(Calc_ROM_1[[#This Row],[Cost item]:[Cost item]],Input_ForRateCalc[[Cost item]:[Cost item]],0),MATCH($D$5,Inputs!$C$15:$AZ$15,0)),"-")</f>
        <v>5.6000000000000001E-2</v>
      </c>
    </row>
    <row r="174" spans="1:11" x14ac:dyDescent="0.25">
      <c r="B174"/>
    </row>
    <row r="175" spans="1:11" x14ac:dyDescent="0.25">
      <c r="C175" s="97"/>
      <c r="D175" s="97"/>
      <c r="E175" s="98"/>
      <c r="F175" s="97"/>
      <c r="G175" s="97"/>
      <c r="H175" s="97"/>
      <c r="I175" s="97"/>
      <c r="J175" s="97"/>
      <c r="K175" s="97"/>
    </row>
    <row r="176" spans="1:11" ht="16.5" thickBot="1" x14ac:dyDescent="0.3">
      <c r="B176" s="161">
        <f>MAX(B$3:B175)+0.01</f>
        <v>5.0299999999999994</v>
      </c>
      <c r="C176" s="23" t="s">
        <v>380</v>
      </c>
      <c r="D176" s="23"/>
      <c r="E176" s="23"/>
      <c r="F176" s="23"/>
      <c r="G176" s="23"/>
      <c r="H176" s="23"/>
      <c r="I176" s="23"/>
      <c r="J176" s="23"/>
      <c r="K176" s="23"/>
    </row>
    <row r="177" spans="1:11" outlineLevel="1" x14ac:dyDescent="0.25"/>
    <row r="178" spans="1:11" ht="15.75" outlineLevel="1" collapsed="1" x14ac:dyDescent="0.25">
      <c r="A178" s="1" t="s">
        <v>35</v>
      </c>
      <c r="C178" s="32" t="s">
        <v>49</v>
      </c>
      <c r="D178" s="32" t="s">
        <v>108</v>
      </c>
      <c r="E178" s="32" t="s">
        <v>56</v>
      </c>
      <c r="F178" s="32" t="s">
        <v>57</v>
      </c>
      <c r="G178" s="43" t="s">
        <v>59</v>
      </c>
      <c r="H178" s="43" t="s">
        <v>60</v>
      </c>
      <c r="I178" s="43" t="s">
        <v>61</v>
      </c>
      <c r="J178" s="43" t="s">
        <v>62</v>
      </c>
      <c r="K178" s="43" t="s">
        <v>63</v>
      </c>
    </row>
    <row r="179" spans="1:11" outlineLevel="1" x14ac:dyDescent="0.25">
      <c r="C179" s="18" t="s">
        <v>381</v>
      </c>
      <c r="D179" s="18" t="s">
        <v>132</v>
      </c>
      <c r="E179" s="18" t="s">
        <v>65</v>
      </c>
      <c r="F179" s="18" t="s">
        <v>133</v>
      </c>
      <c r="G179" s="51" cm="1">
        <f t="array" ref="G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item]],0),MATCH($D$5,Inputs!$C$15:$AZ$15,0))+
INDEX(Input_ForRateCalc[],MATCH(Calc_Retail_1[[#This Row],[Cost item]:[Cost item]]&amp;" - 5 min settlement allowance",Input_ForRateCalc[[Cost item]:[Cost item]],0),MATCH($D$5,Inputs!$C$15:$AZ$15,0))+
INDEX(Input_ForRateCalc[],MATCH(Calc_Retail_1[[#This Row],[Cost item]:[Cost item]]&amp;" - regulatory cost allowance",Input_ForRateCalc[[Cost item]:[Cost item]],0),MATCH($D$5,Inputs!$C$15:$AZ$15,0))+
INDEX(Input_ForRateCalc[],MATCH(Calc_Retail_1[[#This Row],[Cost item]:[Cost item]]&amp;" - consumer data right allowance",Input_ForRateCalc[[Cost item]:[Cost item]],0),MATCH($D$5,Inputs!$C$15:$AZ$15,0))+
INDEX(Input_ForRateCalc[],MATCH(Calc_Retail_1[[#This Row],[Cost item]:[Cost item]]&amp;" - bad debt allowance",Input_ForRateCalc[[Cost item]:[Cost item]],0),MATCH($D$5,Inputs!$C$15:$AZ$15,0)),"-")</f>
        <v>142.54362752430816</v>
      </c>
      <c r="H179" s="51" cm="1">
        <f t="array" ref="H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item]],0),MATCH($D$5,Inputs!$C$15:$AZ$15,0))+
INDEX(Input_ForRateCalc[],MATCH(Calc_Retail_1[[#This Row],[Cost item]:[Cost item]]&amp;" - 5 min settlement allowance",Input_ForRateCalc[[Cost item]:[Cost item]],0),MATCH($D$5,Inputs!$C$15:$AZ$15,0))+
INDEX(Input_ForRateCalc[],MATCH(Calc_Retail_1[[#This Row],[Cost item]:[Cost item]]&amp;" - regulatory cost allowance",Input_ForRateCalc[[Cost item]:[Cost item]],0),MATCH($D$5,Inputs!$C$15:$AZ$15,0))+
INDEX(Input_ForRateCalc[],MATCH(Calc_Retail_1[[#This Row],[Cost item]:[Cost item]]&amp;" - consumer data right allowance",Input_ForRateCalc[[Cost item]:[Cost item]],0),MATCH($D$5,Inputs!$C$15:$AZ$15,0))+
INDEX(Input_ForRateCalc[],MATCH(Calc_Retail_1[[#This Row],[Cost item]:[Cost item]]&amp;" - bad debt allowance",Input_ForRateCalc[[Cost item]:[Cost item]],0),MATCH($D$5,Inputs!$C$15:$AZ$15,0)),"-")</f>
        <v>142.54362752430816</v>
      </c>
      <c r="I179" s="51" cm="1">
        <f t="array" ref="I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item]],0),MATCH($D$5,Inputs!$C$15:$AZ$15,0))+
INDEX(Input_ForRateCalc[],MATCH(Calc_Retail_1[[#This Row],[Cost item]:[Cost item]]&amp;" - 5 min settlement allowance",Input_ForRateCalc[[Cost item]:[Cost item]],0),MATCH($D$5,Inputs!$C$15:$AZ$15,0))+
INDEX(Input_ForRateCalc[],MATCH(Calc_Retail_1[[#This Row],[Cost item]:[Cost item]]&amp;" - regulatory cost allowance",Input_ForRateCalc[[Cost item]:[Cost item]],0),MATCH($D$5,Inputs!$C$15:$AZ$15,0))+
INDEX(Input_ForRateCalc[],MATCH(Calc_Retail_1[[#This Row],[Cost item]:[Cost item]]&amp;" - consumer data right allowance",Input_ForRateCalc[[Cost item]:[Cost item]],0),MATCH($D$5,Inputs!$C$15:$AZ$15,0))+
INDEX(Input_ForRateCalc[],MATCH(Calc_Retail_1[[#This Row],[Cost item]:[Cost item]]&amp;" - bad debt allowance",Input_ForRateCalc[[Cost item]:[Cost item]],0),MATCH($D$5,Inputs!$C$15:$AZ$15,0)),"-")</f>
        <v>142.54362752430816</v>
      </c>
      <c r="J179" s="51" cm="1">
        <f t="array" ref="J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item]],0),MATCH($D$5,Inputs!$C$15:$AZ$15,0))+
INDEX(Input_ForRateCalc[],MATCH(Calc_Retail_1[[#This Row],[Cost item]:[Cost item]]&amp;" - 5 min settlement allowance",Input_ForRateCalc[[Cost item]:[Cost item]],0),MATCH($D$5,Inputs!$C$15:$AZ$15,0))+
INDEX(Input_ForRateCalc[],MATCH(Calc_Retail_1[[#This Row],[Cost item]:[Cost item]]&amp;" - regulatory cost allowance",Input_ForRateCalc[[Cost item]:[Cost item]],0),MATCH($D$5,Inputs!$C$15:$AZ$15,0))+
INDEX(Input_ForRateCalc[],MATCH(Calc_Retail_1[[#This Row],[Cost item]:[Cost item]]&amp;" - consumer data right allowance",Input_ForRateCalc[[Cost item]:[Cost item]],0),MATCH($D$5,Inputs!$C$15:$AZ$15,0))+
INDEX(Input_ForRateCalc[],MATCH(Calc_Retail_1[[#This Row],[Cost item]:[Cost item]]&amp;" - bad debt allowance",Input_ForRateCalc[[Cost item]:[Cost item]],0),MATCH($D$5,Inputs!$C$15:$AZ$15,0)),"-")</f>
        <v>142.54362752430816</v>
      </c>
      <c r="K179" s="51" cm="1">
        <f t="array" ref="K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item]],0),MATCH($D$5,Inputs!$C$15:$AZ$15,0))+
INDEX(Input_ForRateCalc[],MATCH(Calc_Retail_1[[#This Row],[Cost item]:[Cost item]]&amp;" - 5 min settlement allowance",Input_ForRateCalc[[Cost item]:[Cost item]],0),MATCH($D$5,Inputs!$C$15:$AZ$15,0))+
INDEX(Input_ForRateCalc[],MATCH(Calc_Retail_1[[#This Row],[Cost item]:[Cost item]]&amp;" - regulatory cost allowance",Input_ForRateCalc[[Cost item]:[Cost item]],0),MATCH($D$5,Inputs!$C$15:$AZ$15,0))+
INDEX(Input_ForRateCalc[],MATCH(Calc_Retail_1[[#This Row],[Cost item]:[Cost item]]&amp;" - consumer data right allowance",Input_ForRateCalc[[Cost item]:[Cost item]],0),MATCH($D$5,Inputs!$C$15:$AZ$15,0))+
INDEX(Input_ForRateCalc[],MATCH(Calc_Retail_1[[#This Row],[Cost item]:[Cost item]]&amp;" - bad debt allowance",Input_ForRateCalc[[Cost item]:[Cost item]],0),MATCH($D$5,Inputs!$C$15:$AZ$15,0)),"-")</f>
        <v>142.54362752430816</v>
      </c>
    </row>
    <row r="180" spans="1:11" outlineLevel="1" x14ac:dyDescent="0.25">
      <c r="C180" s="33" t="s">
        <v>138</v>
      </c>
      <c r="D180" s="33" t="s">
        <v>132</v>
      </c>
      <c r="E180" s="18" t="s">
        <v>65</v>
      </c>
      <c r="F180" s="18" t="s">
        <v>133</v>
      </c>
      <c r="G180" s="51" cm="1">
        <f t="array" ref="G180">IFERROR(
IFERROR(INDEX(Calc_CPI_1[[CPI uplift factor]:[CPI uplift factor]],MATCH(Calc_Retail_1[[#This Row],[Cost item]:[Cost item]],Calc_CPI_1[[Cost item]:[Cost item]],0),1),0)+
INDEX(Input_ForRateCalc[],MATCH(Calc_Retail_1[[#This Row],[Cost item]:[Cost item]],Input_ForRateCalc[[Cost item]:[Cost item]],0),MATCH($D$5,Inputs!$C$15:$AZ$15,0)),"-")</f>
        <v>45.050522648083621</v>
      </c>
      <c r="H180" s="51" cm="1">
        <f t="array" ref="H180">IFERROR(
IFERROR(INDEX(Calc_CPI_1[[CPI uplift factor]:[CPI uplift factor]],MATCH(Calc_Retail_1[[#This Row],[Cost item]:[Cost item]],Calc_CPI_1[[Cost item]:[Cost item]],0),1),0)+
INDEX(Input_ForRateCalc[],MATCH(Calc_Retail_1[[#This Row],[Cost item]:[Cost item]],Input_ForRateCalc[[Cost item]:[Cost item]],0),MATCH($D$5,Inputs!$C$15:$AZ$15,0)),"-")</f>
        <v>45.050522648083621</v>
      </c>
      <c r="I180" s="51" cm="1">
        <f t="array" ref="I180">IFERROR(
IFERROR(INDEX(Calc_CPI_1[[CPI uplift factor]:[CPI uplift factor]],MATCH(Calc_Retail_1[[#This Row],[Cost item]:[Cost item]],Calc_CPI_1[[Cost item]:[Cost item]],0),1),0)+
INDEX(Input_ForRateCalc[],MATCH(Calc_Retail_1[[#This Row],[Cost item]:[Cost item]],Input_ForRateCalc[[Cost item]:[Cost item]],0),MATCH($D$5,Inputs!$C$15:$AZ$15,0)),"-")</f>
        <v>45.050522648083621</v>
      </c>
      <c r="J180" s="51" cm="1">
        <f t="array" ref="J180">IFERROR(
IFERROR(INDEX(Calc_CPI_1[[CPI uplift factor]:[CPI uplift factor]],MATCH(Calc_Retail_1[[#This Row],[Cost item]:[Cost item]],Calc_CPI_1[[Cost item]:[Cost item]],0),1),0)+
INDEX(Input_ForRateCalc[],MATCH(Calc_Retail_1[[#This Row],[Cost item]:[Cost item]],Input_ForRateCalc[[Cost item]:[Cost item]],0),MATCH($D$5,Inputs!$C$15:$AZ$15,0)),"-")</f>
        <v>45.050522648083621</v>
      </c>
      <c r="K180" s="51" cm="1">
        <f t="array" ref="K180">IFERROR(
IFERROR(INDEX(Calc_CPI_1[[CPI uplift factor]:[CPI uplift factor]],MATCH(Calc_Retail_1[[#This Row],[Cost item]:[Cost item]],Calc_CPI_1[[Cost item]:[Cost item]],0),1),0)+
INDEX(Input_ForRateCalc[],MATCH(Calc_Retail_1[[#This Row],[Cost item]:[Cost item]],Input_ForRateCalc[[Cost item]:[Cost item]],0),MATCH($D$5,Inputs!$C$15:$AZ$15,0)),"-")</f>
        <v>45.050522648083621</v>
      </c>
    </row>
    <row r="182" spans="1:11" ht="16.5" thickBot="1" x14ac:dyDescent="0.3">
      <c r="B182" s="161">
        <f>MAX(B$3:B181)+0.01</f>
        <v>5.0399999999999991</v>
      </c>
      <c r="C182" s="23" t="s">
        <v>141</v>
      </c>
      <c r="D182" s="23"/>
      <c r="E182" s="23"/>
      <c r="F182" s="23"/>
      <c r="G182" s="23"/>
      <c r="H182" s="23"/>
      <c r="I182" s="23"/>
      <c r="J182" s="23"/>
      <c r="K182" s="23"/>
    </row>
    <row r="183" spans="1:11" outlineLevel="1" x14ac:dyDescent="0.25"/>
    <row r="184" spans="1:11" ht="15.75" outlineLevel="1" x14ac:dyDescent="0.25">
      <c r="C184" s="32" t="s">
        <v>49</v>
      </c>
      <c r="D184" s="32" t="s">
        <v>108</v>
      </c>
      <c r="E184" s="32" t="s">
        <v>56</v>
      </c>
      <c r="F184" s="32" t="s">
        <v>57</v>
      </c>
      <c r="G184" s="43" t="s">
        <v>59</v>
      </c>
      <c r="H184" s="43" t="s">
        <v>60</v>
      </c>
      <c r="I184" s="43" t="s">
        <v>61</v>
      </c>
      <c r="J184" s="43" t="s">
        <v>62</v>
      </c>
      <c r="K184" s="43" t="s">
        <v>63</v>
      </c>
    </row>
    <row r="185" spans="1:11" outlineLevel="1" x14ac:dyDescent="0.25">
      <c r="C185" s="18" t="s">
        <v>142</v>
      </c>
      <c r="D185" s="18" t="s">
        <v>132</v>
      </c>
      <c r="E185" s="18" t="s">
        <v>65</v>
      </c>
      <c r="F185" s="18" t="s">
        <v>133</v>
      </c>
      <c r="G185" s="170" cm="1">
        <f t="array" ref="G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2.2732873597606584</v>
      </c>
      <c r="H185" s="170" cm="1">
        <f t="array" ref="H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2.2732873597606584</v>
      </c>
      <c r="I185" s="170" cm="1">
        <f t="array" ref="I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2.2732873597606584</v>
      </c>
      <c r="J185" s="170" cm="1">
        <f t="array" ref="J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2.2732873597606584</v>
      </c>
      <c r="K185" s="170" cm="1">
        <f t="array" ref="K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2.2732873597606584</v>
      </c>
    </row>
    <row r="186" spans="1:11" outlineLevel="1" x14ac:dyDescent="0.25">
      <c r="C186" s="18" t="s">
        <v>143</v>
      </c>
      <c r="D186" s="18" t="s">
        <v>132</v>
      </c>
      <c r="E186" s="18" t="s">
        <v>65</v>
      </c>
      <c r="F186" s="18" t="s">
        <v>133</v>
      </c>
      <c r="G186" s="170" cm="1">
        <f t="array" ref="G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H186" s="170" cm="1">
        <f t="array" ref="H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I186" s="170" cm="1">
        <f t="array" ref="I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J186" s="170" cm="1">
        <f t="array" ref="J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K186" s="170" cm="1">
        <f t="array" ref="K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row>
    <row r="187" spans="1:11" outlineLevel="1" x14ac:dyDescent="0.25">
      <c r="C187" s="42" t="s">
        <v>144</v>
      </c>
      <c r="D187" s="18" t="s">
        <v>132</v>
      </c>
      <c r="E187" s="18" t="s">
        <v>145</v>
      </c>
      <c r="F187" s="18" t="s">
        <v>133</v>
      </c>
      <c r="G187" s="170" cm="1">
        <f t="array" ref="G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0.65700000000000003</v>
      </c>
      <c r="H187" s="170" cm="1">
        <f t="array" ref="H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0.65700000000000003</v>
      </c>
      <c r="I187" s="170" cm="1">
        <f t="array" ref="I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0.65700000000000003</v>
      </c>
      <c r="J187" s="170" cm="1">
        <f t="array" ref="J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0.65700000000000003</v>
      </c>
      <c r="K187" s="170" cm="1">
        <f t="array" ref="K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0.65700000000000003</v>
      </c>
    </row>
    <row r="188" spans="1:11" outlineLevel="1" x14ac:dyDescent="0.25">
      <c r="C188" s="18" t="s">
        <v>146</v>
      </c>
      <c r="D188" s="18" t="s">
        <v>132</v>
      </c>
      <c r="E188" s="18" t="s">
        <v>145</v>
      </c>
      <c r="F188" s="18" t="s">
        <v>133</v>
      </c>
      <c r="G188" s="170" cm="1">
        <f t="array" ref="G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1.5225714285714287</v>
      </c>
      <c r="H188" s="170" cm="1">
        <f t="array" ref="H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1.5225714285714287</v>
      </c>
      <c r="I188" s="170" cm="1">
        <f t="array" ref="I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1.5225714285714287</v>
      </c>
      <c r="J188" s="170" cm="1">
        <f t="array" ref="J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1.5225714285714287</v>
      </c>
      <c r="K188" s="170" cm="1">
        <f t="array" ref="K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1.5225714285714287</v>
      </c>
    </row>
    <row r="189" spans="1:11" ht="15.75" outlineLevel="1" collapsed="1" x14ac:dyDescent="0.25">
      <c r="A189" s="1" t="s">
        <v>35</v>
      </c>
      <c r="C189" s="18" t="s">
        <v>209</v>
      </c>
      <c r="D189" s="18" t="s">
        <v>178</v>
      </c>
      <c r="E189" s="18" t="s">
        <v>69</v>
      </c>
      <c r="F189" s="18" t="s">
        <v>133</v>
      </c>
      <c r="G189" s="170" cm="1">
        <f t="array" ref="G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2.9530000000000002E-4</v>
      </c>
      <c r="H189" s="170" cm="1">
        <f t="array" ref="H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2.9530000000000002E-4</v>
      </c>
      <c r="I189" s="170" cm="1">
        <f t="array" ref="I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2.9530000000000002E-4</v>
      </c>
      <c r="J189" s="170" cm="1">
        <f t="array" ref="J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2.9530000000000002E-4</v>
      </c>
      <c r="K189" s="170" cm="1">
        <f t="array" ref="K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2.9530000000000002E-4</v>
      </c>
    </row>
    <row r="190" spans="1:11" outlineLevel="1" x14ac:dyDescent="0.25">
      <c r="C190" s="18" t="s">
        <v>211</v>
      </c>
      <c r="D190" s="18" t="s">
        <v>178</v>
      </c>
      <c r="E190" s="18" t="s">
        <v>69</v>
      </c>
      <c r="F190" s="18" t="s">
        <v>133</v>
      </c>
      <c r="G190" s="170" cm="1">
        <f t="array" ref="G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H190" s="170" cm="1">
        <f t="array" ref="H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I190" s="170" cm="1">
        <f t="array" ref="I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J190" s="170" cm="1">
        <f t="array" ref="J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K190" s="170" cm="1">
        <f t="array" ref="K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row>
    <row r="191" spans="1:11" outlineLevel="1" x14ac:dyDescent="0.25">
      <c r="C191" s="18" t="s">
        <v>213</v>
      </c>
      <c r="D191" s="18" t="s">
        <v>178</v>
      </c>
      <c r="E191" s="18" t="s">
        <v>69</v>
      </c>
      <c r="F191" s="18" t="s">
        <v>133</v>
      </c>
      <c r="G191" s="170" cm="1">
        <f t="array" ref="G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9.9959999999999998E-5</v>
      </c>
      <c r="H191" s="170" cm="1">
        <f t="array" ref="H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9.9959999999999998E-5</v>
      </c>
      <c r="I191" s="170" cm="1">
        <f t="array" ref="I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9.9959999999999998E-5</v>
      </c>
      <c r="J191" s="170" cm="1">
        <f t="array" ref="J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9.9959999999999998E-5</v>
      </c>
      <c r="K191" s="170" cm="1">
        <f t="array" ref="K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9.9959999999999998E-5</v>
      </c>
    </row>
    <row r="192" spans="1:11" outlineLevel="1" x14ac:dyDescent="0.25">
      <c r="C192" s="18" t="s">
        <v>214</v>
      </c>
      <c r="D192" s="18" t="s">
        <v>178</v>
      </c>
      <c r="E192" s="18" t="s">
        <v>69</v>
      </c>
      <c r="F192" s="18" t="s">
        <v>133</v>
      </c>
      <c r="G192" s="170" cm="1">
        <f t="array" ref="G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1.184E-5</v>
      </c>
      <c r="H192" s="170" cm="1">
        <f t="array" ref="H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1.184E-5</v>
      </c>
      <c r="I192" s="170" cm="1">
        <f t="array" ref="I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1.184E-5</v>
      </c>
      <c r="J192" s="170" cm="1">
        <f t="array" ref="J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1.184E-5</v>
      </c>
      <c r="K192" s="170" cm="1">
        <f t="array" ref="K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1.184E-5</v>
      </c>
    </row>
    <row r="193" spans="2:11" outlineLevel="1" x14ac:dyDescent="0.25">
      <c r="C193" s="33" t="s">
        <v>212</v>
      </c>
      <c r="D193" s="33" t="s">
        <v>178</v>
      </c>
      <c r="E193" s="18" t="s">
        <v>69</v>
      </c>
      <c r="F193" s="18" t="s">
        <v>133</v>
      </c>
      <c r="G193" s="170" cm="1">
        <f t="array" ref="G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3.701E-4</v>
      </c>
      <c r="H193" s="170" cm="1">
        <f t="array" ref="H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3.701E-4</v>
      </c>
      <c r="I193" s="170" cm="1">
        <f t="array" ref="I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3.701E-4</v>
      </c>
      <c r="J193" s="170" cm="1">
        <f t="array" ref="J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3.701E-4</v>
      </c>
      <c r="K193" s="170" cm="1">
        <f t="array" ref="K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3.701E-4</v>
      </c>
    </row>
    <row r="194" spans="2:11" outlineLevel="1" x14ac:dyDescent="0.25">
      <c r="C194" s="18" t="s">
        <v>147</v>
      </c>
      <c r="D194" s="18" t="s">
        <v>132</v>
      </c>
      <c r="E194" s="18" t="s">
        <v>145</v>
      </c>
      <c r="F194" s="18" t="s">
        <v>133</v>
      </c>
      <c r="G194" s="170" cm="1">
        <f t="array" ref="G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4.8023571428571428</v>
      </c>
      <c r="H194" s="170" cm="1">
        <f t="array" ref="H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4.8023571428571428</v>
      </c>
      <c r="I194" s="170" cm="1">
        <f t="array" ref="I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4.8023571428571428</v>
      </c>
      <c r="J194" s="170" cm="1">
        <f t="array" ref="J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4.8023571428571428</v>
      </c>
      <c r="K194" s="170" cm="1">
        <f t="array" ref="K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4.8023571428571428</v>
      </c>
    </row>
    <row r="195" spans="2:11" outlineLevel="1" x14ac:dyDescent="0.25">
      <c r="C195" s="18" t="s">
        <v>148</v>
      </c>
      <c r="D195" s="18" t="s">
        <v>132</v>
      </c>
      <c r="E195" s="18" t="s">
        <v>145</v>
      </c>
      <c r="F195" s="18" t="s">
        <v>133</v>
      </c>
      <c r="G195" s="170" cm="1">
        <f t="array" ref="G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0.19292857142857145</v>
      </c>
      <c r="H195" s="170" cm="1">
        <f t="array" ref="H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0.19292857142857145</v>
      </c>
      <c r="I195" s="170" cm="1">
        <f t="array" ref="I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0.19292857142857145</v>
      </c>
      <c r="J195" s="170" cm="1">
        <f t="array" ref="J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0.19292857142857145</v>
      </c>
      <c r="K195" s="170" cm="1">
        <f t="array" ref="K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0.19292857142857145</v>
      </c>
    </row>
    <row r="196" spans="2:11" outlineLevel="1" x14ac:dyDescent="0.25">
      <c r="C196" s="18" t="s">
        <v>149</v>
      </c>
      <c r="D196" s="18" t="s">
        <v>132</v>
      </c>
      <c r="E196" s="18" t="s">
        <v>145</v>
      </c>
      <c r="F196" s="18" t="s">
        <v>133</v>
      </c>
      <c r="G196" s="170" cm="1">
        <f t="array" ref="G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1.6263357142857142</v>
      </c>
      <c r="H196" s="170" cm="1">
        <f t="array" ref="H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1.6263357142857142</v>
      </c>
      <c r="I196" s="170" cm="1">
        <f t="array" ref="I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1.6263357142857142</v>
      </c>
      <c r="J196" s="170" cm="1">
        <f t="array" ref="J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1.6263357142857142</v>
      </c>
      <c r="K196" s="170" cm="1">
        <f t="array" ref="K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1.6263357142857142</v>
      </c>
    </row>
    <row r="197" spans="2:11" outlineLevel="1" x14ac:dyDescent="0.25">
      <c r="C197" s="18" t="s">
        <v>216</v>
      </c>
      <c r="D197" s="18" t="s">
        <v>178</v>
      </c>
      <c r="E197" s="18" t="s">
        <v>69</v>
      </c>
      <c r="F197" s="18" t="s">
        <v>133</v>
      </c>
      <c r="G197" s="170" cm="1">
        <f t="array" ref="G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3.2720000000000002E-6</v>
      </c>
      <c r="H197" s="170" cm="1">
        <f t="array" ref="H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3.2720000000000002E-6</v>
      </c>
      <c r="I197" s="170" cm="1">
        <f t="array" ref="I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3.2720000000000002E-6</v>
      </c>
      <c r="J197" s="170" cm="1">
        <f t="array" ref="J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3.2720000000000002E-6</v>
      </c>
      <c r="K197" s="170" cm="1">
        <f t="array" ref="K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3.2720000000000002E-6</v>
      </c>
    </row>
    <row r="198" spans="2:11" outlineLevel="1" x14ac:dyDescent="0.25">
      <c r="C198" s="18" t="s">
        <v>217</v>
      </c>
      <c r="D198" s="18" t="s">
        <v>178</v>
      </c>
      <c r="E198" s="18" t="s">
        <v>69</v>
      </c>
      <c r="F198" s="18" t="s">
        <v>133</v>
      </c>
      <c r="G198" s="170" cm="1">
        <f t="array" ref="G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H198" s="170" cm="1">
        <f t="array" ref="H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I198" s="170" cm="1">
        <f t="array" ref="I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J198" s="170" cm="1">
        <f t="array" ref="J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K198" s="170" cm="1">
        <f t="array" ref="K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row>
    <row r="199" spans="2:11" outlineLevel="1" x14ac:dyDescent="0.25">
      <c r="C199" s="33" t="s">
        <v>218</v>
      </c>
      <c r="D199" s="33" t="s">
        <v>178</v>
      </c>
      <c r="E199" s="33" t="s">
        <v>69</v>
      </c>
      <c r="F199" s="18" t="s">
        <v>133</v>
      </c>
      <c r="G199" s="170" cm="1">
        <f t="array" ref="G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H199" s="170" cm="1">
        <f t="array" ref="H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I199" s="170" cm="1">
        <f t="array" ref="I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J199" s="170" cm="1">
        <f t="array" ref="J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K199" s="170" cm="1">
        <f t="array" ref="K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row>
    <row r="201" spans="2:11" ht="16.5" thickBot="1" x14ac:dyDescent="0.3">
      <c r="B201" s="161">
        <f>MAX(B$3:B200)+0.01</f>
        <v>5.0499999999999989</v>
      </c>
      <c r="C201" s="23" t="s">
        <v>81</v>
      </c>
      <c r="D201" s="23"/>
      <c r="E201" s="23"/>
      <c r="F201" s="23"/>
      <c r="G201" s="23"/>
      <c r="H201" s="23"/>
      <c r="I201" s="23"/>
      <c r="J201" s="23"/>
      <c r="K201" s="23"/>
    </row>
    <row r="202" spans="2:11" outlineLevel="1" x14ac:dyDescent="0.25"/>
    <row r="203" spans="2:11" ht="15.75" outlineLevel="1" x14ac:dyDescent="0.25">
      <c r="C203" s="24" t="s">
        <v>382</v>
      </c>
    </row>
    <row r="204" spans="2:11" ht="15.75" outlineLevel="1" x14ac:dyDescent="0.25">
      <c r="C204" s="32" t="s">
        <v>49</v>
      </c>
      <c r="D204" s="32" t="s">
        <v>108</v>
      </c>
      <c r="E204" s="32" t="s">
        <v>56</v>
      </c>
      <c r="F204" s="32" t="s">
        <v>57</v>
      </c>
      <c r="G204" s="43" t="s">
        <v>59</v>
      </c>
      <c r="H204" s="43" t="s">
        <v>60</v>
      </c>
      <c r="I204" s="43" t="s">
        <v>61</v>
      </c>
      <c r="J204" s="43" t="s">
        <v>62</v>
      </c>
      <c r="K204" s="43" t="s">
        <v>63</v>
      </c>
    </row>
    <row r="205" spans="2:11" outlineLevel="1" x14ac:dyDescent="0.25">
      <c r="C205" s="18" t="s">
        <v>64</v>
      </c>
      <c r="D205" s="18" t="s">
        <v>132</v>
      </c>
      <c r="E205" s="18" t="s">
        <v>151</v>
      </c>
      <c r="F205" s="18" t="s">
        <v>66</v>
      </c>
      <c r="G205" s="51" cm="1">
        <f t="array" ref="G205">IFERROR(
IFERROR(INDEX(Calc_CPI_1[[CPI uplift factor]:[CPI uplift factor]],MATCH($C205,Calc_CPI_1[[Cost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item]],0),MATCH($D$5,Inputs!$C$15:$AZ$15,0)),"-")</f>
        <v>141.1585</v>
      </c>
      <c r="H205" s="51" cm="1">
        <f t="array" ref="H205">IFERROR(
IFERROR(INDEX(Calc_CPI_1[[CPI uplift factor]:[CPI uplift factor]],MATCH($C205,Calc_CPI_1[[Cost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item]],0),MATCH($D$5,Inputs!$C$15:$AZ$15,0)),"-")</f>
        <v>90.009</v>
      </c>
      <c r="I205" s="51" cm="1">
        <f t="array" ref="I205">IFERROR(
IFERROR(INDEX(Calc_CPI_1[[CPI uplift factor]:[CPI uplift factor]],MATCH($C205,Calc_CPI_1[[Cost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item]],0),MATCH($D$5,Inputs!$C$15:$AZ$15,0)),"-")</f>
        <v>111.59090799999998</v>
      </c>
      <c r="J205" s="51" cm="1">
        <f t="array" ref="J205">IFERROR(
IFERROR(INDEX(Calc_CPI_1[[CPI uplift factor]:[CPI uplift factor]],MATCH($C205,Calc_CPI_1[[Cost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item]],0),MATCH($D$5,Inputs!$C$15:$AZ$15,0)),"-")</f>
        <v>139.97749999999999</v>
      </c>
      <c r="K205" s="51" cm="1">
        <f t="array" ref="K205">IFERROR(
IFERROR(INDEX(Calc_CPI_1[[CPI uplift factor]:[CPI uplift factor]],MATCH($C205,Calc_CPI_1[[Cost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item]],0),MATCH($D$5,Inputs!$C$15:$AZ$15,0)),"-")</f>
        <v>89.972499999999997</v>
      </c>
    </row>
    <row r="206" spans="2:11" outlineLevel="1" x14ac:dyDescent="0.25">
      <c r="C206" s="18" t="s">
        <v>64</v>
      </c>
      <c r="D206" s="18" t="s">
        <v>132</v>
      </c>
      <c r="E206" s="18" t="s">
        <v>151</v>
      </c>
      <c r="F206" s="18" t="s">
        <v>67</v>
      </c>
      <c r="G206" s="51" cm="1">
        <f t="array" ref="G206">IFERROR(
IFERROR(INDEX(Calc_CPI_1[[CPI uplift factor]:[CPI uplift factor]],MATCH($C206,Calc_CPI_1[[Cost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item]],0),MATCH($D$5,Inputs!$C$15:$AZ$15,0)),"-")</f>
        <v>141.1585</v>
      </c>
      <c r="H206" s="51" cm="1">
        <f t="array" ref="H206">IFERROR(
IFERROR(INDEX(Calc_CPI_1[[CPI uplift factor]:[CPI uplift factor]],MATCH($C206,Calc_CPI_1[[Cost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item]],0),MATCH($D$5,Inputs!$C$15:$AZ$15,0)),"-")</f>
        <v>150.01499999999999</v>
      </c>
      <c r="I206" s="51" cm="1">
        <f t="array" ref="I206">IFERROR(
IFERROR(INDEX(Calc_CPI_1[[CPI uplift factor]:[CPI uplift factor]],MATCH($C206,Calc_CPI_1[[Cost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item]],0),MATCH($D$5,Inputs!$C$15:$AZ$15,0)),"-")</f>
        <v>170.39664509999997</v>
      </c>
      <c r="J206" s="51" cm="1">
        <f t="array" ref="J206">IFERROR(
IFERROR(INDEX(Calc_CPI_1[[CPI uplift factor]:[CPI uplift factor]],MATCH($C206,Calc_CPI_1[[Cost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item]],0),MATCH($D$5,Inputs!$C$15:$AZ$15,0)),"-")</f>
        <v>179.98150000000001</v>
      </c>
      <c r="K206" s="51" cm="1">
        <f t="array" ref="K206">IFERROR(
IFERROR(INDEX(Calc_CPI_1[[CPI uplift factor]:[CPI uplift factor]],MATCH($C206,Calc_CPI_1[[Cost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item]],0),MATCH($D$5,Inputs!$C$15:$AZ$15,0)),"-")</f>
        <v>150.01499999999999</v>
      </c>
    </row>
    <row r="207" spans="2:11" outlineLevel="1" x14ac:dyDescent="0.25">
      <c r="C207" s="18" t="s">
        <v>72</v>
      </c>
      <c r="D207" s="18" t="s">
        <v>132</v>
      </c>
      <c r="E207" s="18" t="s">
        <v>151</v>
      </c>
      <c r="F207" s="18" t="s">
        <v>66</v>
      </c>
      <c r="G207" s="51" cm="1">
        <f t="array" ref="G207">IFERROR(
IFERROR(INDEX(Calc_CPI_1[[CPI uplift factor]:[CPI uplift factor]],MATCH($C207,Calc_CPI_1[[Cost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item]],0),MATCH($D$5,Inputs!$C$15:$AZ$15,0)),"-")</f>
        <v>141.1585</v>
      </c>
      <c r="H207" s="51" cm="1">
        <f t="array" ref="H207">IFERROR(
IFERROR(INDEX(Calc_CPI_1[[CPI uplift factor]:[CPI uplift factor]],MATCH($C207,Calc_CPI_1[[Cost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item]],0),MATCH($D$5,Inputs!$C$15:$AZ$15,0)),"-")</f>
        <v>90.009</v>
      </c>
      <c r="I207" s="51" cm="1">
        <f t="array" ref="I207">IFERROR(
IFERROR(INDEX(Calc_CPI_1[[CPI uplift factor]:[CPI uplift factor]],MATCH($C207,Calc_CPI_1[[Cost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item]],0),MATCH($D$5,Inputs!$C$15:$AZ$15,0)),"-")</f>
        <v>111.59090799999998</v>
      </c>
      <c r="J207" s="51" cm="1">
        <f t="array" ref="J207">IFERROR(
IFERROR(INDEX(Calc_CPI_1[[CPI uplift factor]:[CPI uplift factor]],MATCH($C207,Calc_CPI_1[[Cost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item]],0),MATCH($D$5,Inputs!$C$15:$AZ$15,0)),"-")</f>
        <v>139.97749999999999</v>
      </c>
      <c r="K207" s="51" cm="1">
        <f t="array" ref="K207">IFERROR(
IFERROR(INDEX(Calc_CPI_1[[CPI uplift factor]:[CPI uplift factor]],MATCH($C207,Calc_CPI_1[[Cost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item]],0),MATCH($D$5,Inputs!$C$15:$AZ$15,0)),"-")</f>
        <v>89.972499999999997</v>
      </c>
    </row>
    <row r="208" spans="2:11" outlineLevel="1" x14ac:dyDescent="0.25">
      <c r="C208" s="18" t="s">
        <v>72</v>
      </c>
      <c r="D208" s="18" t="s">
        <v>132</v>
      </c>
      <c r="E208" s="18" t="s">
        <v>151</v>
      </c>
      <c r="F208" s="18" t="s">
        <v>67</v>
      </c>
      <c r="G208" s="51" cm="1">
        <f t="array" ref="G208">IFERROR(
IFERROR(INDEX(Calc_CPI_1[[CPI uplift factor]:[CPI uplift factor]],MATCH($C208,Calc_CPI_1[[Cost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item]],0),MATCH($D$5,Inputs!$C$15:$AZ$15,0)),"-")</f>
        <v>141.1585</v>
      </c>
      <c r="H208" s="51" cm="1">
        <f t="array" ref="H208">IFERROR(
IFERROR(INDEX(Calc_CPI_1[[CPI uplift factor]:[CPI uplift factor]],MATCH($C208,Calc_CPI_1[[Cost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item]],0),MATCH($D$5,Inputs!$C$15:$AZ$15,0)),"-")</f>
        <v>150.01499999999999</v>
      </c>
      <c r="I208" s="51" cm="1">
        <f t="array" ref="I208">IFERROR(
IFERROR(INDEX(Calc_CPI_1[[CPI uplift factor]:[CPI uplift factor]],MATCH($C208,Calc_CPI_1[[Cost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item]],0),MATCH($D$5,Inputs!$C$15:$AZ$15,0)),"-")</f>
        <v>303.69970000000001</v>
      </c>
      <c r="J208" s="51" cm="1">
        <f t="array" ref="J208">IFERROR(
IFERROR(INDEX(Calc_CPI_1[[CPI uplift factor]:[CPI uplift factor]],MATCH($C208,Calc_CPI_1[[Cost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item]],0),MATCH($D$5,Inputs!$C$15:$AZ$15,0)),"-")</f>
        <v>179.98150000000001</v>
      </c>
      <c r="K208" s="51" cm="1">
        <f t="array" ref="K208">IFERROR(
IFERROR(INDEX(Calc_CPI_1[[CPI uplift factor]:[CPI uplift factor]],MATCH($C208,Calc_CPI_1[[Cost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item]],0),MATCH($D$5,Inputs!$C$15:$AZ$15,0)),"-")</f>
        <v>150.01499999999999</v>
      </c>
    </row>
    <row r="209" spans="1:11" outlineLevel="1" x14ac:dyDescent="0.25">
      <c r="C209" s="33" t="s">
        <v>357</v>
      </c>
      <c r="D209" s="33" t="s">
        <v>132</v>
      </c>
      <c r="E209" s="18" t="s">
        <v>151</v>
      </c>
      <c r="F209" s="18" t="s">
        <v>133</v>
      </c>
      <c r="G209" s="51" cm="1">
        <f t="array" ref="G209">IFERROR(
IFERROR(INDEX(Calc_CPI_1[[CPI uplift factor]:[CPI uplift factor]],MATCH($C209,Calc_CPI_1[[Cost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item]],0),MATCH($D$5,Inputs!$C$15:$AZ$15,0)),"-")</f>
        <v>84.384749338817059</v>
      </c>
      <c r="H209" s="51" cm="1">
        <f t="array" ref="H209">IFERROR(
IFERROR(INDEX(Calc_CPI_1[[CPI uplift factor]:[CPI uplift factor]],MATCH($C209,Calc_CPI_1[[Cost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item]],0),MATCH($D$5,Inputs!$C$15:$AZ$15,0)),"-")</f>
        <v>72.143296658981029</v>
      </c>
      <c r="I209" s="51" cm="1">
        <f t="array" ref="I209">IFERROR(
IFERROR(INDEX(Calc_CPI_1[[CPI uplift factor]:[CPI uplift factor]],MATCH($C209,Calc_CPI_1[[Cost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item]],0),MATCH($D$5,Inputs!$C$15:$AZ$15,0)),"-")</f>
        <v>62.444035542518748</v>
      </c>
      <c r="J209" s="51" cm="1">
        <f t="array" ref="J209">IFERROR(
IFERROR(INDEX(Calc_CPI_1[[CPI uplift factor]:[CPI uplift factor]],MATCH($C209,Calc_CPI_1[[Cost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item]],0),MATCH($D$5,Inputs!$C$15:$AZ$15,0)),"-")</f>
        <v>68.427245794046655</v>
      </c>
      <c r="K209" s="51" cm="1">
        <f t="array" ref="K209">IFERROR(
IFERROR(INDEX(Calc_CPI_1[[CPI uplift factor]:[CPI uplift factor]],MATCH($C209,Calc_CPI_1[[Cost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item]],0),MATCH($D$5,Inputs!$C$15:$AZ$15,0)),"-")</f>
        <v>48.865193782171744</v>
      </c>
    </row>
    <row r="210" spans="1:11" outlineLevel="1" x14ac:dyDescent="0.25"/>
    <row r="211" spans="1:11" ht="15.75" outlineLevel="1" x14ac:dyDescent="0.25">
      <c r="C211" s="24" t="s">
        <v>383</v>
      </c>
    </row>
    <row r="212" spans="1:11" ht="15.75" outlineLevel="1" x14ac:dyDescent="0.25">
      <c r="C212" s="32" t="s">
        <v>49</v>
      </c>
      <c r="D212" s="32" t="s">
        <v>108</v>
      </c>
      <c r="E212" s="32" t="s">
        <v>56</v>
      </c>
      <c r="F212" s="32" t="s">
        <v>57</v>
      </c>
      <c r="G212" s="43" t="s">
        <v>59</v>
      </c>
      <c r="H212" s="43" t="s">
        <v>60</v>
      </c>
      <c r="I212" s="43" t="s">
        <v>61</v>
      </c>
      <c r="J212" s="43" t="s">
        <v>62</v>
      </c>
      <c r="K212" s="43" t="s">
        <v>63</v>
      </c>
    </row>
    <row r="213" spans="1:11" outlineLevel="1" x14ac:dyDescent="0.25">
      <c r="C213" s="18" t="s">
        <v>68</v>
      </c>
      <c r="D213" s="18" t="s">
        <v>178</v>
      </c>
      <c r="E213" s="18" t="s">
        <v>69</v>
      </c>
      <c r="F213" s="18" t="s">
        <v>66</v>
      </c>
      <c r="G213" s="51" cm="1">
        <f t="array" ref="G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0.13469799999999998</v>
      </c>
      <c r="H213" s="51" t="str" cm="1">
        <f t="array" ref="H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v>
      </c>
      <c r="I213" s="51" t="str" cm="1">
        <f t="array" ref="I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v>
      </c>
      <c r="J213" s="51" t="str" cm="1">
        <f t="array" ref="J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v>
      </c>
      <c r="K213" s="51" t="str" cm="1">
        <f t="array" ref="K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v>
      </c>
    </row>
    <row r="214" spans="1:11" outlineLevel="1" x14ac:dyDescent="0.25">
      <c r="C214" s="18" t="s">
        <v>70</v>
      </c>
      <c r="D214" s="18" t="s">
        <v>178</v>
      </c>
      <c r="E214" s="18" t="s">
        <v>69</v>
      </c>
      <c r="F214" s="18" t="s">
        <v>66</v>
      </c>
      <c r="G214" s="51" cm="1">
        <f t="array" ref="G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0.13737199999999999</v>
      </c>
      <c r="H214" s="51" t="str" cm="1">
        <f t="array" ref="H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v>
      </c>
      <c r="I214" s="51" t="str" cm="1">
        <f t="array" ref="I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v>
      </c>
      <c r="J214" s="51" t="str" cm="1">
        <f t="array" ref="J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v>
      </c>
      <c r="K214" s="51" t="str" cm="1">
        <f t="array" ref="K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v>
      </c>
    </row>
    <row r="215" spans="1:11" outlineLevel="1" x14ac:dyDescent="0.25">
      <c r="C215" s="18" t="s">
        <v>71</v>
      </c>
      <c r="D215" s="18" t="s">
        <v>178</v>
      </c>
      <c r="E215" s="18" t="s">
        <v>69</v>
      </c>
      <c r="F215" s="18" t="s">
        <v>66</v>
      </c>
      <c r="G215" s="51" t="str" cm="1">
        <f t="array" ref="G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v>
      </c>
      <c r="H215" s="51" cm="1">
        <f t="array" ref="H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8.0299999999999996E-2</v>
      </c>
      <c r="I215" s="51" cm="1">
        <f t="array" ref="I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0.10189499020000001</v>
      </c>
      <c r="J215" s="51" cm="1">
        <f t="array" ref="J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9.4700000000000006E-2</v>
      </c>
      <c r="K215" s="51" cm="1">
        <f t="array" ref="K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8.9700000000000002E-2</v>
      </c>
    </row>
    <row r="216" spans="1:11" outlineLevel="1" x14ac:dyDescent="0.25">
      <c r="C216" s="18" t="s">
        <v>73</v>
      </c>
      <c r="D216" s="18" t="s">
        <v>178</v>
      </c>
      <c r="E216" s="18" t="s">
        <v>69</v>
      </c>
      <c r="F216" s="18" t="s">
        <v>66</v>
      </c>
      <c r="G216" s="51" cm="1">
        <f t="array" ref="G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0.23836541229470223</v>
      </c>
      <c r="H216" s="51" cm="1">
        <f t="array" ref="H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0.15990000000000001</v>
      </c>
      <c r="I216" s="51" cm="1">
        <f t="array" ref="I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0.16852856820000001</v>
      </c>
      <c r="J216" s="51" cm="1">
        <f t="array" ref="J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0.18510000000000001</v>
      </c>
      <c r="K216" s="51" cm="1">
        <f t="array" ref="K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0.17510000000000001</v>
      </c>
    </row>
    <row r="217" spans="1:11" outlineLevel="1" x14ac:dyDescent="0.25">
      <c r="C217" s="18" t="s">
        <v>74</v>
      </c>
      <c r="D217" s="18" t="s">
        <v>178</v>
      </c>
      <c r="E217" s="18" t="s">
        <v>69</v>
      </c>
      <c r="F217" s="18" t="s">
        <v>66</v>
      </c>
      <c r="G217" s="51" cm="1">
        <f t="array" ref="G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4.787851885391374E-2</v>
      </c>
      <c r="H217" s="51" cm="1">
        <f t="array" ref="H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0.04</v>
      </c>
      <c r="I217" s="51" cm="1">
        <f t="array" ref="I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4.8303303799999996E-2</v>
      </c>
      <c r="J217" s="51" cm="1">
        <f t="array" ref="J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4.6300000000000001E-2</v>
      </c>
      <c r="K217" s="51" cm="1">
        <f t="array" ref="K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4.3700000000000003E-2</v>
      </c>
    </row>
    <row r="218" spans="1:11" outlineLevel="1" x14ac:dyDescent="0.25">
      <c r="C218" s="18" t="s">
        <v>75</v>
      </c>
      <c r="D218" s="18" t="s">
        <v>178</v>
      </c>
      <c r="E218" s="18" t="s">
        <v>69</v>
      </c>
      <c r="F218" s="18" t="s">
        <v>66</v>
      </c>
      <c r="G218" s="51" cm="1">
        <f t="array" ref="G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4.787851885391374E-2</v>
      </c>
      <c r="H218" s="51" cm="1">
        <f t="array" ref="H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2.41E-2</v>
      </c>
      <c r="I218" s="51" cm="1">
        <f t="array" ref="I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4.09174993E-2</v>
      </c>
      <c r="J218" s="51" cm="1">
        <f t="array" ref="J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2.6600000000000002E-2</v>
      </c>
      <c r="K218" s="51" cm="1">
        <f t="array" ref="K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2.5600000000000001E-2</v>
      </c>
    </row>
    <row r="219" spans="1:11" outlineLevel="1" x14ac:dyDescent="0.25">
      <c r="C219" s="18" t="s">
        <v>68</v>
      </c>
      <c r="D219" s="18" t="s">
        <v>178</v>
      </c>
      <c r="E219" s="18" t="s">
        <v>69</v>
      </c>
      <c r="F219" s="18" t="s">
        <v>67</v>
      </c>
      <c r="G219" s="51" cm="1">
        <f t="array" ref="G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0.19387499999999999</v>
      </c>
      <c r="H219" s="51" t="str" cm="1">
        <f t="array" ref="H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v>
      </c>
      <c r="I219" s="51" t="str" cm="1">
        <f t="array" ref="I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v>
      </c>
      <c r="J219" s="51" t="str" cm="1">
        <f t="array" ref="J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v>
      </c>
      <c r="K219" s="51" t="str" cm="1">
        <f t="array" ref="K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v>
      </c>
    </row>
    <row r="220" spans="1:11" outlineLevel="1" x14ac:dyDescent="0.25">
      <c r="C220" s="18" t="s">
        <v>70</v>
      </c>
      <c r="D220" s="18" t="s">
        <v>178</v>
      </c>
      <c r="E220" s="18" t="s">
        <v>69</v>
      </c>
      <c r="F220" s="18" t="s">
        <v>67</v>
      </c>
      <c r="G220" s="51" cm="1">
        <f t="array" ref="G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0.203847</v>
      </c>
      <c r="H220" s="51" t="str" cm="1">
        <f t="array" ref="H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v>
      </c>
      <c r="I220" s="51" t="str" cm="1">
        <f t="array" ref="I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v>
      </c>
      <c r="J220" s="51" t="str" cm="1">
        <f t="array" ref="J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v>
      </c>
      <c r="K220" s="51" t="str" cm="1">
        <f t="array" ref="K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v>
      </c>
    </row>
    <row r="221" spans="1:11" ht="15.75" outlineLevel="1" collapsed="1" x14ac:dyDescent="0.25">
      <c r="A221" s="1" t="s">
        <v>35</v>
      </c>
      <c r="C221" s="18" t="s">
        <v>71</v>
      </c>
      <c r="D221" s="18" t="s">
        <v>178</v>
      </c>
      <c r="E221" s="18" t="s">
        <v>69</v>
      </c>
      <c r="F221" s="18" t="s">
        <v>67</v>
      </c>
      <c r="G221" s="51" t="str" cm="1">
        <f t="array" ref="G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v>
      </c>
      <c r="H221" s="51" cm="1">
        <f t="array" ref="H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8.8800000000000004E-2</v>
      </c>
      <c r="I221" s="51" cm="1">
        <f t="array" ref="I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0.13405337370000001</v>
      </c>
      <c r="J221" s="51" cm="1">
        <f t="array" ref="J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0.10589999999999999</v>
      </c>
      <c r="K221" s="51" cm="1">
        <f t="array" ref="K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9.8599999999999993E-2</v>
      </c>
    </row>
    <row r="222" spans="1:11" outlineLevel="1" x14ac:dyDescent="0.25">
      <c r="C222" s="18" t="s">
        <v>73</v>
      </c>
      <c r="D222" s="18" t="s">
        <v>178</v>
      </c>
      <c r="E222" s="18" t="s">
        <v>69</v>
      </c>
      <c r="F222" s="18" t="s">
        <v>67</v>
      </c>
      <c r="G222" s="51" cm="1">
        <f t="array" ref="G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0.20422266911355627</v>
      </c>
      <c r="H222" s="51" cm="1">
        <f t="array" ref="H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0.14460000000000001</v>
      </c>
      <c r="I222" s="51" cm="1">
        <f t="array" ref="I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0.17037500000000003</v>
      </c>
      <c r="J222" s="51" cm="1">
        <f t="array" ref="J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0.18859999999999999</v>
      </c>
      <c r="K222" s="51" cm="1">
        <f t="array" ref="K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0.1618</v>
      </c>
    </row>
    <row r="223" spans="1:11" outlineLevel="1" x14ac:dyDescent="0.25">
      <c r="C223" s="18" t="s">
        <v>74</v>
      </c>
      <c r="D223" s="33" t="s">
        <v>178</v>
      </c>
      <c r="E223" s="18" t="s">
        <v>69</v>
      </c>
      <c r="F223" s="18" t="s">
        <v>67</v>
      </c>
      <c r="G223" s="51" cm="1">
        <f t="array" ref="G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4.8104057633506642E-2</v>
      </c>
      <c r="H223" s="51" cm="1">
        <f t="array" ref="H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3.2199999999999999E-2</v>
      </c>
      <c r="I223" s="51" cm="1">
        <f t="array" ref="I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3.5708999999999998E-2</v>
      </c>
      <c r="J223" s="51" cm="1">
        <f t="array" ref="J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4.1900000000000007E-2</v>
      </c>
      <c r="K223" s="51" cm="1">
        <f t="array" ref="K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3.6000000000000004E-2</v>
      </c>
    </row>
    <row r="225" spans="1:11" ht="16.5" thickBot="1" x14ac:dyDescent="0.3">
      <c r="B225" s="161">
        <f>MAX(B$3:B224)+0.01</f>
        <v>5.0599999999999987</v>
      </c>
      <c r="C225" s="23" t="s">
        <v>176</v>
      </c>
      <c r="D225" s="23"/>
      <c r="E225" s="23"/>
      <c r="F225" s="23"/>
      <c r="G225" s="23"/>
      <c r="H225" s="23"/>
      <c r="I225" s="23"/>
      <c r="J225" s="23"/>
      <c r="K225" s="23"/>
    </row>
    <row r="226" spans="1:11" outlineLevel="1" x14ac:dyDescent="0.25"/>
    <row r="227" spans="1:11" ht="15.75" outlineLevel="1" x14ac:dyDescent="0.25">
      <c r="C227" s="24" t="s">
        <v>384</v>
      </c>
    </row>
    <row r="228" spans="1:11" ht="15.75" outlineLevel="1" x14ac:dyDescent="0.25">
      <c r="C228" s="32" t="s">
        <v>49</v>
      </c>
      <c r="D228" s="32" t="s">
        <v>108</v>
      </c>
      <c r="E228" s="32" t="s">
        <v>56</v>
      </c>
      <c r="F228" s="32" t="s">
        <v>57</v>
      </c>
      <c r="G228" s="43" t="s">
        <v>59</v>
      </c>
      <c r="H228" s="43" t="s">
        <v>60</v>
      </c>
      <c r="I228" s="43" t="s">
        <v>61</v>
      </c>
      <c r="J228" s="43" t="s">
        <v>62</v>
      </c>
      <c r="K228" s="43" t="s">
        <v>63</v>
      </c>
    </row>
    <row r="229" spans="1:11" outlineLevel="1" x14ac:dyDescent="0.25">
      <c r="C229" s="18" t="s">
        <v>385</v>
      </c>
      <c r="D229" s="18" t="s">
        <v>178</v>
      </c>
      <c r="E229" s="18" t="s">
        <v>69</v>
      </c>
      <c r="F229" s="18" t="s">
        <v>66</v>
      </c>
      <c r="G229" s="51" cm="1">
        <f t="array" ref="G229">IFERROR(
(IFERROR(INDEX(Calc_CPI_1[[CPI uplift factor]:[CPI uplift factor]],MATCH(Calc_WholesaleRES_1[[#This Row],[Cost item]:[Cost item]],Calc_CPI_1[[Cost item]:[Cost item]],0),1),0)+
INDEX(Input_ForRateCalc[],MATCH(Calc_WholesaleRES_1[[#This Row],[Cost item]:[Cost item]]&amp;" - "&amp;Calc_WholesaleRES_1[[#Headers],[Ausnet]],Input_ForRateCalc[[Cost item]:[Cost item]],0),MATCH($D$5,Inputs!$C$15:$AZ$15,0)))/1000,"-")</f>
        <v>0.12113</v>
      </c>
      <c r="H229" s="51" cm="1">
        <f t="array" ref="H229">IFERROR(
(IFERROR(INDEX(Calc_CPI_1[[CPI uplift factor]:[CPI uplift factor]],MATCH(Calc_WholesaleRES_1[[#This Row],[Cost item]:[Cost item]],Calc_CPI_1[[Cost item]:[Cost item]],0),1),0)+
INDEX(Input_ForRateCalc[],MATCH(Calc_WholesaleRES_1[[#This Row],[Cost item]:[Cost item]]&amp;" - "&amp;Calc_WholesaleRES_1[[#Headers],[Citipower]],Input_ForRateCalc[[Cost item]:[Cost item]],0),MATCH($D$5,Inputs!$C$15:$AZ$15,0)))/1000,"-")</f>
        <v>0.10535</v>
      </c>
      <c r="I229" s="51" cm="1">
        <f t="array" ref="I229">IFERROR(
(IFERROR(INDEX(Calc_CPI_1[[CPI uplift factor]:[CPI uplift factor]],MATCH(Calc_WholesaleRES_1[[#This Row],[Cost item]:[Cost item]],Calc_CPI_1[[Cost item]:[Cost item]],0),1),0)+
INDEX(Input_ForRateCalc[],MATCH(Calc_WholesaleRES_1[[#This Row],[Cost item]:[Cost item]]&amp;" - "&amp;Calc_WholesaleRES_1[[#Headers],[Jemena]],Input_ForRateCalc[[Cost item]:[Cost item]],0),MATCH($D$5,Inputs!$C$15:$AZ$15,0)))/1000,"-")</f>
        <v>0.11890000000000001</v>
      </c>
      <c r="J229" s="51" cm="1">
        <f t="array" ref="J229">IFERROR(
(IFERROR(INDEX(Calc_CPI_1[[CPI uplift factor]:[CPI uplift factor]],MATCH(Calc_WholesaleRES_1[[#This Row],[Cost item]:[Cost item]],Calc_CPI_1[[Cost item]:[Cost item]],0),1),0)+
INDEX(Input_ForRateCalc[],MATCH(Calc_WholesaleRES_1[[#This Row],[Cost item]:[Cost item]]&amp;" - "&amp;Calc_WholesaleRES_1[[#Headers],[Powercor]],Input_ForRateCalc[[Cost item]:[Cost item]],0),MATCH($D$5,Inputs!$C$15:$AZ$15,0)))/1000,"-")</f>
        <v>0.12035</v>
      </c>
      <c r="K229" s="51" cm="1">
        <f t="array" ref="K229">IFERROR(
(IFERROR(INDEX(Calc_CPI_1[[CPI uplift factor]:[CPI uplift factor]],MATCH(Calc_WholesaleRES_1[[#This Row],[Cost item]:[Cost item]],Calc_CPI_1[[Cost item]:[Cost item]],0),1),0)+
INDEX(Input_ForRateCalc[],MATCH(Calc_WholesaleRES_1[[#This Row],[Cost item]:[Cost item]]&amp;" - "&amp;Calc_WholesaleRES_1[[#Headers],[United Energy]],Input_ForRateCalc[[Cost item]:[Cost item]],0),MATCH($D$5,Inputs!$C$15:$AZ$15,0)))/1000,"-")</f>
        <v>0.11651</v>
      </c>
    </row>
    <row r="230" spans="1:11" outlineLevel="1" x14ac:dyDescent="0.25">
      <c r="C230" s="18" t="s">
        <v>386</v>
      </c>
      <c r="D230" s="18" t="s">
        <v>178</v>
      </c>
      <c r="E230" s="18" t="s">
        <v>69</v>
      </c>
      <c r="F230" s="18" t="s">
        <v>66</v>
      </c>
      <c r="G230" s="51" cm="1">
        <f t="array" ref="G230">IFERROR(
(IFERROR(INDEX(Calc_CPI_1[[CPI uplift factor]:[CPI uplift factor]],MATCH(Calc_WholesaleRES_1[[#This Row],[Cost item]:[Cost item]],Calc_CPI_1[[Cost item]:[Cost item]],0),1),0)+
INDEX(Input_ForRateCalc[],MATCH(Calc_WholesaleRES_1[[#This Row],[Cost item]:[Cost item]]&amp;" - "&amp;Calc_WholesaleRES_1[[#Headers],[Ausnet]],Input_ForRateCalc[[Cost item]:[Cost item]],0),MATCH($D$5,Inputs!$C$15:$AZ$15,0)))/1000,"-")</f>
        <v>2.9E-4</v>
      </c>
      <c r="H230" s="51" cm="1">
        <f t="array" ref="H230">IFERROR(
(IFERROR(INDEX(Calc_CPI_1[[CPI uplift factor]:[CPI uplift factor]],MATCH(Calc_WholesaleRES_1[[#This Row],[Cost item]:[Cost item]],Calc_CPI_1[[Cost item]:[Cost item]],0),1),0)+
INDEX(Input_ForRateCalc[],MATCH(Calc_WholesaleRES_1[[#This Row],[Cost item]:[Cost item]]&amp;" - "&amp;Calc_WholesaleRES_1[[#Headers],[Citipower]],Input_ForRateCalc[[Cost item]:[Cost item]],0),MATCH($D$5,Inputs!$C$15:$AZ$15,0)))/1000,"-")</f>
        <v>2.3999999999999998E-4</v>
      </c>
      <c r="I230" s="51" cm="1">
        <f t="array" ref="I230">IFERROR(
(IFERROR(INDEX(Calc_CPI_1[[CPI uplift factor]:[CPI uplift factor]],MATCH(Calc_WholesaleRES_1[[#This Row],[Cost item]:[Cost item]],Calc_CPI_1[[Cost item]:[Cost item]],0),1),0)+
INDEX(Input_ForRateCalc[],MATCH(Calc_WholesaleRES_1[[#This Row],[Cost item]:[Cost item]]&amp;" - "&amp;Calc_WholesaleRES_1[[#Headers],[Jemena]],Input_ForRateCalc[[Cost item]:[Cost item]],0),MATCH($D$5,Inputs!$C$15:$AZ$15,0)))/1000,"-")</f>
        <v>2.9999999999999997E-4</v>
      </c>
      <c r="J230" s="51" cm="1">
        <f t="array" ref="J230">IFERROR(
(IFERROR(INDEX(Calc_CPI_1[[CPI uplift factor]:[CPI uplift factor]],MATCH(Calc_WholesaleRES_1[[#This Row],[Cost item]:[Cost item]],Calc_CPI_1[[Cost item]:[Cost item]],0),1),0)+
INDEX(Input_ForRateCalc[],MATCH(Calc_WholesaleRES_1[[#This Row],[Cost item]:[Cost item]]&amp;" - "&amp;Calc_WholesaleRES_1[[#Headers],[Powercor]],Input_ForRateCalc[[Cost item]:[Cost item]],0),MATCH($D$5,Inputs!$C$15:$AZ$15,0)))/1000,"-")</f>
        <v>3.3E-4</v>
      </c>
      <c r="K230" s="51" cm="1">
        <f t="array" ref="K230">IFERROR(
(IFERROR(INDEX(Calc_CPI_1[[CPI uplift factor]:[CPI uplift factor]],MATCH(Calc_WholesaleRES_1[[#This Row],[Cost item]:[Cost item]],Calc_CPI_1[[Cost item]:[Cost item]],0),1),0)+
INDEX(Input_ForRateCalc[],MATCH(Calc_WholesaleRES_1[[#This Row],[Cost item]:[Cost item]]&amp;" - "&amp;Calc_WholesaleRES_1[[#Headers],[United Energy]],Input_ForRateCalc[[Cost item]:[Cost item]],0),MATCH($D$5,Inputs!$C$15:$AZ$15,0)))/1000,"-")</f>
        <v>2.9E-4</v>
      </c>
    </row>
    <row r="231" spans="1:11" outlineLevel="1" x14ac:dyDescent="0.25">
      <c r="C231" s="33" t="s">
        <v>365</v>
      </c>
      <c r="D231" s="33" t="s">
        <v>178</v>
      </c>
      <c r="E231" s="33" t="s">
        <v>69</v>
      </c>
      <c r="F231" s="18" t="s">
        <v>66</v>
      </c>
      <c r="G231" s="51">
        <f>IFERROR(G229+G230,"-")</f>
        <v>0.12142</v>
      </c>
      <c r="H231" s="51">
        <f>IFERROR(H229+H230,"-")</f>
        <v>0.10559</v>
      </c>
      <c r="I231" s="51">
        <f>IFERROR(I229+I230,"-")</f>
        <v>0.1192</v>
      </c>
      <c r="J231" s="51">
        <f>IFERROR(J229+J230,"-")</f>
        <v>0.12068</v>
      </c>
      <c r="K231" s="51">
        <f>IFERROR(K229+K230,"-")</f>
        <v>0.1168</v>
      </c>
    </row>
    <row r="232" spans="1:11" outlineLevel="1" x14ac:dyDescent="0.25"/>
    <row r="233" spans="1:11" ht="15.75" outlineLevel="1" x14ac:dyDescent="0.25">
      <c r="C233" s="24" t="s">
        <v>387</v>
      </c>
    </row>
    <row r="234" spans="1:11" ht="15.75" outlineLevel="1" x14ac:dyDescent="0.25">
      <c r="C234" s="32" t="s">
        <v>49</v>
      </c>
      <c r="D234" s="32" t="s">
        <v>108</v>
      </c>
      <c r="E234" s="32" t="s">
        <v>56</v>
      </c>
      <c r="F234" s="32" t="s">
        <v>57</v>
      </c>
      <c r="G234" s="43" t="s">
        <v>59</v>
      </c>
      <c r="H234" s="43" t="s">
        <v>60</v>
      </c>
      <c r="I234" s="43" t="s">
        <v>61</v>
      </c>
      <c r="J234" s="43" t="s">
        <v>62</v>
      </c>
      <c r="K234" s="43" t="s">
        <v>63</v>
      </c>
    </row>
    <row r="235" spans="1:11" ht="15.75" outlineLevel="1" collapsed="1" x14ac:dyDescent="0.25">
      <c r="A235" s="1" t="s">
        <v>35</v>
      </c>
      <c r="C235" s="18" t="s">
        <v>388</v>
      </c>
      <c r="D235" s="18" t="s">
        <v>178</v>
      </c>
      <c r="E235" s="18" t="s">
        <v>69</v>
      </c>
      <c r="F235" s="18" t="s">
        <v>67</v>
      </c>
      <c r="G235" s="51" cm="1">
        <f t="array" ref="G235">IFERROR(
(IFERROR(INDEX(Calc_CPI_1[[CPI uplift factor]:[CPI uplift factor]],MATCH(Calc_WholesaleSME_1[[#This Row],[Cost item]:[Cost item]],Calc_CPI_1[[Cost item]:[Cost item]],0),1),0)+
INDEX(Input_ForRateCalc[],MATCH(Calc_WholesaleSME_1[[#This Row],[Cost item]:[Cost item]]&amp;" - "&amp;Calc_WholesaleSME_1[[#Headers],[Ausnet]],Input_ForRateCalc[[Cost item]:[Cost item]],0),MATCH($D$5,Inputs!$C$15:$AZ$15,0)))/1000,"-")</f>
        <v>9.8000000000000004E-2</v>
      </c>
      <c r="H235" s="51" cm="1">
        <f t="array" ref="H235">IFERROR(
(IFERROR(INDEX(Calc_CPI_1[[CPI uplift factor]:[CPI uplift factor]],MATCH(Calc_WholesaleSME_1[[#This Row],[Cost item]:[Cost item]],Calc_CPI_1[[Cost item]:[Cost item]],0),1),0)+
INDEX(Input_ForRateCalc[],MATCH(Calc_WholesaleSME_1[[#This Row],[Cost item]:[Cost item]]&amp;" - "&amp;Calc_WholesaleSME_1[[#Headers],[Citipower]],Input_ForRateCalc[[Cost item]:[Cost item]],0),MATCH($D$5,Inputs!$C$15:$AZ$15,0)))/1000,"-")</f>
        <v>9.4730000000000009E-2</v>
      </c>
      <c r="I235" s="51" cm="1">
        <f t="array" ref="I235">IFERROR(
(IFERROR(INDEX(Calc_CPI_1[[CPI uplift factor]:[CPI uplift factor]],MATCH(Calc_WholesaleSME_1[[#This Row],[Cost item]:[Cost item]],Calc_CPI_1[[Cost item]:[Cost item]],0),1),0)+
INDEX(Input_ForRateCalc[],MATCH(Calc_WholesaleSME_1[[#This Row],[Cost item]:[Cost item]]&amp;" - "&amp;Calc_WholesaleSME_1[[#Headers],[Jemena]],Input_ForRateCalc[[Cost item]:[Cost item]],0),MATCH($D$5,Inputs!$C$15:$AZ$15,0)))/1000,"-")</f>
        <v>0.10036</v>
      </c>
      <c r="J235" s="51" cm="1">
        <f t="array" ref="J235">IFERROR(
(IFERROR(INDEX(Calc_CPI_1[[CPI uplift factor]:[CPI uplift factor]],MATCH(Calc_WholesaleSME_1[[#This Row],[Cost item]:[Cost item]],Calc_CPI_1[[Cost item]:[Cost item]],0),1),0)+
INDEX(Input_ForRateCalc[],MATCH(Calc_WholesaleSME_1[[#This Row],[Cost item]:[Cost item]]&amp;" - "&amp;Calc_WholesaleSME_1[[#Headers],[Powercor]],Input_ForRateCalc[[Cost item]:[Cost item]],0),MATCH($D$5,Inputs!$C$15:$AZ$15,0)))/1000,"-")</f>
        <v>9.6180000000000002E-2</v>
      </c>
      <c r="K235" s="51" cm="1">
        <f t="array" ref="K235">IFERROR(
(IFERROR(INDEX(Calc_CPI_1[[CPI uplift factor]:[CPI uplift factor]],MATCH(Calc_WholesaleSME_1[[#This Row],[Cost item]:[Cost item]],Calc_CPI_1[[Cost item]:[Cost item]],0),1),0)+
INDEX(Input_ForRateCalc[],MATCH(Calc_WholesaleSME_1[[#This Row],[Cost item]:[Cost item]]&amp;" - "&amp;Calc_WholesaleSME_1[[#Headers],[United Energy]],Input_ForRateCalc[[Cost item]:[Cost item]],0),MATCH($D$5,Inputs!$C$15:$AZ$15,0)))/1000,"-")</f>
        <v>9.962E-2</v>
      </c>
    </row>
    <row r="236" spans="1:11" outlineLevel="1" x14ac:dyDescent="0.25">
      <c r="C236" s="18" t="s">
        <v>389</v>
      </c>
      <c r="D236" s="18" t="s">
        <v>178</v>
      </c>
      <c r="E236" s="18" t="s">
        <v>69</v>
      </c>
      <c r="F236" s="18" t="s">
        <v>67</v>
      </c>
      <c r="G236" s="51" cm="1">
        <f t="array" ref="G236">IFERROR(
(IFERROR(INDEX(Calc_CPI_1[[CPI uplift factor]:[CPI uplift factor]],MATCH(Calc_WholesaleSME_1[[#This Row],[Cost item]:[Cost item]],Calc_CPI_1[[Cost item]:[Cost item]],0),1),0)+
INDEX(Input_ForRateCalc[],MATCH(Calc_WholesaleSME_1[[#This Row],[Cost item]:[Cost item]]&amp;" - "&amp;Calc_WholesaleSME_1[[#Headers],[Ausnet]],Input_ForRateCalc[[Cost item]:[Cost item]],0),MATCH($D$5,Inputs!$C$15:$AZ$15,0)))/1000,"-")</f>
        <v>2.5000000000000001E-4</v>
      </c>
      <c r="H236" s="51" cm="1">
        <f t="array" ref="H236">IFERROR(
(IFERROR(INDEX(Calc_CPI_1[[CPI uplift factor]:[CPI uplift factor]],MATCH(Calc_WholesaleSME_1[[#This Row],[Cost item]:[Cost item]],Calc_CPI_1[[Cost item]:[Cost item]],0),1),0)+
INDEX(Input_ForRateCalc[],MATCH(Calc_WholesaleSME_1[[#This Row],[Cost item]:[Cost item]]&amp;" - "&amp;Calc_WholesaleSME_1[[#Headers],[Citipower]],Input_ForRateCalc[[Cost item]:[Cost item]],0),MATCH($D$5,Inputs!$C$15:$AZ$15,0)))/1000,"-")</f>
        <v>2.7E-4</v>
      </c>
      <c r="I236" s="51" cm="1">
        <f t="array" ref="I236">IFERROR(
(IFERROR(INDEX(Calc_CPI_1[[CPI uplift factor]:[CPI uplift factor]],MATCH(Calc_WholesaleSME_1[[#This Row],[Cost item]:[Cost item]],Calc_CPI_1[[Cost item]:[Cost item]],0),1),0)+
INDEX(Input_ForRateCalc[],MATCH(Calc_WholesaleSME_1[[#This Row],[Cost item]:[Cost item]]&amp;" - "&amp;Calc_WholesaleSME_1[[#Headers],[Jemena]],Input_ForRateCalc[[Cost item]:[Cost item]],0),MATCH($D$5,Inputs!$C$15:$AZ$15,0)))/1000,"-")</f>
        <v>2.9999999999999997E-4</v>
      </c>
      <c r="J236" s="51" cm="1">
        <f t="array" ref="J236">IFERROR(
(IFERROR(INDEX(Calc_CPI_1[[CPI uplift factor]:[CPI uplift factor]],MATCH(Calc_WholesaleSME_1[[#This Row],[Cost item]:[Cost item]],Calc_CPI_1[[Cost item]:[Cost item]],0),1),0)+
INDEX(Input_ForRateCalc[],MATCH(Calc_WholesaleSME_1[[#This Row],[Cost item]:[Cost item]]&amp;" - "&amp;Calc_WholesaleSME_1[[#Headers],[Powercor]],Input_ForRateCalc[[Cost item]:[Cost item]],0),MATCH($D$5,Inputs!$C$15:$AZ$15,0)))/1000,"-")</f>
        <v>2.5000000000000001E-4</v>
      </c>
      <c r="K236" s="51" cm="1">
        <f t="array" ref="K236">IFERROR(
(IFERROR(INDEX(Calc_CPI_1[[CPI uplift factor]:[CPI uplift factor]],MATCH(Calc_WholesaleSME_1[[#This Row],[Cost item]:[Cost item]],Calc_CPI_1[[Cost item]:[Cost item]],0),1),0)+
INDEX(Input_ForRateCalc[],MATCH(Calc_WholesaleSME_1[[#This Row],[Cost item]:[Cost item]]&amp;" - "&amp;Calc_WholesaleSME_1[[#Headers],[United Energy]],Input_ForRateCalc[[Cost item]:[Cost item]],0),MATCH($D$5,Inputs!$C$15:$AZ$15,0)))/1000,"-")</f>
        <v>2.9E-4</v>
      </c>
    </row>
    <row r="237" spans="1:11" outlineLevel="1" x14ac:dyDescent="0.25">
      <c r="C237" s="33" t="s">
        <v>365</v>
      </c>
      <c r="D237" s="33" t="s">
        <v>178</v>
      </c>
      <c r="E237" s="33" t="s">
        <v>69</v>
      </c>
      <c r="F237" s="18" t="s">
        <v>67</v>
      </c>
      <c r="G237" s="51">
        <f>IFERROR(G235+G236,"-")</f>
        <v>9.8250000000000004E-2</v>
      </c>
      <c r="H237" s="51">
        <f>IFERROR(H235+H236,"-")</f>
        <v>9.5000000000000015E-2</v>
      </c>
      <c r="I237" s="51">
        <f>IFERROR(I235+I236,"-")</f>
        <v>0.10066</v>
      </c>
      <c r="J237" s="51">
        <f>IFERROR(J235+J236,"-")</f>
        <v>9.6430000000000002E-2</v>
      </c>
      <c r="K237" s="51">
        <f>IFERROR(K235+K236,"-")</f>
        <v>9.9909999999999999E-2</v>
      </c>
    </row>
    <row r="239" spans="1:11" ht="16.5" thickBot="1" x14ac:dyDescent="0.3">
      <c r="B239" s="161">
        <f>MAX(B$3:B238)+0.01</f>
        <v>5.0699999999999985</v>
      </c>
      <c r="C239" s="23" t="s">
        <v>390</v>
      </c>
      <c r="D239" s="23"/>
      <c r="E239" s="23"/>
      <c r="F239" s="23"/>
      <c r="G239" s="23"/>
      <c r="H239" s="23"/>
      <c r="I239" s="23"/>
      <c r="J239" s="23"/>
      <c r="K239" s="23"/>
    </row>
    <row r="240" spans="1:11" outlineLevel="1" x14ac:dyDescent="0.25"/>
    <row r="241" spans="3:14" ht="15.75" outlineLevel="1" x14ac:dyDescent="0.25">
      <c r="C241" s="24" t="s">
        <v>391</v>
      </c>
    </row>
    <row r="242" spans="3:14" ht="15.75" outlineLevel="1" x14ac:dyDescent="0.25">
      <c r="C242" s="32" t="s">
        <v>49</v>
      </c>
      <c r="D242" s="32" t="s">
        <v>108</v>
      </c>
      <c r="E242" s="32" t="s">
        <v>56</v>
      </c>
      <c r="F242" s="32" t="s">
        <v>57</v>
      </c>
      <c r="G242" s="43" t="s">
        <v>59</v>
      </c>
      <c r="H242" s="43" t="s">
        <v>60</v>
      </c>
      <c r="I242" s="43" t="s">
        <v>61</v>
      </c>
      <c r="J242" s="43" t="s">
        <v>62</v>
      </c>
      <c r="K242" s="43" t="s">
        <v>63</v>
      </c>
    </row>
    <row r="243" spans="3:14" outlineLevel="1" x14ac:dyDescent="0.25">
      <c r="C243" s="18" t="s">
        <v>199</v>
      </c>
      <c r="D243" s="18" t="s">
        <v>178</v>
      </c>
      <c r="E243" s="18" t="s">
        <v>200</v>
      </c>
      <c r="F243" s="18" t="s">
        <v>133</v>
      </c>
      <c r="G243" s="51" cm="1">
        <f t="array" ref="G243">IFERROR(
(IFERROR(INDEX(Calc_CPI_1[[CPI uplift factor]:[CPI uplift factor]],MATCH(Calc_EnviroVEU_1[[#This Row],[Cost item]:[Cost item]],Calc_CPI_1[[Cost item]:[Cost item]],0),1),0)+
INDEX(Input_ForRateCalc[],MATCH(Calc_EnviroVEU_1[[#This Row],[Cost item]:[Cost item]],Input_ForRateCalc[[Cost item]:[Cost item]],0),MATCH($D$5,Inputs!$C$15:$AZ$15,0))),"-")</f>
        <v>77.150000000000006</v>
      </c>
      <c r="H243" s="51" cm="1">
        <f t="array" ref="H243">IFERROR(
(IFERROR(INDEX(Calc_CPI_1[[CPI uplift factor]:[CPI uplift factor]],MATCH(Calc_EnviroVEU_1[[#This Row],[Cost item]:[Cost item]],Calc_CPI_1[[Cost item]:[Cost item]],0),1),0)+
INDEX(Input_ForRateCalc[],MATCH(Calc_EnviroVEU_1[[#This Row],[Cost item]:[Cost item]],Input_ForRateCalc[[Cost item]:[Cost item]],0),MATCH($D$5,Inputs!$C$15:$AZ$15,0))),"-")</f>
        <v>77.150000000000006</v>
      </c>
      <c r="I243" s="51" cm="1">
        <f t="array" ref="I243">IFERROR(
(IFERROR(INDEX(Calc_CPI_1[[CPI uplift factor]:[CPI uplift factor]],MATCH(Calc_EnviroVEU_1[[#This Row],[Cost item]:[Cost item]],Calc_CPI_1[[Cost item]:[Cost item]],0),1),0)+
INDEX(Input_ForRateCalc[],MATCH(Calc_EnviroVEU_1[[#This Row],[Cost item]:[Cost item]],Input_ForRateCalc[[Cost item]:[Cost item]],0),MATCH($D$5,Inputs!$C$15:$AZ$15,0))),"-")</f>
        <v>77.150000000000006</v>
      </c>
      <c r="J243" s="51" cm="1">
        <f t="array" ref="J243">IFERROR(
(IFERROR(INDEX(Calc_CPI_1[[CPI uplift factor]:[CPI uplift factor]],MATCH(Calc_EnviroVEU_1[[#This Row],[Cost item]:[Cost item]],Calc_CPI_1[[Cost item]:[Cost item]],0),1),0)+
INDEX(Input_ForRateCalc[],MATCH(Calc_EnviroVEU_1[[#This Row],[Cost item]:[Cost item]],Input_ForRateCalc[[Cost item]:[Cost item]],0),MATCH($D$5,Inputs!$C$15:$AZ$15,0))),"-")</f>
        <v>77.150000000000006</v>
      </c>
      <c r="K243" s="51" cm="1">
        <f t="array" ref="K243">IFERROR(
(IFERROR(INDEX(Calc_CPI_1[[CPI uplift factor]:[CPI uplift factor]],MATCH(Calc_EnviroVEU_1[[#This Row],[Cost item]:[Cost item]],Calc_CPI_1[[Cost item]:[Cost item]],0),1),0)+
INDEX(Input_ForRateCalc[],MATCH(Calc_EnviroVEU_1[[#This Row],[Cost item]:[Cost item]],Input_ForRateCalc[[Cost item]:[Cost item]],0),MATCH($D$5,Inputs!$C$15:$AZ$15,0))),"-")</f>
        <v>77.150000000000006</v>
      </c>
    </row>
    <row r="244" spans="3:14" outlineLevel="1" x14ac:dyDescent="0.25">
      <c r="C244" s="18" t="s">
        <v>203</v>
      </c>
      <c r="D244" s="18" t="s">
        <v>178</v>
      </c>
      <c r="E244" s="18" t="s">
        <v>204</v>
      </c>
      <c r="F244" s="18" t="s">
        <v>133</v>
      </c>
      <c r="G244" s="130" cm="1">
        <f t="array" ref="G244">IFERROR(
(IFERROR(INDEX(Calc_CPI_1[[CPI uplift factor]:[CPI uplift factor]],MATCH(Calc_EnviroVEU_1[[#This Row],[Cost item]:[Cost item]],Calc_CPI_1[[Cost item]:[Cost item]],0),1),0)+
INDEX(Input_ForRateCalc[],MATCH(Calc_EnviroVEU_1[[#This Row],[Cost item]:[Cost item]],Input_ForRateCalc[[Cost item]:[Cost item]],0),MATCH($D$5,Inputs!$C$15:$AZ$15,0))),"-")</f>
        <v>0.15240000000000001</v>
      </c>
      <c r="H244" s="130" cm="1">
        <f t="array" ref="H244">IFERROR(
(IFERROR(INDEX(Calc_CPI_1[[CPI uplift factor]:[CPI uplift factor]],MATCH(Calc_EnviroVEU_1[[#This Row],[Cost item]:[Cost item]],Calc_CPI_1[[Cost item]:[Cost item]],0),1),0)+
INDEX(Input_ForRateCalc[],MATCH(Calc_EnviroVEU_1[[#This Row],[Cost item]:[Cost item]],Input_ForRateCalc[[Cost item]:[Cost item]],0),MATCH($D$5,Inputs!$C$15:$AZ$15,0))),"-")</f>
        <v>0.15240000000000001</v>
      </c>
      <c r="I244" s="130" cm="1">
        <f t="array" ref="I244">IFERROR(
(IFERROR(INDEX(Calc_CPI_1[[CPI uplift factor]:[CPI uplift factor]],MATCH(Calc_EnviroVEU_1[[#This Row],[Cost item]:[Cost item]],Calc_CPI_1[[Cost item]:[Cost item]],0),1),0)+
INDEX(Input_ForRateCalc[],MATCH(Calc_EnviroVEU_1[[#This Row],[Cost item]:[Cost item]],Input_ForRateCalc[[Cost item]:[Cost item]],0),MATCH($D$5,Inputs!$C$15:$AZ$15,0))),"-")</f>
        <v>0.15240000000000001</v>
      </c>
      <c r="J244" s="130" cm="1">
        <f t="array" ref="J244">IFERROR(
(IFERROR(INDEX(Calc_CPI_1[[CPI uplift factor]:[CPI uplift factor]],MATCH(Calc_EnviroVEU_1[[#This Row],[Cost item]:[Cost item]],Calc_CPI_1[[Cost item]:[Cost item]],0),1),0)+
INDEX(Input_ForRateCalc[],MATCH(Calc_EnviroVEU_1[[#This Row],[Cost item]:[Cost item]],Input_ForRateCalc[[Cost item]:[Cost item]],0),MATCH($D$5,Inputs!$C$15:$AZ$15,0))),"-")</f>
        <v>0.15240000000000001</v>
      </c>
      <c r="K244" s="130" cm="1">
        <f t="array" ref="K244">IFERROR(
(IFERROR(INDEX(Calc_CPI_1[[CPI uplift factor]:[CPI uplift factor]],MATCH(Calc_EnviroVEU_1[[#This Row],[Cost item]:[Cost item]],Calc_CPI_1[[Cost item]:[Cost item]],0),1),0)+
INDEX(Input_ForRateCalc[],MATCH(Calc_EnviroVEU_1[[#This Row],[Cost item]:[Cost item]],Input_ForRateCalc[[Cost item]:[Cost item]],0),MATCH($D$5,Inputs!$C$15:$AZ$15,0))),"-")</f>
        <v>0.15240000000000001</v>
      </c>
    </row>
    <row r="245" spans="3:14" outlineLevel="1" x14ac:dyDescent="0.25">
      <c r="C245" s="33" t="s">
        <v>392</v>
      </c>
      <c r="D245" s="33" t="s">
        <v>178</v>
      </c>
      <c r="E245" s="33" t="s">
        <v>69</v>
      </c>
      <c r="F245" s="18" t="s">
        <v>133</v>
      </c>
      <c r="G245" s="51">
        <f>IFERROR(
IFERROR(INDEX(Calc_CPI_1[[CPI uplift factor]:[CPI uplift factor]],MATCH($C245,Calc_CPI_1[[Cost item]:[Cost item]],0),1),0)+(G243*G244)/1000,"-")</f>
        <v>1.1757660000000001E-2</v>
      </c>
      <c r="H245" s="51">
        <f>IFERROR(
IFERROR(INDEX(Calc_CPI_1[[CPI uplift factor]:[CPI uplift factor]],MATCH($C245,Calc_CPI_1[[Cost item]:[Cost item]],0),1),0)+(H243*H244)/1000,"-")</f>
        <v>1.1757660000000001E-2</v>
      </c>
      <c r="I245" s="51">
        <f>IFERROR(
IFERROR(INDEX(Calc_CPI_1[[CPI uplift factor]:[CPI uplift factor]],MATCH($C245,Calc_CPI_1[[Cost item]:[Cost item]],0),1),0)+(I243*I244)/1000,"-")</f>
        <v>1.1757660000000001E-2</v>
      </c>
      <c r="J245" s="51">
        <f>IFERROR(
IFERROR(INDEX(Calc_CPI_1[[CPI uplift factor]:[CPI uplift factor]],MATCH($C245,Calc_CPI_1[[Cost item]:[Cost item]],0),1),0)+(J243*J244)/1000,"-")</f>
        <v>1.1757660000000001E-2</v>
      </c>
      <c r="K245" s="51">
        <f>IFERROR(
IFERROR(INDEX(Calc_CPI_1[[CPI uplift factor]:[CPI uplift factor]],MATCH($C245,Calc_CPI_1[[Cost item]:[Cost item]],0),1),0)+(K243*K244)/1000,"-")</f>
        <v>1.1757660000000001E-2</v>
      </c>
      <c r="M245" s="56"/>
      <c r="N245" s="56"/>
    </row>
    <row r="246" spans="3:14" outlineLevel="1" x14ac:dyDescent="0.25">
      <c r="G246" s="56"/>
    </row>
    <row r="247" spans="3:14" ht="15.75" outlineLevel="1" x14ac:dyDescent="0.25">
      <c r="C247" s="24" t="s">
        <v>393</v>
      </c>
      <c r="N247" s="56"/>
    </row>
    <row r="248" spans="3:14" ht="15.75" outlineLevel="1" x14ac:dyDescent="0.25">
      <c r="C248" s="32" t="s">
        <v>49</v>
      </c>
      <c r="D248" s="32" t="s">
        <v>108</v>
      </c>
      <c r="E248" s="32" t="s">
        <v>56</v>
      </c>
      <c r="F248" s="32" t="s">
        <v>57</v>
      </c>
      <c r="G248" s="43" t="s">
        <v>59</v>
      </c>
      <c r="H248" s="43" t="s">
        <v>60</v>
      </c>
      <c r="I248" s="43" t="s">
        <v>61</v>
      </c>
      <c r="J248" s="43" t="s">
        <v>62</v>
      </c>
      <c r="K248" s="43" t="s">
        <v>63</v>
      </c>
    </row>
    <row r="249" spans="3:14" outlineLevel="1" x14ac:dyDescent="0.25">
      <c r="C249" s="18" t="s">
        <v>201</v>
      </c>
      <c r="D249" s="18" t="s">
        <v>178</v>
      </c>
      <c r="E249" s="18" t="s">
        <v>200</v>
      </c>
      <c r="F249" s="18" t="s">
        <v>133</v>
      </c>
      <c r="G249" s="51" cm="1">
        <f t="array" ref="G249">IFERROR(
(IFERROR(INDEX(Calc_CPI_1[[CPI uplift factor]:[CPI uplift factor]],MATCH(Calc_EnviroLRET_1[[#This Row],[Cost item]:[Cost item]],Calc_CPI_1[[Cost item]:[Cost item]],0),1),0)+
INDEX(Input_ForRateCalc[],MATCH(Calc_EnviroLRET_1[[#This Row],[Cost item]:[Cost item]],Input_ForRateCalc[[Cost item]:[Cost item]],0),MATCH($D$5,Inputs!$C$15:$AZ$15,0))),"-")</f>
        <v>48.36</v>
      </c>
      <c r="H249" s="51" cm="1">
        <f t="array" ref="H249">IFERROR(
(IFERROR(INDEX(Calc_CPI_1[[CPI uplift factor]:[CPI uplift factor]],MATCH(Calc_EnviroLRET_1[[#This Row],[Cost item]:[Cost item]],Calc_CPI_1[[Cost item]:[Cost item]],0),1),0)+
INDEX(Input_ForRateCalc[],MATCH(Calc_EnviroLRET_1[[#This Row],[Cost item]:[Cost item]],Input_ForRateCalc[[Cost item]:[Cost item]],0),MATCH($D$5,Inputs!$C$15:$AZ$15,0))),"-")</f>
        <v>48.36</v>
      </c>
      <c r="I249" s="51" cm="1">
        <f t="array" ref="I249">IFERROR(
(IFERROR(INDEX(Calc_CPI_1[[CPI uplift factor]:[CPI uplift factor]],MATCH(Calc_EnviroLRET_1[[#This Row],[Cost item]:[Cost item]],Calc_CPI_1[[Cost item]:[Cost item]],0),1),0)+
INDEX(Input_ForRateCalc[],MATCH(Calc_EnviroLRET_1[[#This Row],[Cost item]:[Cost item]],Input_ForRateCalc[[Cost item]:[Cost item]],0),MATCH($D$5,Inputs!$C$15:$AZ$15,0))),"-")</f>
        <v>48.36</v>
      </c>
      <c r="J249" s="51" cm="1">
        <f t="array" ref="J249">IFERROR(
(IFERROR(INDEX(Calc_CPI_1[[CPI uplift factor]:[CPI uplift factor]],MATCH(Calc_EnviroLRET_1[[#This Row],[Cost item]:[Cost item]],Calc_CPI_1[[Cost item]:[Cost item]],0),1),0)+
INDEX(Input_ForRateCalc[],MATCH(Calc_EnviroLRET_1[[#This Row],[Cost item]:[Cost item]],Input_ForRateCalc[[Cost item]:[Cost item]],0),MATCH($D$5,Inputs!$C$15:$AZ$15,0))),"-")</f>
        <v>48.36</v>
      </c>
      <c r="K249" s="51" cm="1">
        <f t="array" ref="K249">IFERROR(
(IFERROR(INDEX(Calc_CPI_1[[CPI uplift factor]:[CPI uplift factor]],MATCH(Calc_EnviroLRET_1[[#This Row],[Cost item]:[Cost item]],Calc_CPI_1[[Cost item]:[Cost item]],0),1),0)+
INDEX(Input_ForRateCalc[],MATCH(Calc_EnviroLRET_1[[#This Row],[Cost item]:[Cost item]],Input_ForRateCalc[[Cost item]:[Cost item]],0),MATCH($D$5,Inputs!$C$15:$AZ$15,0))),"-")</f>
        <v>48.36</v>
      </c>
    </row>
    <row r="250" spans="3:14" outlineLevel="1" x14ac:dyDescent="0.25">
      <c r="C250" s="18" t="s">
        <v>205</v>
      </c>
      <c r="D250" s="18" t="s">
        <v>178</v>
      </c>
      <c r="E250" s="18" t="s">
        <v>204</v>
      </c>
      <c r="F250" s="18" t="s">
        <v>133</v>
      </c>
      <c r="G250" s="130" cm="1">
        <f t="array" ref="G250">IFERROR(
(IFERROR(INDEX(Calc_CPI_1[[CPI uplift factor]:[CPI uplift factor]],MATCH(Calc_EnviroLRET_1[[#This Row],[Cost item]:[Cost item]],Calc_CPI_1[[Cost item]:[Cost item]],0),1),0)+
INDEX(Input_ForRateCalc[],MATCH(Calc_EnviroLRET_1[[#This Row],[Cost item]:[Cost item]],Input_ForRateCalc[[Cost item]:[Cost item]],0),MATCH($D$5,Inputs!$C$15:$AZ$15,0))),"-")</f>
        <v>0.18959999999999999</v>
      </c>
      <c r="H250" s="130" cm="1">
        <f t="array" ref="H250">IFERROR(
(IFERROR(INDEX(Calc_CPI_1[[CPI uplift factor]:[CPI uplift factor]],MATCH(Calc_EnviroLRET_1[[#This Row],[Cost item]:[Cost item]],Calc_CPI_1[[Cost item]:[Cost item]],0),1),0)+
INDEX(Input_ForRateCalc[],MATCH(Calc_EnviroLRET_1[[#This Row],[Cost item]:[Cost item]],Input_ForRateCalc[[Cost item]:[Cost item]],0),MATCH($D$5,Inputs!$C$15:$AZ$15,0))),"-")</f>
        <v>0.18959999999999999</v>
      </c>
      <c r="I250" s="130" cm="1">
        <f t="array" ref="I250">IFERROR(
(IFERROR(INDEX(Calc_CPI_1[[CPI uplift factor]:[CPI uplift factor]],MATCH(Calc_EnviroLRET_1[[#This Row],[Cost item]:[Cost item]],Calc_CPI_1[[Cost item]:[Cost item]],0),1),0)+
INDEX(Input_ForRateCalc[],MATCH(Calc_EnviroLRET_1[[#This Row],[Cost item]:[Cost item]],Input_ForRateCalc[[Cost item]:[Cost item]],0),MATCH($D$5,Inputs!$C$15:$AZ$15,0))),"-")</f>
        <v>0.18959999999999999</v>
      </c>
      <c r="J250" s="130" cm="1">
        <f t="array" ref="J250">IFERROR(
(IFERROR(INDEX(Calc_CPI_1[[CPI uplift factor]:[CPI uplift factor]],MATCH(Calc_EnviroLRET_1[[#This Row],[Cost item]:[Cost item]],Calc_CPI_1[[Cost item]:[Cost item]],0),1),0)+
INDEX(Input_ForRateCalc[],MATCH(Calc_EnviroLRET_1[[#This Row],[Cost item]:[Cost item]],Input_ForRateCalc[[Cost item]:[Cost item]],0),MATCH($D$5,Inputs!$C$15:$AZ$15,0))),"-")</f>
        <v>0.18959999999999999</v>
      </c>
      <c r="K250" s="130" cm="1">
        <f t="array" ref="K250">IFERROR(
(IFERROR(INDEX(Calc_CPI_1[[CPI uplift factor]:[CPI uplift factor]],MATCH(Calc_EnviroLRET_1[[#This Row],[Cost item]:[Cost item]],Calc_CPI_1[[Cost item]:[Cost item]],0),1),0)+
INDEX(Input_ForRateCalc[],MATCH(Calc_EnviroLRET_1[[#This Row],[Cost item]:[Cost item]],Input_ForRateCalc[[Cost item]:[Cost item]],0),MATCH($D$5,Inputs!$C$15:$AZ$15,0))),"-")</f>
        <v>0.18959999999999999</v>
      </c>
    </row>
    <row r="251" spans="3:14" outlineLevel="1" x14ac:dyDescent="0.25">
      <c r="C251" s="33" t="s">
        <v>394</v>
      </c>
      <c r="D251" s="33" t="s">
        <v>178</v>
      </c>
      <c r="E251" s="33" t="s">
        <v>69</v>
      </c>
      <c r="F251" s="18" t="s">
        <v>133</v>
      </c>
      <c r="G251" s="170">
        <f>IFERROR(
IFERROR(INDEX(Calc_CPI_1[[CPI uplift factor]:[CPI uplift factor]],MATCH($C251,Calc_CPI_1[[Cost item]:[Cost item]],0),1),0)+(G249*G250)/1000,"-")</f>
        <v>9.1690560000000001E-3</v>
      </c>
      <c r="H251" s="51">
        <f>IFERROR(
IFERROR(INDEX(Calc_CPI_1[[CPI uplift factor]:[CPI uplift factor]],MATCH($C251,Calc_CPI_1[[Cost item]:[Cost item]],0),1),0)+(H249*H250)/1000,"-")</f>
        <v>9.1690560000000001E-3</v>
      </c>
      <c r="I251" s="51">
        <f>IFERROR(
IFERROR(INDEX(Calc_CPI_1[[CPI uplift factor]:[CPI uplift factor]],MATCH($C251,Calc_CPI_1[[Cost item]:[Cost item]],0),1),0)+(I249*I250)/1000,"-")</f>
        <v>9.1690560000000001E-3</v>
      </c>
      <c r="J251" s="51">
        <f>IFERROR(
IFERROR(INDEX(Calc_CPI_1[[CPI uplift factor]:[CPI uplift factor]],MATCH($C251,Calc_CPI_1[[Cost item]:[Cost item]],0),1),0)+(J249*J250)/1000,"-")</f>
        <v>9.1690560000000001E-3</v>
      </c>
      <c r="K251" s="51">
        <f>IFERROR(
IFERROR(INDEX(Calc_CPI_1[[CPI uplift factor]:[CPI uplift factor]],MATCH($C251,Calc_CPI_1[[Cost item]:[Cost item]],0),1),0)+(K249*K250)/1000,"-")</f>
        <v>9.1690560000000001E-3</v>
      </c>
      <c r="M251" s="56"/>
    </row>
    <row r="252" spans="3:14" outlineLevel="1" x14ac:dyDescent="0.25"/>
    <row r="253" spans="3:14" ht="15.75" outlineLevel="1" x14ac:dyDescent="0.25">
      <c r="C253" s="24" t="s">
        <v>395</v>
      </c>
    </row>
    <row r="254" spans="3:14" ht="15.75" outlineLevel="1" x14ac:dyDescent="0.25">
      <c r="C254" s="32" t="s">
        <v>49</v>
      </c>
      <c r="D254" s="32" t="s">
        <v>108</v>
      </c>
      <c r="E254" s="32" t="s">
        <v>56</v>
      </c>
      <c r="F254" s="32" t="s">
        <v>57</v>
      </c>
      <c r="G254" s="43" t="s">
        <v>59</v>
      </c>
      <c r="H254" s="43" t="s">
        <v>60</v>
      </c>
      <c r="I254" s="43" t="s">
        <v>61</v>
      </c>
      <c r="J254" s="43" t="s">
        <v>62</v>
      </c>
      <c r="K254" s="43" t="s">
        <v>63</v>
      </c>
    </row>
    <row r="255" spans="3:14" outlineLevel="1" x14ac:dyDescent="0.25">
      <c r="C255" s="18" t="s">
        <v>202</v>
      </c>
      <c r="D255" s="18" t="s">
        <v>178</v>
      </c>
      <c r="E255" s="18" t="s">
        <v>200</v>
      </c>
      <c r="F255" s="18" t="s">
        <v>133</v>
      </c>
      <c r="G255" s="51" cm="1">
        <f t="array" ref="G255">IFERROR(
(IFERROR(INDEX(Calc_CPI_1[[CPI uplift factor]:[CPI uplift factor]],MATCH(Calc_EnviroSRES_1[[#This Row],[Cost item]:[Cost item]],Calc_CPI_1[[Cost item]:[Cost item]],0),1),0)+
INDEX(Input_ForRateCalc[],MATCH(Calc_EnviroSRES_1[[#This Row],[Cost item]:[Cost item]],Input_ForRateCalc[[Cost item]:[Cost item]],0),MATCH($D$5,Inputs!$C$15:$AZ$15,0))),"-")</f>
        <v>40</v>
      </c>
      <c r="H255" s="51" cm="1">
        <f t="array" ref="H255">IFERROR(
(IFERROR(INDEX(Calc_CPI_1[[CPI uplift factor]:[CPI uplift factor]],MATCH(Calc_EnviroSRES_1[[#This Row],[Cost item]:[Cost item]],Calc_CPI_1[[Cost item]:[Cost item]],0),1),0)+
INDEX(Input_ForRateCalc[],MATCH(Calc_EnviroSRES_1[[#This Row],[Cost item]:[Cost item]],Input_ForRateCalc[[Cost item]:[Cost item]],0),MATCH($D$5,Inputs!$C$15:$AZ$15,0))),"-")</f>
        <v>40</v>
      </c>
      <c r="I255" s="51" cm="1">
        <f t="array" ref="I255">IFERROR(
(IFERROR(INDEX(Calc_CPI_1[[CPI uplift factor]:[CPI uplift factor]],MATCH(Calc_EnviroSRES_1[[#This Row],[Cost item]:[Cost item]],Calc_CPI_1[[Cost item]:[Cost item]],0),1),0)+
INDEX(Input_ForRateCalc[],MATCH(Calc_EnviroSRES_1[[#This Row],[Cost item]:[Cost item]],Input_ForRateCalc[[Cost item]:[Cost item]],0),MATCH($D$5,Inputs!$C$15:$AZ$15,0))),"-")</f>
        <v>40</v>
      </c>
      <c r="J255" s="51" cm="1">
        <f t="array" ref="J255">IFERROR(
(IFERROR(INDEX(Calc_CPI_1[[CPI uplift factor]:[CPI uplift factor]],MATCH(Calc_EnviroSRES_1[[#This Row],[Cost item]:[Cost item]],Calc_CPI_1[[Cost item]:[Cost item]],0),1),0)+
INDEX(Input_ForRateCalc[],MATCH(Calc_EnviroSRES_1[[#This Row],[Cost item]:[Cost item]],Input_ForRateCalc[[Cost item]:[Cost item]],0),MATCH($D$5,Inputs!$C$15:$AZ$15,0))),"-")</f>
        <v>40</v>
      </c>
      <c r="K255" s="51" cm="1">
        <f t="array" ref="K255">IFERROR(
(IFERROR(INDEX(Calc_CPI_1[[CPI uplift factor]:[CPI uplift factor]],MATCH(Calc_EnviroSRES_1[[#This Row],[Cost item]:[Cost item]],Calc_CPI_1[[Cost item]:[Cost item]],0),1),0)+
INDEX(Input_ForRateCalc[],MATCH(Calc_EnviroSRES_1[[#This Row],[Cost item]:[Cost item]],Input_ForRateCalc[[Cost item]:[Cost item]],0),MATCH($D$5,Inputs!$C$15:$AZ$15,0))),"-")</f>
        <v>40</v>
      </c>
    </row>
    <row r="256" spans="3:14" outlineLevel="1" x14ac:dyDescent="0.25">
      <c r="C256" s="18" t="s">
        <v>207</v>
      </c>
      <c r="D256" s="18" t="s">
        <v>178</v>
      </c>
      <c r="E256" s="18" t="s">
        <v>204</v>
      </c>
      <c r="F256" s="18" t="s">
        <v>133</v>
      </c>
      <c r="G256" s="130" cm="1">
        <f t="array" ref="G256">IFERROR(
(IFERROR(INDEX(Calc_CPI_1[[CPI uplift factor]:[CPI uplift factor]],MATCH(Calc_EnviroSRES_1[[#This Row],[Cost item]:[Cost item]],Calc_CPI_1[[Cost item]:[Cost item]],0),1),0)+
INDEX(Input_ForRateCalc[],MATCH(Calc_EnviroSRES_1[[#This Row],[Cost item]:[Cost item]],Input_ForRateCalc[[Cost item]:[Cost item]],0),MATCH($D$5,Inputs!$C$15:$AZ$15,0))),"-")</f>
        <v>0.16389999999999999</v>
      </c>
      <c r="H256" s="130" cm="1">
        <f t="array" ref="H256">IFERROR(
(IFERROR(INDEX(Calc_CPI_1[[CPI uplift factor]:[CPI uplift factor]],MATCH(Calc_EnviroSRES_1[[#This Row],[Cost item]:[Cost item]],Calc_CPI_1[[Cost item]:[Cost item]],0),1),0)+
INDEX(Input_ForRateCalc[],MATCH(Calc_EnviroSRES_1[[#This Row],[Cost item]:[Cost item]],Input_ForRateCalc[[Cost item]:[Cost item]],0),MATCH($D$5,Inputs!$C$15:$AZ$15,0))),"-")</f>
        <v>0.16389999999999999</v>
      </c>
      <c r="I256" s="130" cm="1">
        <f t="array" ref="I256">IFERROR(
(IFERROR(INDEX(Calc_CPI_1[[CPI uplift factor]:[CPI uplift factor]],MATCH(Calc_EnviroSRES_1[[#This Row],[Cost item]:[Cost item]],Calc_CPI_1[[Cost item]:[Cost item]],0),1),0)+
INDEX(Input_ForRateCalc[],MATCH(Calc_EnviroSRES_1[[#This Row],[Cost item]:[Cost item]],Input_ForRateCalc[[Cost item]:[Cost item]],0),MATCH($D$5,Inputs!$C$15:$AZ$15,0))),"-")</f>
        <v>0.16389999999999999</v>
      </c>
      <c r="J256" s="130" cm="1">
        <f t="array" ref="J256">IFERROR(
(IFERROR(INDEX(Calc_CPI_1[[CPI uplift factor]:[CPI uplift factor]],MATCH(Calc_EnviroSRES_1[[#This Row],[Cost item]:[Cost item]],Calc_CPI_1[[Cost item]:[Cost item]],0),1),0)+
INDEX(Input_ForRateCalc[],MATCH(Calc_EnviroSRES_1[[#This Row],[Cost item]:[Cost item]],Input_ForRateCalc[[Cost item]:[Cost item]],0),MATCH($D$5,Inputs!$C$15:$AZ$15,0))),"-")</f>
        <v>0.16389999999999999</v>
      </c>
      <c r="K256" s="130" cm="1">
        <f t="array" ref="K256">IFERROR(
(IFERROR(INDEX(Calc_CPI_1[[CPI uplift factor]:[CPI uplift factor]],MATCH(Calc_EnviroSRES_1[[#This Row],[Cost item]:[Cost item]],Calc_CPI_1[[Cost item]:[Cost item]],0),1),0)+
INDEX(Input_ForRateCalc[],MATCH(Calc_EnviroSRES_1[[#This Row],[Cost item]:[Cost item]],Input_ForRateCalc[[Cost item]:[Cost item]],0),MATCH($D$5,Inputs!$C$15:$AZ$15,0))),"-")</f>
        <v>0.16389999999999999</v>
      </c>
    </row>
    <row r="257" spans="1:13" outlineLevel="1" x14ac:dyDescent="0.25">
      <c r="C257" s="33" t="s">
        <v>396</v>
      </c>
      <c r="D257" s="33" t="s">
        <v>178</v>
      </c>
      <c r="E257" s="33" t="s">
        <v>69</v>
      </c>
      <c r="F257" s="18" t="s">
        <v>133</v>
      </c>
      <c r="G257" s="170">
        <f>IFERROR(
IFERROR(INDEX(Calc_CPI_1[[CPI uplift factor]:[CPI uplift factor]],MATCH($C257,Calc_CPI_1[[Cost item]:[Cost item]],0),1),0)+(G255*G256)/1000,"-")</f>
        <v>6.5559999999999993E-3</v>
      </c>
      <c r="H257" s="51">
        <f>IFERROR(
IFERROR(INDEX(Calc_CPI_1[[CPI uplift factor]:[CPI uplift factor]],MATCH($C257,Calc_CPI_1[[Cost item]:[Cost item]],0),1),0)+(H255*H256)/1000,"-")</f>
        <v>6.5559999999999993E-3</v>
      </c>
      <c r="I257" s="51">
        <f>IFERROR(
IFERROR(INDEX(Calc_CPI_1[[CPI uplift factor]:[CPI uplift factor]],MATCH($C257,Calc_CPI_1[[Cost item]:[Cost item]],0),1),0)+(I255*I256)/1000,"-")</f>
        <v>6.5559999999999993E-3</v>
      </c>
      <c r="J257" s="51">
        <f>IFERROR(
IFERROR(INDEX(Calc_CPI_1[[CPI uplift factor]:[CPI uplift factor]],MATCH($C257,Calc_CPI_1[[Cost item]:[Cost item]],0),1),0)+(J255*J256)/1000,"-")</f>
        <v>6.5559999999999993E-3</v>
      </c>
      <c r="K257" s="51">
        <f>IFERROR(
IFERROR(INDEX(Calc_CPI_1[[CPI uplift factor]:[CPI uplift factor]],MATCH($C257,Calc_CPI_1[[Cost item]:[Cost item]],0),1),0)+(K255*K256)/1000,"-")</f>
        <v>6.5559999999999993E-3</v>
      </c>
      <c r="M257" s="56"/>
    </row>
    <row r="258" spans="1:13" outlineLevel="1" x14ac:dyDescent="0.25"/>
    <row r="259" spans="1:13" ht="15.75" outlineLevel="1" collapsed="1" x14ac:dyDescent="0.25">
      <c r="A259" s="1" t="s">
        <v>35</v>
      </c>
      <c r="C259" s="24" t="s">
        <v>397</v>
      </c>
    </row>
    <row r="260" spans="1:13" ht="15.75" outlineLevel="1" x14ac:dyDescent="0.25">
      <c r="C260" s="32" t="s">
        <v>49</v>
      </c>
      <c r="D260" s="32" t="s">
        <v>108</v>
      </c>
      <c r="E260" s="32" t="s">
        <v>56</v>
      </c>
      <c r="F260" s="32" t="s">
        <v>57</v>
      </c>
      <c r="G260" s="43" t="s">
        <v>59</v>
      </c>
      <c r="H260" s="43" t="s">
        <v>60</v>
      </c>
      <c r="I260" s="43" t="s">
        <v>61</v>
      </c>
      <c r="J260" s="43" t="s">
        <v>62</v>
      </c>
      <c r="K260" s="43" t="s">
        <v>63</v>
      </c>
    </row>
    <row r="261" spans="1:13" outlineLevel="1" x14ac:dyDescent="0.25">
      <c r="C261" s="33" t="s">
        <v>140</v>
      </c>
      <c r="D261" s="33" t="s">
        <v>132</v>
      </c>
      <c r="E261" s="18" t="s">
        <v>65</v>
      </c>
      <c r="F261" s="18" t="s">
        <v>133</v>
      </c>
      <c r="G261" s="51" cm="1">
        <f t="array" ref="G261">IFERROR(
(IFERROR(INDEX(Calc_CPI_1[[CPI uplift factor]:[CPI uplift factor]],MATCH(Calc_FiT_1[[#This Row],[Cost item]:[Cost item]],Calc_CPI_1[[Cost item]:[Cost item]],0),1),0)+
INDEX(Input_ForRateCalc[],MATCH(Calc_FiT_1[[#This Row],[Cost item]:[Cost item]],Input_ForRateCalc[[Cost item]:[Cost item]],0),MATCH($D$5,Inputs!$C$15:$AZ$15,0))),"-")</f>
        <v>17.695706209818297</v>
      </c>
      <c r="H261" s="51" cm="1">
        <f t="array" ref="H261">IFERROR(
(IFERROR(INDEX(Calc_CPI_1[[CPI uplift factor]:[CPI uplift factor]],MATCH(Calc_FiT_1[[#This Row],[Cost item]:[Cost item]],Calc_CPI_1[[Cost item]:[Cost item]],0),1),0)+
INDEX(Input_ForRateCalc[],MATCH(Calc_FiT_1[[#This Row],[Cost item]:[Cost item]],Input_ForRateCalc[[Cost item]:[Cost item]],0),MATCH($D$5,Inputs!$C$15:$AZ$15,0))),"-")</f>
        <v>17.695706209818297</v>
      </c>
      <c r="I261" s="51" cm="1">
        <f t="array" ref="I261">IFERROR(
(IFERROR(INDEX(Calc_CPI_1[[CPI uplift factor]:[CPI uplift factor]],MATCH(Calc_FiT_1[[#This Row],[Cost item]:[Cost item]],Calc_CPI_1[[Cost item]:[Cost item]],0),1),0)+
INDEX(Input_ForRateCalc[],MATCH(Calc_FiT_1[[#This Row],[Cost item]:[Cost item]],Input_ForRateCalc[[Cost item]:[Cost item]],0),MATCH($D$5,Inputs!$C$15:$AZ$15,0))),"-")</f>
        <v>17.695706209818297</v>
      </c>
      <c r="J261" s="51" cm="1">
        <f t="array" ref="J261">IFERROR(
(IFERROR(INDEX(Calc_CPI_1[[CPI uplift factor]:[CPI uplift factor]],MATCH(Calc_FiT_1[[#This Row],[Cost item]:[Cost item]],Calc_CPI_1[[Cost item]:[Cost item]],0),1),0)+
INDEX(Input_ForRateCalc[],MATCH(Calc_FiT_1[[#This Row],[Cost item]:[Cost item]],Input_ForRateCalc[[Cost item]:[Cost item]],0),MATCH($D$5,Inputs!$C$15:$AZ$15,0))),"-")</f>
        <v>17.695706209818297</v>
      </c>
      <c r="K261" s="51" cm="1">
        <f t="array" ref="K261">IFERROR(
(IFERROR(INDEX(Calc_CPI_1[[CPI uplift factor]:[CPI uplift factor]],MATCH(Calc_FiT_1[[#This Row],[Cost item]:[Cost item]],Calc_CPI_1[[Cost item]:[Cost item]],0),1),0)+
INDEX(Input_ForRateCalc[],MATCH(Calc_FiT_1[[#This Row],[Cost item]:[Cost item]],Input_ForRateCalc[[Cost item]:[Cost item]],0),MATCH($D$5,Inputs!$C$15:$AZ$15,0))),"-")</f>
        <v>17.695706209818297</v>
      </c>
    </row>
    <row r="264" spans="1:13" ht="15.75" x14ac:dyDescent="0.25">
      <c r="A264" s="1" t="s">
        <v>35</v>
      </c>
    </row>
    <row r="266" spans="1:13" ht="26.25" x14ac:dyDescent="0.25">
      <c r="B266"/>
      <c r="C266" s="165" t="s">
        <v>47</v>
      </c>
      <c r="D266" s="166" t="str">
        <f>Inputs!E10</f>
        <v>VDO 2023-24 - Final</v>
      </c>
    </row>
    <row r="267" spans="1:13" x14ac:dyDescent="0.25">
      <c r="B267"/>
    </row>
    <row r="268" spans="1:13" ht="16.5" hidden="1" thickBot="1" x14ac:dyDescent="0.3">
      <c r="B268" s="161">
        <f>MAX(B$3:B267)+0.01</f>
        <v>5.0799999999999983</v>
      </c>
      <c r="C268" s="23" t="s">
        <v>354</v>
      </c>
      <c r="D268" s="23"/>
      <c r="E268" s="23"/>
      <c r="F268" s="23"/>
      <c r="G268" s="23"/>
      <c r="H268" s="23"/>
      <c r="I268" s="23"/>
      <c r="J268" s="23"/>
      <c r="K268" s="23"/>
    </row>
    <row r="269" spans="1:13" hidden="1" x14ac:dyDescent="0.25">
      <c r="B269"/>
      <c r="I269" s="62"/>
    </row>
    <row r="270" spans="1:13" ht="15.75" hidden="1" x14ac:dyDescent="0.25">
      <c r="B270"/>
      <c r="C270" s="32" t="s">
        <v>355</v>
      </c>
      <c r="D270" s="32" t="s">
        <v>108</v>
      </c>
      <c r="E270" s="32" t="s">
        <v>56</v>
      </c>
      <c r="F270" s="32" t="s">
        <v>57</v>
      </c>
      <c r="G270" s="43" t="s">
        <v>59</v>
      </c>
      <c r="H270" s="43" t="s">
        <v>60</v>
      </c>
      <c r="I270" s="43" t="s">
        <v>61</v>
      </c>
      <c r="J270" s="43" t="s">
        <v>62</v>
      </c>
      <c r="K270" s="43" t="s">
        <v>63</v>
      </c>
    </row>
    <row r="271" spans="1:13" hidden="1" x14ac:dyDescent="0.25">
      <c r="B271"/>
      <c r="C271" s="18" t="s">
        <v>130</v>
      </c>
      <c r="D271" s="18" t="s">
        <v>132</v>
      </c>
      <c r="E271" s="18" t="s">
        <v>65</v>
      </c>
      <c r="F271" s="18" t="s">
        <v>133</v>
      </c>
      <c r="G271" s="52">
        <f>SUMIFS(Calc_Retail_2[Ausnet],Calc_Retail_2[Fixed/Variable],$D271,Calc_Retail_2[Customer type],$F271)</f>
        <v>175.92415101117138</v>
      </c>
      <c r="H271" s="52">
        <f>SUMIFS(Calc_Retail_2[Citipower],Calc_Retail_2[[Fixed/Variable]:[Fixed/Variable]],$D271,Calc_Retail_2[[Customer type]:[Customer type]],$F271)</f>
        <v>175.92415101117138</v>
      </c>
      <c r="I271" s="52">
        <f>SUMIFS(Calc_Retail_2[Jemena],Calc_Retail_2[[Fixed/Variable]:[Fixed/Variable]],$D271,Calc_Retail_2[[Customer type]:[Customer type]],$F271)</f>
        <v>175.92415101117138</v>
      </c>
      <c r="J271" s="52">
        <f>SUMIFS(Calc_Retail_2[Powercor],Calc_Retail_2[[Fixed/Variable]:[Fixed/Variable]],$D271,Calc_Retail_2[[Customer type]:[Customer type]],$F271)</f>
        <v>175.92415101117138</v>
      </c>
      <c r="K271" s="52">
        <f>SUMIFS(Calc_Retail_2[United Energy],Calc_Retail_2[[Fixed/Variable]:[Fixed/Variable]],$D271,Calc_Retail_2[[Customer type]:[Customer type]],$F271)</f>
        <v>175.92415101117138</v>
      </c>
    </row>
    <row r="272" spans="1:13" hidden="1" x14ac:dyDescent="0.25">
      <c r="B272"/>
      <c r="C272" s="18" t="s">
        <v>141</v>
      </c>
      <c r="D272" s="18" t="s">
        <v>132</v>
      </c>
      <c r="E272" s="18" t="s">
        <v>65</v>
      </c>
      <c r="F272" s="18" t="s">
        <v>133</v>
      </c>
      <c r="G272" s="55">
        <f>SUMIFS(Calc_OtherCosts_2[Ausnet],Calc_OtherCosts_2[[Fixed/Variable]:[Fixed/Variable]],$D272,Calc_OtherCosts_2[[Customer type]:[Customer type]],$F272)</f>
        <v>10.663924892904003</v>
      </c>
      <c r="H272" s="52">
        <f>SUMIFS(Calc_OtherCosts_2[Citipower],Calc_OtherCosts_2[[Fixed/Variable]:[Fixed/Variable]],$D272,Calc_OtherCosts_2[[Customer type]:[Customer type]],$F272)</f>
        <v>10.663924892904003</v>
      </c>
      <c r="I272" s="52">
        <f>SUMIFS(Calc_OtherCosts_2[Jemena],Calc_OtherCosts_2[[Fixed/Variable]:[Fixed/Variable]],$D272,Calc_OtherCosts_2[[Customer type]:[Customer type]],$F272)</f>
        <v>10.663924892904003</v>
      </c>
      <c r="J272" s="52">
        <f>SUMIFS(Calc_OtherCosts_2[Powercor],Calc_OtherCosts_2[[Fixed/Variable]:[Fixed/Variable]],$D272,Calc_OtherCosts_2[[Customer type]:[Customer type]],$F272)</f>
        <v>10.663924892904003</v>
      </c>
      <c r="K272" s="52">
        <f>SUMIFS(Calc_OtherCosts_2[United Energy],Calc_OtherCosts_2[[Fixed/Variable]:[Fixed/Variable]],$D272,Calc_OtherCosts_2[[Customer type]:[Customer type]],$F272)</f>
        <v>10.663924892904003</v>
      </c>
    </row>
    <row r="273" spans="2:16" hidden="1" x14ac:dyDescent="0.25">
      <c r="B273"/>
      <c r="C273" s="18" t="s">
        <v>356</v>
      </c>
      <c r="D273" s="18" t="s">
        <v>132</v>
      </c>
      <c r="E273" s="18" t="s">
        <v>65</v>
      </c>
      <c r="F273" s="18" t="s">
        <v>133</v>
      </c>
      <c r="G273" s="52">
        <f>SUMIFS(Calc_FiT_2[Ausnet],Calc_FiT_2[[Fixed/Variable]:[Fixed/Variable]],$D273,Calc_FiT_2[[Customer type]:[Customer type]],$F273)</f>
        <v>16.945572514842485</v>
      </c>
      <c r="H273" s="52">
        <f>SUMIFS(Calc_FiT_2[Citipower],Calc_FiT_2[[Fixed/Variable]:[Fixed/Variable]],$D273,Calc_FiT_2[[Customer type]:[Customer type]],$F273)</f>
        <v>16.945572514842485</v>
      </c>
      <c r="I273" s="52">
        <f>SUMIFS(Calc_FiT_2[Jemena],Calc_FiT_2[[Fixed/Variable]:[Fixed/Variable]],$D273,Calc_FiT_2[[Customer type]:[Customer type]],$F273)</f>
        <v>16.945572514842485</v>
      </c>
      <c r="J273" s="52">
        <f>SUMIFS(Calc_FiT_2[Powercor],Calc_FiT_2[[Fixed/Variable]:[Fixed/Variable]],$D273,Calc_FiT_2[[Customer type]:[Customer type]],$F273)</f>
        <v>16.945572514842485</v>
      </c>
      <c r="K273" s="52">
        <f>SUMIFS(Calc_FiT_2[United Energy],Calc_FiT_2[[Fixed/Variable]:[Fixed/Variable]],$D273,Calc_FiT_2[[Customer type]:[Customer type]],$F273)</f>
        <v>16.945572514842485</v>
      </c>
      <c r="P273" s="62"/>
    </row>
    <row r="274" spans="2:16" hidden="1" x14ac:dyDescent="0.25">
      <c r="B274"/>
      <c r="C274" s="18" t="s">
        <v>357</v>
      </c>
      <c r="D274" s="18" t="s">
        <v>132</v>
      </c>
      <c r="E274" s="18" t="s">
        <v>65</v>
      </c>
      <c r="F274" s="18" t="s">
        <v>133</v>
      </c>
      <c r="G274" s="52">
        <f>SUMIFS(Calc_NetworkF_2[Ausnet],Calc_NetworkF_2[[Fixed/Variable]:[Fixed/Variable]],$D274,Calc_NetworkF_2[[Customer type]:[Customer type]],$F274)</f>
        <v>81.098642274190084</v>
      </c>
      <c r="H274" s="52">
        <f>SUMIFS(Calc_NetworkF_2[Citipower],Calc_NetworkF_2[[Fixed/Variable]:[Fixed/Variable]],$D274,Calc_NetworkF_2[[Customer type]:[Customer type]],$F274)</f>
        <v>69.333895686956055</v>
      </c>
      <c r="I274" s="52">
        <f>SUMIFS(Calc_NetworkF_2[Jemena],Calc_NetworkF_2[[Fixed/Variable]:[Fixed/Variable]],$D274,Calc_NetworkF_2[[Customer type]:[Customer type]],$F274)</f>
        <v>60.012342755043747</v>
      </c>
      <c r="J274" s="52">
        <f>SUMIFS(Calc_NetworkF_2[Powercor],Calc_NetworkF_2[[Fixed/Variable]:[Fixed/Variable]],$D274,Calc_NetworkF_2[[Customer type]:[Customer type]],$F274)</f>
        <v>65.762555105520235</v>
      </c>
      <c r="K274" s="52">
        <f>SUMIFS(Calc_NetworkF_2[United Energy],Calc_NetworkF_2[[Fixed/Variable]:[Fixed/Variable]],$D274,Calc_NetworkF_2[[Customer type]:[Customer type]],$F274)</f>
        <v>46.962287631947568</v>
      </c>
    </row>
    <row r="275" spans="2:16" hidden="1" x14ac:dyDescent="0.25">
      <c r="B275"/>
    </row>
    <row r="276" spans="2:16" ht="15.75" hidden="1" collapsed="1" x14ac:dyDescent="0.25">
      <c r="B276"/>
      <c r="C276" s="24" t="s">
        <v>358</v>
      </c>
    </row>
    <row r="277" spans="2:16" ht="15.75" hidden="1" outlineLevel="1" x14ac:dyDescent="0.25">
      <c r="B277"/>
      <c r="C277" s="59" t="s">
        <v>64</v>
      </c>
    </row>
    <row r="278" spans="2:16" hidden="1" outlineLevel="1" x14ac:dyDescent="0.25">
      <c r="B278"/>
      <c r="C278" s="18" t="s">
        <v>359</v>
      </c>
      <c r="D278" s="18" t="s">
        <v>58</v>
      </c>
      <c r="E278" s="18" t="s">
        <v>65</v>
      </c>
      <c r="F278" s="18" t="s">
        <v>66</v>
      </c>
      <c r="G278" s="44">
        <f>SUMIFS(Calc_NetworkF_2[Ausnet],Calc_NetworkF_2[[Cost item]:[Cost item]],$C277,Calc_NetworkF_2[[Customer type]:[Customer type]],$F278)</f>
        <v>132.87190000000001</v>
      </c>
      <c r="H278" s="44">
        <f>SUMIFS(Calc_NetworkF_2[Citipower],Calc_NetworkF_2[[Cost item]:[Cost item]],$C277,Calc_NetworkF_2[[Customer type]:[Customer type]],$F278)</f>
        <v>90.255600000000001</v>
      </c>
      <c r="I278" s="44">
        <f>SUMIFS(Calc_NetworkF_2[Jemena],Calc_NetworkF_2[[Cost item]:[Cost item]],$C277,Calc_NetworkF_2[[Customer type]:[Customer type]],$F278)</f>
        <v>96.846999999999994</v>
      </c>
      <c r="J278" s="44">
        <f>SUMIFS(Calc_NetworkF_2[Powercor],Calc_NetworkF_2[[Cost item]:[Cost item]],$C277,Calc_NetworkF_2[[Customer type]:[Customer type]],$F278)</f>
        <v>140.36100000000002</v>
      </c>
      <c r="K278" s="44">
        <f>SUMIFS(Calc_NetworkF_2[United Energy],Calc_NetworkF_2[[Cost item]:[Cost item]],$C277,Calc_NetworkF_2[[Customer type]:[Customer type]],$F278)</f>
        <v>90.218999999999994</v>
      </c>
    </row>
    <row r="279" spans="2:16" hidden="1" outlineLevel="1" x14ac:dyDescent="0.25">
      <c r="B279"/>
      <c r="C279" s="18" t="s">
        <v>355</v>
      </c>
      <c r="D279" s="18" t="s">
        <v>58</v>
      </c>
      <c r="E279" s="18" t="s">
        <v>65</v>
      </c>
      <c r="F279" s="18" t="s">
        <v>66</v>
      </c>
      <c r="G279" s="52">
        <f>IF(G278=0,"-",SUMIFS(Calc_Fixed_2[Ausnet],Calc_Fixed_2[Customer type],"All")+SUMIFS(Calc_Fixed_2[Ausnet],Calc_Fixed_2[Customer type],$F279))</f>
        <v>284.63229069310796</v>
      </c>
      <c r="H279" s="52">
        <f>IF(H278=0,"-",SUMIFS(Calc_Fixed_2[Citipower],Calc_Fixed_2[[Customer type]:[Customer type]],"All")+SUMIFS(Calc_Fixed_2[Citipower],Calc_Fixed_2[[Customer type]:[Customer type]],$F280))</f>
        <v>272.86754410587389</v>
      </c>
      <c r="I279" s="52">
        <f>IF(I278=0,"-",SUMIFS(Calc_Fixed_2[Jemena],Calc_Fixed_2[[Customer type]:[Customer type]],"All")+SUMIFS(Calc_Fixed_2[Jemena],Calc_Fixed_2[[Customer type]:[Customer type]],$F280))</f>
        <v>263.54599117396162</v>
      </c>
      <c r="J279" s="52">
        <f>IF(J278=0,"-",SUMIFS(Calc_Fixed_2[Powercor],Calc_Fixed_2[[Customer type]:[Customer type]],"All")+SUMIFS(Calc_Fixed_2[Powercor],Calc_Fixed_2[[Customer type]:[Customer type]],$F280))</f>
        <v>269.29620352443811</v>
      </c>
      <c r="K279" s="52">
        <f>IF(K278=0,"-",SUMIFS(Calc_Fixed_2[United Energy],Calc_Fixed_2[[Customer type]:[Customer type]],"All")+SUMIFS(Calc_Fixed_2[United Energy],Calc_Fixed_2[[Customer type]:[Customer type]],$F280))</f>
        <v>250.49593605086542</v>
      </c>
    </row>
    <row r="280" spans="2:16" hidden="1" outlineLevel="1" x14ac:dyDescent="0.25">
      <c r="B280"/>
      <c r="C280" s="18" t="s">
        <v>258</v>
      </c>
      <c r="D280" s="18" t="s">
        <v>58</v>
      </c>
      <c r="E280" s="18" t="s">
        <v>65</v>
      </c>
      <c r="F280" s="18" t="s">
        <v>66</v>
      </c>
      <c r="G280" s="52" cm="1">
        <f t="array" ref="G280">IF(G278=0,"-",(G278+G279)*Calc_ROM_2[Ausnet])</f>
        <v>23.380234678814045</v>
      </c>
      <c r="H280" s="52" cm="1">
        <f t="array" ref="H280">IF(H278=0,"-",(H278+H279)*Calc_ROM_2[Citipower])</f>
        <v>20.334896069928938</v>
      </c>
      <c r="I280" s="52" cm="1">
        <f t="array" ref="I280">IF(I278=0,"-",(I278+I279)*Calc_ROM_2[Jemena])</f>
        <v>20.182007505741851</v>
      </c>
      <c r="J280" s="52" cm="1">
        <f t="array" ref="J280">IF(J278=0,"-",(J278+J279)*Calc_ROM_2[Powercor])</f>
        <v>22.940803397368537</v>
      </c>
      <c r="K280" s="52" cm="1">
        <f t="array" ref="K280">IF(K278=0,"-",(K278+K279)*Calc_ROM_2[United Energy])</f>
        <v>19.080036418848461</v>
      </c>
    </row>
    <row r="281" spans="2:16" hidden="1" outlineLevel="1" x14ac:dyDescent="0.25">
      <c r="B281"/>
      <c r="C281" s="18" t="s">
        <v>360</v>
      </c>
      <c r="D281" s="18" t="s">
        <v>58</v>
      </c>
      <c r="E281" s="18" t="s">
        <v>65</v>
      </c>
      <c r="F281" s="18" t="s">
        <v>66</v>
      </c>
      <c r="G281" s="52">
        <f>IF(G278=0,"-",(G278+G279+G280)*GST)</f>
        <v>44.088442537192201</v>
      </c>
      <c r="H281" s="52">
        <f>IF(H278=0,"-",(H278+H279+H280)*GST)</f>
        <v>38.345804017580285</v>
      </c>
      <c r="I281" s="52">
        <f>IF(I278=0,"-",(I278+I279+I280)*GST)</f>
        <v>38.05749986797035</v>
      </c>
      <c r="J281" s="52">
        <f>IF(J278=0,"-",(J278+J279+J280)*GST)</f>
        <v>43.259800692180676</v>
      </c>
      <c r="K281" s="52">
        <f>IF(K278=0,"-",(K278+K279+K280)*GST)</f>
        <v>35.979497246971384</v>
      </c>
    </row>
    <row r="282" spans="2:16" hidden="1" outlineLevel="1" x14ac:dyDescent="0.25">
      <c r="B282"/>
      <c r="C282" s="18" t="s">
        <v>361</v>
      </c>
      <c r="D282" s="18" t="s">
        <v>58</v>
      </c>
      <c r="E282" s="18" t="s">
        <v>65</v>
      </c>
      <c r="F282" s="18" t="s">
        <v>66</v>
      </c>
      <c r="G282" s="52">
        <f>IF(G278=0,"-",G278+G279+G280+G281)</f>
        <v>484.97286790911414</v>
      </c>
      <c r="H282" s="52">
        <f>IF(H278=0,"-",H278+H279+H280+H281)</f>
        <v>421.80384419338316</v>
      </c>
      <c r="I282" s="52">
        <f>IF(I278=0,"-",I278+I279+I280+I281)</f>
        <v>418.63249854767383</v>
      </c>
      <c r="J282" s="52">
        <f>IF(J278=0,"-",J278+J279+J280+J281)</f>
        <v>475.85780761398735</v>
      </c>
      <c r="K282" s="52">
        <f>IF(K278=0,"-",K278+K279+K280+K281)</f>
        <v>395.77446971668525</v>
      </c>
    </row>
    <row r="283" spans="2:16" hidden="1" outlineLevel="1" x14ac:dyDescent="0.25">
      <c r="B283"/>
      <c r="C283" s="18" t="str">
        <f>C277</f>
        <v>Anytime - supply</v>
      </c>
      <c r="D283" s="18" t="s">
        <v>58</v>
      </c>
      <c r="E283" s="18" t="s">
        <v>65</v>
      </c>
      <c r="F283" s="18" t="s">
        <v>66</v>
      </c>
      <c r="G283" s="53">
        <f>IF(G278=0,"-",G282/DiPY)</f>
        <v>1.325062480625995</v>
      </c>
      <c r="H283" s="53">
        <f>IF(H278=0,"-",H282/DiPY)</f>
        <v>1.1524695196540524</v>
      </c>
      <c r="I283" s="53">
        <f>IF(I278=0,"-",I282/DiPY)</f>
        <v>1.1438046408406388</v>
      </c>
      <c r="J283" s="53">
        <f>IF(J278=0,"-",J282/DiPY)</f>
        <v>1.3001579443005118</v>
      </c>
      <c r="K283" s="53">
        <f>IF(K278=0,"-",K282/DiPY)</f>
        <v>1.0813510101548778</v>
      </c>
    </row>
    <row r="284" spans="2:16" hidden="1" outlineLevel="1" x14ac:dyDescent="0.25">
      <c r="B284"/>
      <c r="G284" s="81" cm="1">
        <f t="array" ref="G284">IF(G278=0,"-",
IF(ROUND(G283,8)=ROUND((((
SUMIFS(Calc_NetworkF_2[Ausnet],Calc_NetworkF_2[[Cost item]:[Cost item]],$C277,Calc_NetworkF_2[[Customer type]:[Customer type]],$F278)+
SUMIFS(Calc_Fixed_2[Ausnet],Calc_Fixed_2[[Customer type]:[Customer type]],Calc_Rates!$F283)+
SUMIFS(Calc_Fixed_2[Ausnet],Calc_Fixed_2[[Customer type]:[Customer type]],"All"))*(1+Calc_ROM_2[Ausnet]))*(1+GST))/DiPY,8),0,1))</f>
        <v>0</v>
      </c>
      <c r="H284" s="81" cm="1">
        <f t="array" ref="H284">IF(H278=0,"-",
IF(ROUND(H283,8)=ROUND((((
SUMIFS(Calc_NetworkF_2[Citipower],Calc_NetworkF_2[[Cost item]:[Cost item]],$C277,Calc_NetworkF_2[[Customer type]:[Customer type]],$F278)+
SUMIFS(Calc_Fixed_2[Citipower],Calc_Fixed_2[[Customer type]:[Customer type]],Calc_Rates!$F283)+
SUMIFS(Calc_Fixed_2[Citipower],Calc_Fixed_2[[Customer type]:[Customer type]],"All"))*(1+Calc_ROM_2[Citipower]))*(1+GST))/DiPY,8),0,1))</f>
        <v>0</v>
      </c>
      <c r="I284" s="81" cm="1">
        <f t="array" ref="I284">IF(I278=0,"-",
IF(ROUND(I283,8)=ROUND((((
SUMIFS(Calc_NetworkF_2[Jemena],Calc_NetworkF_2[[Cost item]:[Cost item]],$C277,Calc_NetworkF_2[[Customer type]:[Customer type]],$F278)+
SUMIFS(Calc_Fixed_2[Jemena],Calc_Fixed_2[[Customer type]:[Customer type]],Calc_Rates!$F283)+
SUMIFS(Calc_Fixed_2[Jemena],Calc_Fixed_2[[Customer type]:[Customer type]],"All"))*(1+Calc_ROM_2[Jemena]))*(1+GST))/DiPY,8),0,1))</f>
        <v>0</v>
      </c>
      <c r="J284" s="81" cm="1">
        <f t="array" ref="J284">IF(J278=0,"-",
IF(ROUND(J283,8)=ROUND((((
SUMIFS(Calc_NetworkF_2[Powercor],Calc_NetworkF_2[[Cost item]:[Cost item]],$C277,Calc_NetworkF_2[[Customer type]:[Customer type]],$F278)+
SUMIFS(Calc_Fixed_2[Powercor],Calc_Fixed_2[[Customer type]:[Customer type]],Calc_Rates!$F283)+
SUMIFS(Calc_Fixed_2[Powercor],Calc_Fixed_2[[Customer type]:[Customer type]],"All"))*(1+Calc_ROM_2[Powercor]))*(1+GST))/DiPY,8),0,1))</f>
        <v>0</v>
      </c>
      <c r="K284" s="81" cm="1">
        <f t="array" ref="K284">IF(K278=0,"-",
IF(ROUND(K283,8)=ROUND((((
SUMIFS(Calc_NetworkF_2[United Energy],Calc_NetworkF_2[[Cost item]:[Cost item]],$C277,Calc_NetworkF_2[[Customer type]:[Customer type]],$F278)+
SUMIFS(Calc_Fixed_2[United Energy],Calc_Fixed_2[[Customer type]:[Customer type]],Calc_Rates!$F283)+
SUMIFS(Calc_Fixed_2[United Energy],Calc_Fixed_2[[Customer type]:[Customer type]],"All"))*(1+Calc_ROM_2[United Energy]))*(1+GST))/DiPY,8),0,1))</f>
        <v>0</v>
      </c>
    </row>
    <row r="285" spans="2:16" ht="15.75" hidden="1" outlineLevel="1" x14ac:dyDescent="0.25">
      <c r="B285"/>
      <c r="C285" s="59" t="s">
        <v>72</v>
      </c>
    </row>
    <row r="286" spans="2:16" hidden="1" outlineLevel="1" x14ac:dyDescent="0.25">
      <c r="B286"/>
      <c r="C286" s="18" t="s">
        <v>359</v>
      </c>
      <c r="D286" s="18" t="s">
        <v>58</v>
      </c>
      <c r="E286" s="18" t="s">
        <v>65</v>
      </c>
      <c r="F286" s="18" t="s">
        <v>66</v>
      </c>
      <c r="G286" s="44">
        <f>SUMIFS(Calc_NetworkF_2[Ausnet],Calc_NetworkF_2[[Cost item]:[Cost item]],$C285,Calc_NetworkF_2[[Customer type]:[Customer type]],$F286)</f>
        <v>132.87190000000001</v>
      </c>
      <c r="H286" s="44">
        <f>SUMIFS(Calc_NetworkF_2[Citipower],Calc_NetworkF_2[[Cost item]:[Cost item]],$C285,Calc_NetworkF_2[[Customer type]:[Customer type]],$F286)</f>
        <v>90.255600000000001</v>
      </c>
      <c r="I286" s="44">
        <f>SUMIFS(Calc_NetworkF_2[Jemena],Calc_NetworkF_2[[Cost item]:[Cost item]],$C285,Calc_NetworkF_2[[Customer type]:[Customer type]],$F286)</f>
        <v>96.846999999999994</v>
      </c>
      <c r="J286" s="44">
        <f>SUMIFS(Calc_NetworkF_2[Powercor],Calc_NetworkF_2[[Cost item]:[Cost item]],$C285,Calc_NetworkF_2[[Customer type]:[Customer type]],$F286)</f>
        <v>140.36100000000002</v>
      </c>
      <c r="K286" s="44">
        <f>SUMIFS(Calc_NetworkF_2[United Energy],Calc_NetworkF_2[[Cost item]:[Cost item]],$C285,Calc_NetworkF_2[[Customer type]:[Customer type]],$F286)</f>
        <v>90.218999999999994</v>
      </c>
    </row>
    <row r="287" spans="2:16" hidden="1" outlineLevel="1" x14ac:dyDescent="0.25">
      <c r="B287"/>
      <c r="C287" s="18" t="s">
        <v>355</v>
      </c>
      <c r="D287" s="18" t="s">
        <v>58</v>
      </c>
      <c r="E287" s="18" t="s">
        <v>65</v>
      </c>
      <c r="F287" s="18" t="s">
        <v>66</v>
      </c>
      <c r="G287" s="52">
        <f>IF(G286=0,"-",SUMIFS(Calc_Fixed_2[Ausnet],Calc_Fixed_2[[Customer type]:[Customer type]],"All")+SUMIFS(Calc_Fixed_2[Ausnet],Calc_Fixed_2[[Customer type]:[Customer type]],$F287))</f>
        <v>284.63229069310796</v>
      </c>
      <c r="H287" s="52">
        <f>IF(H286=0,"-",SUMIFS(Calc_Fixed_2[Citipower],Calc_Fixed_2[[Customer type]:[Customer type]],"All")+SUMIFS(Calc_Fixed_2[Citipower],Calc_Fixed_2[[Customer type]:[Customer type]],$F288))</f>
        <v>272.86754410587389</v>
      </c>
      <c r="I287" s="52">
        <f>IF(I286=0,"-",SUMIFS(Calc_Fixed_2[Jemena],Calc_Fixed_2[[Customer type]:[Customer type]],"All")+SUMIFS(Calc_Fixed_2[Jemena],Calc_Fixed_2[[Customer type]:[Customer type]],$F288))</f>
        <v>263.54599117396162</v>
      </c>
      <c r="J287" s="52">
        <f>IF(J286=0,"-",SUMIFS(Calc_Fixed_2[Powercor],Calc_Fixed_2[[Customer type]:[Customer type]],"All")+SUMIFS(Calc_Fixed_2[Powercor],Calc_Fixed_2[[Customer type]:[Customer type]],$F288))</f>
        <v>269.29620352443811</v>
      </c>
      <c r="K287" s="52">
        <f>IF(K286=0,"-",SUMIFS(Calc_Fixed_2[United Energy],Calc_Fixed_2[[Customer type]:[Customer type]],"All")+SUMIFS(Calc_Fixed_2[United Energy],Calc_Fixed_2[[Customer type]:[Customer type]],$F288))</f>
        <v>250.49593605086542</v>
      </c>
    </row>
    <row r="288" spans="2:16" hidden="1" outlineLevel="1" x14ac:dyDescent="0.25">
      <c r="B288"/>
      <c r="C288" s="18" t="s">
        <v>258</v>
      </c>
      <c r="D288" s="18" t="s">
        <v>58</v>
      </c>
      <c r="E288" s="18" t="s">
        <v>65</v>
      </c>
      <c r="F288" s="18" t="s">
        <v>66</v>
      </c>
      <c r="G288" s="52" cm="1">
        <f t="array" ref="G288">IF(G286=0,"-",(G286+G287)*Calc_ROM_2[Ausnet])</f>
        <v>23.380234678814045</v>
      </c>
      <c r="H288" s="52" cm="1">
        <f t="array" ref="H288">IF(H286=0,"-",(H286+H287)*Calc_ROM_2[Citipower])</f>
        <v>20.334896069928938</v>
      </c>
      <c r="I288" s="52" cm="1">
        <f t="array" ref="I288">IF(I286=0,"-",(I286+I287)*Calc_ROM_2[Jemena])</f>
        <v>20.182007505741851</v>
      </c>
      <c r="J288" s="52" cm="1">
        <f t="array" ref="J288">IF(J286=0,"-",(J286+J287)*Calc_ROM_2[Powercor])</f>
        <v>22.940803397368537</v>
      </c>
      <c r="K288" s="52" cm="1">
        <f t="array" ref="K288">IF(K286=0,"-",(K286+K287)*Calc_ROM_2[United Energy])</f>
        <v>19.080036418848461</v>
      </c>
    </row>
    <row r="289" spans="2:11" hidden="1" outlineLevel="1" x14ac:dyDescent="0.25">
      <c r="B289"/>
      <c r="C289" s="18" t="s">
        <v>360</v>
      </c>
      <c r="D289" s="18" t="s">
        <v>58</v>
      </c>
      <c r="E289" s="18" t="s">
        <v>65</v>
      </c>
      <c r="F289" s="18" t="s">
        <v>66</v>
      </c>
      <c r="G289" s="52">
        <f>IF(G286=0,"-",(G286+G287+G288)*GST)</f>
        <v>44.088442537192201</v>
      </c>
      <c r="H289" s="52">
        <f>IF(H286=0,"-",(H286+H287+H288)*GST)</f>
        <v>38.345804017580285</v>
      </c>
      <c r="I289" s="52">
        <f>IF(I286=0,"-",(I286+I287+I288)*GST)</f>
        <v>38.05749986797035</v>
      </c>
      <c r="J289" s="52">
        <f>IF(J286=0,"-",(J286+J287+J288)*GST)</f>
        <v>43.259800692180676</v>
      </c>
      <c r="K289" s="52">
        <f>IF(K286=0,"-",(K286+K287+K288)*GST)</f>
        <v>35.979497246971384</v>
      </c>
    </row>
    <row r="290" spans="2:11" hidden="1" outlineLevel="1" x14ac:dyDescent="0.25">
      <c r="B290"/>
      <c r="C290" s="18" t="s">
        <v>361</v>
      </c>
      <c r="D290" s="18" t="s">
        <v>58</v>
      </c>
      <c r="E290" s="18" t="s">
        <v>65</v>
      </c>
      <c r="F290" s="18" t="s">
        <v>66</v>
      </c>
      <c r="G290" s="52">
        <f>IF(G286=0,"-",G286+G287+G288+G289)</f>
        <v>484.97286790911414</v>
      </c>
      <c r="H290" s="52">
        <f>IF(H286=0,"-",H286+H287+H288+H289)</f>
        <v>421.80384419338316</v>
      </c>
      <c r="I290" s="52">
        <f>IF(I286=0,"-",I286+I287+I288+I289)</f>
        <v>418.63249854767383</v>
      </c>
      <c r="J290" s="52">
        <f>IF(J286=0,"-",J286+J287+J288+J289)</f>
        <v>475.85780761398735</v>
      </c>
      <c r="K290" s="52">
        <f>IF(K286=0,"-",K286+K287+K288+K289)</f>
        <v>395.77446971668525</v>
      </c>
    </row>
    <row r="291" spans="2:11" hidden="1" outlineLevel="1" x14ac:dyDescent="0.25">
      <c r="B291"/>
      <c r="C291" s="18" t="str">
        <f>C285</f>
        <v>TOU - supply</v>
      </c>
      <c r="D291" s="18" t="s">
        <v>58</v>
      </c>
      <c r="E291" s="18" t="s">
        <v>65</v>
      </c>
      <c r="F291" s="18" t="s">
        <v>66</v>
      </c>
      <c r="G291" s="53">
        <f>IF(G286=0,"-",G290/DiPY)</f>
        <v>1.325062480625995</v>
      </c>
      <c r="H291" s="53">
        <f>IF(H286=0,"-",H290/DiPY)</f>
        <v>1.1524695196540524</v>
      </c>
      <c r="I291" s="53">
        <f>IF(I286=0,"-",I290/DiPY)</f>
        <v>1.1438046408406388</v>
      </c>
      <c r="J291" s="53">
        <f>IF(J286=0,"-",J290/DiPY)</f>
        <v>1.3001579443005118</v>
      </c>
      <c r="K291" s="53">
        <f>IF(K286=0,"-",K290/DiPY)</f>
        <v>1.0813510101548778</v>
      </c>
    </row>
    <row r="292" spans="2:11" hidden="1" outlineLevel="1" x14ac:dyDescent="0.25">
      <c r="B292"/>
      <c r="G292" s="81" cm="1">
        <f t="array" ref="G292">IF(G286=0,"-",
IF(ROUND(G291,8)=ROUND((((
SUMIFS(Calc_NetworkF_2[Ausnet],Calc_NetworkF_2[[Cost item]:[Cost item]],$C285,Calc_NetworkF_2[[Customer type]:[Customer type]],$F286)+
SUMIFS(Calc_Fixed_2[Ausnet],Calc_Fixed_2[[Customer type]:[Customer type]],Calc_Rates!$F291)+
SUMIFS(Calc_Fixed_2[Ausnet],Calc_Fixed_2[[Customer type]:[Customer type]],"All"))*(1+Calc_ROM_2[Ausnet]))*(1+GST))/DiPY,8),0,1))</f>
        <v>0</v>
      </c>
      <c r="H292" s="81" cm="1">
        <f t="array" ref="H292">IF(H286=0,"-",
IF(ROUND(H291,8)=ROUND((((
SUMIFS(Calc_NetworkF_2[Citipower],Calc_NetworkF_2[[Cost item]:[Cost item]],$C285,Calc_NetworkF_2[[Customer type]:[Customer type]],$F286)+
SUMIFS(Calc_Fixed_2[Citipower],Calc_Fixed_2[[Customer type]:[Customer type]],Calc_Rates!$F291)+
SUMIFS(Calc_Fixed_2[Citipower],Calc_Fixed_2[[Customer type]:[Customer type]],"All"))*(1+Calc_ROM_2[Citipower]))*(1+GST))/DiPY,8),0,1))</f>
        <v>0</v>
      </c>
      <c r="I292" s="81" cm="1">
        <f t="array" ref="I292">IF(I286=0,"-",
IF(ROUND(I291,8)=ROUND((((
SUMIFS(Calc_NetworkF_2[Jemena],Calc_NetworkF_2[[Cost item]:[Cost item]],$C285,Calc_NetworkF_2[[Customer type]:[Customer type]],$F286)+
SUMIFS(Calc_Fixed_2[Jemena],Calc_Fixed_2[[Customer type]:[Customer type]],Calc_Rates!$F291)+
SUMIFS(Calc_Fixed_2[Jemena],Calc_Fixed_2[[Customer type]:[Customer type]],"All"))*(1+Calc_ROM_2[Jemena]))*(1+GST))/DiPY,8),0,1))</f>
        <v>0</v>
      </c>
      <c r="J292" s="81" cm="1">
        <f t="array" ref="J292">IF(J286=0,"-",
IF(ROUND(J291,8)=ROUND((((
SUMIFS(Calc_NetworkF_2[Powercor],Calc_NetworkF_2[[Cost item]:[Cost item]],$C285,Calc_NetworkF_2[[Customer type]:[Customer type]],$F286)+
SUMIFS(Calc_Fixed_2[Powercor],Calc_Fixed_2[[Customer type]:[Customer type]],Calc_Rates!$F291)+
SUMIFS(Calc_Fixed_2[Powercor],Calc_Fixed_2[[Customer type]:[Customer type]],"All"))*(1+Calc_ROM_2[Powercor]))*(1+GST))/DiPY,8),0,1))</f>
        <v>0</v>
      </c>
      <c r="K292" s="81" cm="1">
        <f t="array" ref="K292">IF(K286=0,"-",
IF(ROUND(K291,8)=ROUND((((
SUMIFS(Calc_NetworkF_2[United Energy],Calc_NetworkF_2[[Cost item]:[Cost item]],$C285,Calc_NetworkF_2[[Customer type]:[Customer type]],$F286)+
SUMIFS(Calc_Fixed_2[United Energy],Calc_Fixed_2[[Customer type]:[Customer type]],Calc_Rates!$F291)+
SUMIFS(Calc_Fixed_2[United Energy],Calc_Fixed_2[[Customer type]:[Customer type]],"All"))*(1+Calc_ROM_2[United Energy]))*(1+GST))/DiPY,8),0,1))</f>
        <v>0</v>
      </c>
    </row>
    <row r="293" spans="2:11" ht="15.75" hidden="1" collapsed="1" x14ac:dyDescent="0.25">
      <c r="B293"/>
      <c r="C293" s="24" t="s">
        <v>362</v>
      </c>
    </row>
    <row r="294" spans="2:11" ht="15.75" hidden="1" outlineLevel="1" x14ac:dyDescent="0.25">
      <c r="B294"/>
      <c r="C294" s="59" t="s">
        <v>64</v>
      </c>
    </row>
    <row r="295" spans="2:11" hidden="1" outlineLevel="1" x14ac:dyDescent="0.25">
      <c r="B295"/>
      <c r="C295" s="18" t="s">
        <v>359</v>
      </c>
      <c r="D295" s="18" t="s">
        <v>58</v>
      </c>
      <c r="E295" s="18" t="s">
        <v>65</v>
      </c>
      <c r="F295" s="18" t="s">
        <v>67</v>
      </c>
      <c r="G295" s="44">
        <f>SUMIFS(Calc_NetworkF_2[Ausnet],Calc_NetworkF_2[[Cost item]:[Cost item]],$C294,Calc_NetworkF_2[[Customer type]:[Customer type]],$F295)</f>
        <v>132.87190000000001</v>
      </c>
      <c r="H295" s="44">
        <f>SUMIFS(Calc_NetworkF_2[Citipower],Calc_NetworkF_2[[Cost item]:[Cost item]],$C294,Calc_NetworkF_2[[Customer type]:[Customer type]],$F295)</f>
        <v>150.42600000000002</v>
      </c>
      <c r="I295" s="44">
        <f>SUMIFS(Calc_NetworkF_2[Jemena],Calc_NetworkF_2[[Cost item]:[Cost item]],$C294,Calc_NetworkF_2[[Customer type]:[Customer type]],$F295)</f>
        <v>147.858</v>
      </c>
      <c r="J295" s="44">
        <f>SUMIFS(Calc_NetworkF_2[Powercor],Calc_NetworkF_2[[Cost item]:[Cost item]],$C294,Calc_NetworkF_2[[Customer type]:[Customer type]],$F295)</f>
        <v>180.47460000000001</v>
      </c>
      <c r="K295" s="44">
        <f>SUMIFS(Calc_NetworkF_2[United Energy],Calc_NetworkF_2[[Cost item]:[Cost item]],$C294,Calc_NetworkF_2[[Customer type]:[Customer type]],$F295)</f>
        <v>140.36100000000002</v>
      </c>
    </row>
    <row r="296" spans="2:11" hidden="1" outlineLevel="1" x14ac:dyDescent="0.25">
      <c r="B296"/>
      <c r="C296" s="18" t="s">
        <v>355</v>
      </c>
      <c r="D296" s="18" t="s">
        <v>58</v>
      </c>
      <c r="E296" s="18" t="s">
        <v>65</v>
      </c>
      <c r="F296" s="18" t="s">
        <v>67</v>
      </c>
      <c r="G296" s="52">
        <f>IF(G295=0,"-",SUMIFS(Calc_Fixed_2[Ausnet],Calc_Fixed_2[[Customer type]:[Customer type]],"All")+SUMIFS(Calc_Fixed_2[Ausnet],Calc_Fixed_2[[Customer type]:[Customer type]],$F296))</f>
        <v>284.63229069310796</v>
      </c>
      <c r="H296" s="52">
        <f>IF(H295=0,"-",SUMIFS(Calc_Fixed_2[Citipower],Calc_Fixed_2[[Customer type]:[Customer type]],"All")+SUMIFS(Calc_Fixed_2[Citipower],Calc_Fixed_2[[Customer type]:[Customer type]],$F297))</f>
        <v>272.86754410587389</v>
      </c>
      <c r="I296" s="52">
        <f>IF(I295=0,"-",SUMIFS(Calc_Fixed_2[Jemena],Calc_Fixed_2[[Customer type]:[Customer type]],"All")+SUMIFS(Calc_Fixed_2[Jemena],Calc_Fixed_2[[Customer type]:[Customer type]],$F297))</f>
        <v>263.54599117396162</v>
      </c>
      <c r="J296" s="52">
        <f>IF(J295=0,"-",SUMIFS(Calc_Fixed_2[Powercor],Calc_Fixed_2[[Customer type]:[Customer type]],"All")+SUMIFS(Calc_Fixed_2[Powercor],Calc_Fixed_2[[Customer type]:[Customer type]],$F297))</f>
        <v>269.29620352443811</v>
      </c>
      <c r="K296" s="52">
        <f>IF(K295=0,"-",SUMIFS(Calc_Fixed_2[United Energy],Calc_Fixed_2[[Customer type]:[Customer type]],"All")+SUMIFS(Calc_Fixed_2[United Energy],Calc_Fixed_2[[Customer type]:[Customer type]],$F297))</f>
        <v>250.49593605086542</v>
      </c>
    </row>
    <row r="297" spans="2:11" hidden="1" outlineLevel="1" x14ac:dyDescent="0.25">
      <c r="B297"/>
      <c r="C297" s="18" t="s">
        <v>258</v>
      </c>
      <c r="D297" s="18" t="s">
        <v>58</v>
      </c>
      <c r="E297" s="18" t="s">
        <v>65</v>
      </c>
      <c r="F297" s="18" t="s">
        <v>67</v>
      </c>
      <c r="G297" s="52" cm="1">
        <f t="array" ref="G297">IF(G295=0,"-",(G295+G296)*Calc_ROM_2[Ausnet])</f>
        <v>23.380234678814045</v>
      </c>
      <c r="H297" s="52" cm="1">
        <f t="array" ref="H297">IF(H295=0,"-",(H295+H296)*Calc_ROM_2[Citipower])</f>
        <v>23.704438469928942</v>
      </c>
      <c r="I297" s="52" cm="1">
        <f t="array" ref="I297">IF(I295=0,"-",(I295+I296)*Calc_ROM_2[Jemena])</f>
        <v>23.038623505741853</v>
      </c>
      <c r="J297" s="52" cm="1">
        <f t="array" ref="J297">IF(J295=0,"-",(J295+J296)*Calc_ROM_2[Powercor])</f>
        <v>25.187164997368534</v>
      </c>
      <c r="K297" s="52" cm="1">
        <f t="array" ref="K297">IF(K295=0,"-",(K295+K296)*Calc_ROM_2[United Energy])</f>
        <v>21.887988418848465</v>
      </c>
    </row>
    <row r="298" spans="2:11" hidden="1" outlineLevel="1" x14ac:dyDescent="0.25">
      <c r="B298"/>
      <c r="C298" s="18" t="s">
        <v>360</v>
      </c>
      <c r="D298" s="18" t="s">
        <v>58</v>
      </c>
      <c r="E298" s="18" t="s">
        <v>65</v>
      </c>
      <c r="F298" s="18" t="s">
        <v>67</v>
      </c>
      <c r="G298" s="52">
        <f>IF(G295=0,"-",(G295+G296+G297)*GST)</f>
        <v>44.088442537192201</v>
      </c>
      <c r="H298" s="52">
        <f>IF(H295=0,"-",(H295+H296+H297)*GST)</f>
        <v>44.699798257580291</v>
      </c>
      <c r="I298" s="52">
        <f>IF(I295=0,"-",(I295+I296+I297)*GST)</f>
        <v>43.44426146797035</v>
      </c>
      <c r="J298" s="52">
        <f>IF(J295=0,"-",(J295+J296+J297)*GST)</f>
        <v>47.495796852180668</v>
      </c>
      <c r="K298" s="52">
        <f>IF(K295=0,"-",(K295+K296+K297)*GST)</f>
        <v>41.274492446971394</v>
      </c>
    </row>
    <row r="299" spans="2:11" hidden="1" outlineLevel="1" x14ac:dyDescent="0.25">
      <c r="B299"/>
      <c r="C299" s="18" t="s">
        <v>361</v>
      </c>
      <c r="D299" s="18" t="s">
        <v>58</v>
      </c>
      <c r="E299" s="18" t="s">
        <v>65</v>
      </c>
      <c r="F299" s="18" t="s">
        <v>67</v>
      </c>
      <c r="G299" s="52">
        <f>IF(G295=0,"-",G295+G296+G297+G298)</f>
        <v>484.97286790911414</v>
      </c>
      <c r="H299" s="52">
        <f>IF(H295=0,"-",H295+H296+H297+H298)</f>
        <v>491.69778083338321</v>
      </c>
      <c r="I299" s="52">
        <f>IF(I295=0,"-",I295+I296+I297+I298)</f>
        <v>477.88687614767383</v>
      </c>
      <c r="J299" s="52">
        <f>IF(J295=0,"-",J295+J296+J297+J298)</f>
        <v>522.45376537398738</v>
      </c>
      <c r="K299" s="52">
        <f>IF(K295=0,"-",K295+K296+K297+K298)</f>
        <v>454.01941691668532</v>
      </c>
    </row>
    <row r="300" spans="2:11" hidden="1" outlineLevel="1" x14ac:dyDescent="0.25">
      <c r="B300"/>
      <c r="C300" s="18" t="str">
        <f>C294</f>
        <v>Anytime - supply</v>
      </c>
      <c r="D300" s="18" t="s">
        <v>58</v>
      </c>
      <c r="E300" s="18" t="s">
        <v>65</v>
      </c>
      <c r="F300" s="18" t="s">
        <v>67</v>
      </c>
      <c r="G300" s="53">
        <f>IF(G295=0,"-",G299/DiPY)</f>
        <v>1.325062480625995</v>
      </c>
      <c r="H300" s="53">
        <f>IF(H295=0,"-",H299/DiPY)</f>
        <v>1.3434365596540525</v>
      </c>
      <c r="I300" s="53">
        <f>IF(I295=0,"-",I299/DiPY)</f>
        <v>1.305701847398016</v>
      </c>
      <c r="J300" s="53">
        <f>IF(J295=0,"-",J299/DiPY)</f>
        <v>1.427469304300512</v>
      </c>
      <c r="K300" s="53">
        <f>IF(K295=0,"-",K299/DiPY)</f>
        <v>1.2404902101548778</v>
      </c>
    </row>
    <row r="301" spans="2:11" hidden="1" outlineLevel="1" x14ac:dyDescent="0.25">
      <c r="B301"/>
      <c r="G301" s="81" cm="1">
        <f t="array" ref="G301">IF(G295=0,"-",
IF(ROUND(G300,8)=ROUND((((
SUMIFS(Calc_NetworkF_2[Ausnet],Calc_NetworkF_2[[Cost item]:[Cost item]],$C294,Calc_NetworkF_2[[Customer type]:[Customer type]],$F295)+
SUMIFS(Calc_Fixed_2[Ausnet],Calc_Fixed_2[[Customer type]:[Customer type]],Calc_Rates!$F300)+
SUMIFS(Calc_Fixed_2[Ausnet],Calc_Fixed_2[[Customer type]:[Customer type]],"All"))*(1+Calc_ROM_2[Ausnet]))*(1+GST))/DiPY,8),0,1))</f>
        <v>0</v>
      </c>
      <c r="H301" s="81" cm="1">
        <f t="array" ref="H301">IF(H295=0,"-",
IF(ROUND(H300,8)=ROUND((((
SUMIFS(Calc_NetworkF_2[Citipower],Calc_NetworkF_2[[Cost item]:[Cost item]],$C294,Calc_NetworkF_2[[Customer type]:[Customer type]],$F295)+
SUMIFS(Calc_Fixed_2[Citipower],Calc_Fixed_2[[Customer type]:[Customer type]],Calc_Rates!$F300)+
SUMIFS(Calc_Fixed_2[Citipower],Calc_Fixed_2[[Customer type]:[Customer type]],"All"))*(1+Calc_ROM_2[Citipower]))*(1+GST))/DiPY,8),0,1))</f>
        <v>0</v>
      </c>
      <c r="I301" s="81" cm="1">
        <f t="array" ref="I301">IF(I295=0,"-",
IF(ROUND(I300,8)=ROUND((((
SUMIFS(Calc_NetworkF_2[Jemena],Calc_NetworkF_2[[Cost item]:[Cost item]],$C294,Calc_NetworkF_2[[Customer type]:[Customer type]],$F295)+
SUMIFS(Calc_Fixed_2[Jemena],Calc_Fixed_2[[Customer type]:[Customer type]],Calc_Rates!$F300)+
SUMIFS(Calc_Fixed_2[Jemena],Calc_Fixed_2[[Customer type]:[Customer type]],"All"))*(1+Calc_ROM_2[Jemena]))*(1+GST))/DiPY,8),0,1))</f>
        <v>0</v>
      </c>
      <c r="J301" s="81" cm="1">
        <f t="array" ref="J301">IF(J295=0,"-",
IF(ROUND(J300,8)=ROUND((((
SUMIFS(Calc_NetworkF_2[Powercor],Calc_NetworkF_2[[Cost item]:[Cost item]],$C294,Calc_NetworkF_2[[Customer type]:[Customer type]],$F295)+
SUMIFS(Calc_Fixed_2[Powercor],Calc_Fixed_2[[Customer type]:[Customer type]],Calc_Rates!$F300)+
SUMIFS(Calc_Fixed_2[Powercor],Calc_Fixed_2[[Customer type]:[Customer type]],"All"))*(1+Calc_ROM_2[Powercor]))*(1+GST))/DiPY,8),0,1))</f>
        <v>0</v>
      </c>
      <c r="K301" s="81" cm="1">
        <f t="array" ref="K301">IF(K295=0,"-",
IF(ROUND(K300,8)=ROUND((((
SUMIFS(Calc_NetworkF_2[United Energy],Calc_NetworkF_2[[Cost item]:[Cost item]],$C294,Calc_NetworkF_2[[Customer type]:[Customer type]],$F295)+
SUMIFS(Calc_Fixed_2[United Energy],Calc_Fixed_2[[Customer type]:[Customer type]],Calc_Rates!$F300)+
SUMIFS(Calc_Fixed_2[United Energy],Calc_Fixed_2[[Customer type]:[Customer type]],"All"))*(1+Calc_ROM_2[United Energy]))*(1+GST))/DiPY,8),0,1))</f>
        <v>0</v>
      </c>
    </row>
    <row r="302" spans="2:11" ht="15.75" hidden="1" outlineLevel="1" x14ac:dyDescent="0.25">
      <c r="B302"/>
      <c r="C302" s="59" t="s">
        <v>72</v>
      </c>
    </row>
    <row r="303" spans="2:11" hidden="1" outlineLevel="1" x14ac:dyDescent="0.25">
      <c r="B303"/>
      <c r="C303" s="18" t="s">
        <v>359</v>
      </c>
      <c r="D303" s="18" t="s">
        <v>58</v>
      </c>
      <c r="E303" s="18" t="s">
        <v>65</v>
      </c>
      <c r="F303" s="18" t="s">
        <v>67</v>
      </c>
      <c r="G303" s="44">
        <f>SUMIFS(Calc_NetworkF_2[Ausnet],Calc_NetworkF_2[[Cost item]:[Cost item]],$C302,Calc_NetworkF_2[[Customer type]:[Customer type]],$F303)</f>
        <v>132.87190000000001</v>
      </c>
      <c r="H303" s="44">
        <f>SUMIFS(Calc_NetworkF_2[Citipower],Calc_NetworkF_2[[Cost item]:[Cost item]],$C302,Calc_NetworkF_2[[Customer type]:[Customer type]],$F303)</f>
        <v>150.42600000000002</v>
      </c>
      <c r="I303" s="44">
        <f>SUMIFS(Calc_NetworkF_2[Jemena],Calc_NetworkF_2[[Cost item]:[Cost item]],$C302,Calc_NetworkF_2[[Customer type]:[Customer type]],$F303)</f>
        <v>265.79300000000001</v>
      </c>
      <c r="J303" s="44">
        <f>SUMIFS(Calc_NetworkF_2[Powercor],Calc_NetworkF_2[[Cost item]:[Cost item]],$C302,Calc_NetworkF_2[[Customer type]:[Customer type]],$F303)</f>
        <v>180.47460000000001</v>
      </c>
      <c r="K303" s="44">
        <f>SUMIFS(Calc_NetworkF_2[United Energy],Calc_NetworkF_2[[Cost item]:[Cost item]],$C302,Calc_NetworkF_2[[Customer type]:[Customer type]],$F303)</f>
        <v>140.36100000000002</v>
      </c>
    </row>
    <row r="304" spans="2:11" hidden="1" outlineLevel="1" x14ac:dyDescent="0.25">
      <c r="B304"/>
      <c r="C304" s="18" t="s">
        <v>355</v>
      </c>
      <c r="D304" s="18" t="s">
        <v>58</v>
      </c>
      <c r="E304" s="18" t="s">
        <v>65</v>
      </c>
      <c r="F304" s="18" t="s">
        <v>67</v>
      </c>
      <c r="G304" s="52">
        <f>IF(G303=0,"-",SUMIFS(Calc_Fixed_2[Ausnet],Calc_Fixed_2[[Customer type]:[Customer type]],"All")+SUMIFS(Calc_Fixed_2[Ausnet],Calc_Fixed_2[[Customer type]:[Customer type]],$F304))</f>
        <v>284.63229069310796</v>
      </c>
      <c r="H304" s="52">
        <f>IF(H303=0,"-",SUMIFS(Calc_Fixed_2[Citipower],Calc_Fixed_2[[Customer type]:[Customer type]],"All")+SUMIFS(Calc_Fixed_2[Citipower],Calc_Fixed_2[[Customer type]:[Customer type]],$F305))</f>
        <v>272.86754410587389</v>
      </c>
      <c r="I304" s="52">
        <f>IF(I303=0,"-",SUMIFS(Calc_Fixed_2[Jemena],Calc_Fixed_2[[Customer type]:[Customer type]],"All")+SUMIFS(Calc_Fixed_2[Jemena],Calc_Fixed_2[[Customer type]:[Customer type]],$F305))</f>
        <v>263.54599117396162</v>
      </c>
      <c r="J304" s="52">
        <f>IF(J303=0,"-",SUMIFS(Calc_Fixed_2[Powercor],Calc_Fixed_2[[Customer type]:[Customer type]],"All")+SUMIFS(Calc_Fixed_2[Powercor],Calc_Fixed_2[[Customer type]:[Customer type]],$F305))</f>
        <v>269.29620352443811</v>
      </c>
      <c r="K304" s="52">
        <f>IF(K303=0,"-",SUMIFS(Calc_Fixed_2[United Energy],Calc_Fixed_2[[Customer type]:[Customer type]],"All")+SUMIFS(Calc_Fixed_2[United Energy],Calc_Fixed_2[[Customer type]:[Customer type]],$F305))</f>
        <v>250.49593605086542</v>
      </c>
    </row>
    <row r="305" spans="2:14" hidden="1" outlineLevel="1" x14ac:dyDescent="0.25">
      <c r="B305"/>
      <c r="C305" s="18" t="s">
        <v>258</v>
      </c>
      <c r="D305" s="18" t="s">
        <v>58</v>
      </c>
      <c r="E305" s="18" t="s">
        <v>65</v>
      </c>
      <c r="F305" s="18" t="s">
        <v>67</v>
      </c>
      <c r="G305" s="52" cm="1">
        <f t="array" ref="G305">IF(G303=0,"-",(G303+G304)*Calc_ROM_2[Ausnet])</f>
        <v>23.380234678814045</v>
      </c>
      <c r="H305" s="52" cm="1">
        <f t="array" ref="H305">IF(H303=0,"-",(H303+H304)*Calc_ROM_2[Citipower])</f>
        <v>23.704438469928942</v>
      </c>
      <c r="I305" s="52" cm="1">
        <f t="array" ref="I305">IF(I303=0,"-",(I303+I304)*Calc_ROM_2[Jemena])</f>
        <v>29.642983505741853</v>
      </c>
      <c r="J305" s="52" cm="1">
        <f t="array" ref="J305">IF(J303=0,"-",(J303+J304)*Calc_ROM_2[Powercor])</f>
        <v>25.187164997368534</v>
      </c>
      <c r="K305" s="52" cm="1">
        <f t="array" ref="K305">IF(K303=0,"-",(K303+K304)*Calc_ROM_2[United Energy])</f>
        <v>21.887988418848465</v>
      </c>
    </row>
    <row r="306" spans="2:14" hidden="1" outlineLevel="1" x14ac:dyDescent="0.25">
      <c r="B306"/>
      <c r="C306" s="18" t="s">
        <v>360</v>
      </c>
      <c r="D306" s="18" t="s">
        <v>58</v>
      </c>
      <c r="E306" s="18" t="s">
        <v>65</v>
      </c>
      <c r="F306" s="18" t="s">
        <v>67</v>
      </c>
      <c r="G306" s="52">
        <f>IF(G303=0,"-",(G303+G304+G305)*GST)</f>
        <v>44.088442537192201</v>
      </c>
      <c r="H306" s="52">
        <f>IF(H303=0,"-",(H303+H304+H305)*GST)</f>
        <v>44.699798257580291</v>
      </c>
      <c r="I306" s="52">
        <f>IF(I303=0,"-",(I303+I304+I305)*GST)</f>
        <v>55.898197467970355</v>
      </c>
      <c r="J306" s="52">
        <f>IF(J303=0,"-",(J303+J304+J305)*GST)</f>
        <v>47.495796852180668</v>
      </c>
      <c r="K306" s="52">
        <f>IF(K303=0,"-",(K303+K304+K305)*GST)</f>
        <v>41.274492446971394</v>
      </c>
    </row>
    <row r="307" spans="2:14" hidden="1" outlineLevel="1" x14ac:dyDescent="0.25">
      <c r="B307"/>
      <c r="C307" s="18" t="s">
        <v>361</v>
      </c>
      <c r="D307" s="18" t="s">
        <v>58</v>
      </c>
      <c r="E307" s="18" t="s">
        <v>65</v>
      </c>
      <c r="F307" s="18" t="s">
        <v>67</v>
      </c>
      <c r="G307" s="52">
        <f>IF(G303=0,"-",G303+G304+G305+G306)</f>
        <v>484.97286790911414</v>
      </c>
      <c r="H307" s="52">
        <f>IF(H303=0,"-",H303+H304+H305+H306)</f>
        <v>491.69778083338321</v>
      </c>
      <c r="I307" s="52">
        <f>IF(I303=0,"-",I303+I304+I305+I306)</f>
        <v>614.88017214767387</v>
      </c>
      <c r="J307" s="52">
        <f>IF(J303=0,"-",J303+J304+J305+J306)</f>
        <v>522.45376537398738</v>
      </c>
      <c r="K307" s="52">
        <f>IF(K303=0,"-",K303+K304+K305+K306)</f>
        <v>454.01941691668532</v>
      </c>
    </row>
    <row r="308" spans="2:14" hidden="1" outlineLevel="1" x14ac:dyDescent="0.25">
      <c r="B308"/>
      <c r="C308" s="18" t="str">
        <f>C302</f>
        <v>TOU - supply</v>
      </c>
      <c r="D308" s="18" t="s">
        <v>58</v>
      </c>
      <c r="E308" s="18" t="s">
        <v>65</v>
      </c>
      <c r="F308" s="18" t="s">
        <v>67</v>
      </c>
      <c r="G308" s="53">
        <f>IF(G303=0,"-",G307/DiPY)</f>
        <v>1.325062480625995</v>
      </c>
      <c r="H308" s="53">
        <f>IF(H303=0,"-",H307/DiPY)</f>
        <v>1.3434365596540525</v>
      </c>
      <c r="I308" s="53">
        <f>IF(I303=0,"-",I307/DiPY)</f>
        <v>1.6800004703488358</v>
      </c>
      <c r="J308" s="53">
        <f>IF(J303=0,"-",J307/DiPY)</f>
        <v>1.427469304300512</v>
      </c>
      <c r="K308" s="53">
        <f>IF(K303=0,"-",K307/DiPY)</f>
        <v>1.2404902101548778</v>
      </c>
    </row>
    <row r="309" spans="2:14" hidden="1" outlineLevel="1" x14ac:dyDescent="0.25">
      <c r="B309"/>
      <c r="G309" s="81" cm="1">
        <f t="array" ref="G309">IF(G303=0,"-",
IF(ROUND(G308,8)=ROUND((((
SUMIFS(Calc_NetworkF_2[Ausnet],Calc_NetworkF_2[[Cost item]:[Cost item]],$C302,Calc_NetworkF_2[[Customer type]:[Customer type]],$F303)+
SUMIFS(Calc_Fixed_2[Ausnet],Calc_Fixed_2[[Customer type]:[Customer type]],Calc_Rates!$F308)+
SUMIFS(Calc_Fixed_2[Ausnet],Calc_Fixed_2[[Customer type]:[Customer type]],"All"))*(1+Calc_ROM_2[Ausnet]))*(1+GST))/DiPY,8),0,1))</f>
        <v>0</v>
      </c>
      <c r="H309" s="81" cm="1">
        <f t="array" ref="H309">IF(H303=0,"-",
IF(ROUND(H308,8)=ROUND((((
SUMIFS(Calc_NetworkF_2[Citipower],Calc_NetworkF_2[[Cost item]:[Cost item]],$C302,Calc_NetworkF_2[[Customer type]:[Customer type]],$F303)+
SUMIFS(Calc_Fixed_2[Citipower],Calc_Fixed_2[[Customer type]:[Customer type]],Calc_Rates!$F308)+
SUMIFS(Calc_Fixed_2[Citipower],Calc_Fixed_2[[Customer type]:[Customer type]],"All"))*(1+Calc_ROM_2[Citipower]))*(1+GST))/DiPY,8),0,1))</f>
        <v>0</v>
      </c>
      <c r="I309" s="81" cm="1">
        <f t="array" ref="I309">IF(I303=0,"-",
IF(ROUND(I308,8)=ROUND((((
SUMIFS(Calc_NetworkF_2[Jemena],Calc_NetworkF_2[[Cost item]:[Cost item]],$C302,Calc_NetworkF_2[[Customer type]:[Customer type]],$F303)+
SUMIFS(Calc_Fixed_2[Jemena],Calc_Fixed_2[[Customer type]:[Customer type]],Calc_Rates!$F308)+
SUMIFS(Calc_Fixed_2[Jemena],Calc_Fixed_2[[Customer type]:[Customer type]],"All"))*(1+Calc_ROM_2[Jemena]))*(1+GST))/DiPY,8),0,1))</f>
        <v>0</v>
      </c>
      <c r="J309" s="81" cm="1">
        <f t="array" ref="J309">IF(J303=0,"-",
IF(ROUND(J308,8)=ROUND((((
SUMIFS(Calc_NetworkF_2[Powercor],Calc_NetworkF_2[[Cost item]:[Cost item]],$C302,Calc_NetworkF_2[[Customer type]:[Customer type]],$F303)+
SUMIFS(Calc_Fixed_2[Powercor],Calc_Fixed_2[[Customer type]:[Customer type]],Calc_Rates!$F308)+
SUMIFS(Calc_Fixed_2[Powercor],Calc_Fixed_2[[Customer type]:[Customer type]],"All"))*(1+Calc_ROM_2[Powercor]))*(1+GST))/DiPY,8),0,1))</f>
        <v>0</v>
      </c>
      <c r="K309" s="81" cm="1">
        <f t="array" ref="K309">IF(K303=0,"-",
IF(ROUND(K308,8)=ROUND((((
SUMIFS(Calc_NetworkF_2[United Energy],Calc_NetworkF_2[[Cost item]:[Cost item]],$C302,Calc_NetworkF_2[[Customer type]:[Customer type]],$F303)+
SUMIFS(Calc_Fixed_2[United Energy],Calc_Fixed_2[[Customer type]:[Customer type]],Calc_Rates!$F308)+
SUMIFS(Calc_Fixed_2[United Energy],Calc_Fixed_2[[Customer type]:[Customer type]],"All"))*(1+Calc_ROM_2[United Energy]))*(1+GST))/DiPY,8),0,1))</f>
        <v>0</v>
      </c>
    </row>
    <row r="310" spans="2:14" hidden="1" x14ac:dyDescent="0.25">
      <c r="B310"/>
    </row>
    <row r="311" spans="2:14" ht="15.75" hidden="1" x14ac:dyDescent="0.25">
      <c r="B311"/>
      <c r="C311" s="32" t="s">
        <v>363</v>
      </c>
      <c r="D311" s="32" t="s">
        <v>108</v>
      </c>
      <c r="E311" s="32" t="s">
        <v>56</v>
      </c>
      <c r="F311" s="32" t="s">
        <v>57</v>
      </c>
      <c r="G311" s="43" t="s">
        <v>59</v>
      </c>
      <c r="H311" s="43" t="s">
        <v>60</v>
      </c>
      <c r="I311" s="43" t="s">
        <v>61</v>
      </c>
      <c r="J311" s="43" t="s">
        <v>62</v>
      </c>
      <c r="K311" s="43" t="s">
        <v>63</v>
      </c>
      <c r="N311" s="57"/>
    </row>
    <row r="312" spans="2:14" hidden="1" x14ac:dyDescent="0.25">
      <c r="B312"/>
      <c r="C312" s="18" t="s">
        <v>364</v>
      </c>
      <c r="D312" s="18" t="s">
        <v>178</v>
      </c>
      <c r="E312" s="18" t="s">
        <v>69</v>
      </c>
      <c r="F312" s="18" t="s">
        <v>133</v>
      </c>
      <c r="G312" s="58">
        <f>SUMIFS(Calc_EnviroVEU_2[Ausnet],Calc_EnviroVEU_2[[Fixed/Variable]:[Fixed/Variable]],$D312,Calc_EnviroVEU_2[[Customer type]:[Customer type]],$F312,Calc_EnviroVEU_2[[Cost item]:[Cost item]],"VEU cost")+
SUMIFS(Calc_EnviroLRET_2[Ausnet],Calc_EnviroLRET_2[[Fixed/Variable]:[Fixed/Variable]],$D312,Calc_EnviroLRET_2[[Customer type]:[Customer type]],$F312,Calc_EnviroLRET_2[[Cost item]:[Cost item]],"LRET cost")+
SUMIFS(Calc_EnviroSRES_2[Ausnet],Calc_EnviroSRES_2[[Fixed/Variable]:[Fixed/Variable]],$D312,Calc_EnviroSRES_2[[Customer type]:[Customer type]],$F312,Calc_EnviroSRES_2[[Cost item]:[Cost item]],"SRES cost")</f>
        <v>2.843221042152444E-2</v>
      </c>
      <c r="H312" s="58">
        <f>SUMIFS(Calc_EnviroVEU_2[Citipower],Calc_EnviroVEU_2[[Fixed/Variable]:[Fixed/Variable]],$D312,Calc_EnviroVEU_2[[Customer type]:[Customer type]],$F312,Calc_EnviroVEU_2[[Cost item]:[Cost item]],"VEU cost")+
SUMIFS(Calc_EnviroLRET_2[Citipower],Calc_EnviroLRET_2[[Fixed/Variable]:[Fixed/Variable]],$D312,Calc_EnviroLRET_2[[Customer type]:[Customer type]],$F312,Calc_EnviroLRET_2[[Cost item]:[Cost item]],"LRET cost")+
SUMIFS(Calc_EnviroSRES_2[Citipower],Calc_EnviroSRES_2[[Fixed/Variable]:[Fixed/Variable]],$D312,Calc_EnviroSRES_2[[Customer type]:[Customer type]],$F312,Calc_EnviroSRES_2[[Cost item]:[Cost item]],"SRES cost")</f>
        <v>2.843221042152444E-2</v>
      </c>
      <c r="I312" s="58">
        <f>SUMIFS(Calc_EnviroVEU_2[Jemena],Calc_EnviroVEU_2[[Fixed/Variable]:[Fixed/Variable]],$D312,Calc_EnviroVEU_2[[Customer type]:[Customer type]],$F312,Calc_EnviroVEU_2[[Cost item]:[Cost item]],"VEU cost")+
SUMIFS(Calc_EnviroLRET_2[Jemena],Calc_EnviroLRET_2[[Fixed/Variable]:[Fixed/Variable]],$D312,Calc_EnviroLRET_2[[Customer type]:[Customer type]],$F312,Calc_EnviroLRET_2[[Cost item]:[Cost item]],"LRET cost")+
SUMIFS(Calc_EnviroSRES_2[Jemena],Calc_EnviroSRES_2[[Fixed/Variable]:[Fixed/Variable]],$D312,Calc_EnviroSRES_2[[Customer type]:[Customer type]],$F312,Calc_EnviroSRES_2[[Cost item]:[Cost item]],"SRES cost")</f>
        <v>2.843221042152444E-2</v>
      </c>
      <c r="J312" s="58">
        <f>SUMIFS(Calc_EnviroVEU_2[Powercor],Calc_EnviroVEU_2[[Fixed/Variable]:[Fixed/Variable]],$D312,Calc_EnviroVEU_2[[Customer type]:[Customer type]],$F312,Calc_EnviroVEU_2[[Cost item]:[Cost item]],"VEU cost")+
SUMIFS(Calc_EnviroLRET_2[Powercor],Calc_EnviroLRET_2[[Fixed/Variable]:[Fixed/Variable]],$D312,Calc_EnviroLRET_2[[Customer type]:[Customer type]],$F312,Calc_EnviroLRET_2[[Cost item]:[Cost item]],"LRET cost")+
SUMIFS(Calc_EnviroSRES_2[Powercor],Calc_EnviroSRES_2[[Fixed/Variable]:[Fixed/Variable]],$D312,Calc_EnviroSRES_2[[Customer type]:[Customer type]],$F312,Calc_EnviroSRES_2[[Cost item]:[Cost item]],"SRES cost")</f>
        <v>2.843221042152444E-2</v>
      </c>
      <c r="K312" s="58">
        <f>SUMIFS(Calc_EnviroVEU_2[United Energy],Calc_EnviroVEU_2[[Fixed/Variable]:[Fixed/Variable]],$D312,Calc_EnviroVEU_2[[Customer type]:[Customer type]],$F312,Calc_EnviroVEU_2[[Cost item]:[Cost item]],"VEU cost")+
SUMIFS(Calc_EnviroLRET_2[United Energy],Calc_EnviroLRET_2[[Fixed/Variable]:[Fixed/Variable]],$D312,Calc_EnviroLRET_2[[Customer type]:[Customer type]],$F312,Calc_EnviroLRET_2[[Cost item]:[Cost item]],"LRET cost")+
SUMIFS(Calc_EnviroSRES_2[United Energy],Calc_EnviroSRES_2[[Fixed/Variable]:[Fixed/Variable]],$D312,Calc_EnviroSRES_2[[Customer type]:[Customer type]],$F312,Calc_EnviroSRES_2[[Cost item]:[Cost item]],"SRES cost")</f>
        <v>2.843221042152444E-2</v>
      </c>
    </row>
    <row r="313" spans="2:14" hidden="1" x14ac:dyDescent="0.25">
      <c r="B313"/>
      <c r="C313" s="18" t="s">
        <v>141</v>
      </c>
      <c r="D313" s="18" t="s">
        <v>178</v>
      </c>
      <c r="E313" s="18" t="s">
        <v>69</v>
      </c>
      <c r="F313" s="18" t="s">
        <v>133</v>
      </c>
      <c r="G313" s="58">
        <f>SUMIFS(Calc_OtherCosts_2[Ausnet],Calc_OtherCosts_2[[Fixed/Variable]:[Fixed/Variable]],$D313,Calc_OtherCosts_2[[Customer type]:[Customer type]],$F313)</f>
        <v>1.6791732404258365E-3</v>
      </c>
      <c r="H313" s="58">
        <f>SUMIFS(Calc_OtherCosts_2[Citipower],Calc_OtherCosts_2[[Fixed/Variable]:[Fixed/Variable]],$D313,Calc_OtherCosts_2[[Customer type]:[Customer type]],$F313)</f>
        <v>1.6791732404258365E-3</v>
      </c>
      <c r="I313" s="58">
        <f>SUMIFS(Calc_OtherCosts_2[Jemena],Calc_OtherCosts_2[[Fixed/Variable]:[Fixed/Variable]],$D313,Calc_OtherCosts_2[[Customer type]:[Customer type]],$F313)</f>
        <v>1.6791732404258365E-3</v>
      </c>
      <c r="J313" s="58">
        <f>SUMIFS(Calc_OtherCosts_2[Powercor],Calc_OtherCosts_2[[Fixed/Variable]:[Fixed/Variable]],$D313,Calc_OtherCosts_2[[Customer type]:[Customer type]],$F313)</f>
        <v>1.6791732404258365E-3</v>
      </c>
      <c r="K313" s="58">
        <f>SUMIFS(Calc_OtherCosts_2[United Energy],Calc_OtherCosts_2[[Fixed/Variable]:[Fixed/Variable]],$D313,Calc_OtherCosts_2[[Customer type]:[Customer type]],$F313)</f>
        <v>1.6791732404258365E-3</v>
      </c>
    </row>
    <row r="314" spans="2:14" hidden="1" x14ac:dyDescent="0.25">
      <c r="B314"/>
      <c r="C314" s="18" t="s">
        <v>365</v>
      </c>
      <c r="D314" s="18" t="s">
        <v>178</v>
      </c>
      <c r="E314" s="18" t="s">
        <v>69</v>
      </c>
      <c r="F314" s="18" t="s">
        <v>66</v>
      </c>
      <c r="G314" s="55">
        <f>SUMIFS(Calc_WholesaleRES_2[Ausnet],Calc_WholesaleRES_2[[Fixed/Variable]:[Fixed/Variable]],$D314,Calc_WholesaleRES_2[[Customer type]:[Customer type]],$F314,Calc_WholesaleRES_2[[Cost item]:[Cost item]],$C314)</f>
        <v>0.15582341721574622</v>
      </c>
      <c r="H314" s="55">
        <f>SUMIFS(Calc_WholesaleRES_2[Citipower],Calc_WholesaleRES_2[[Fixed/Variable]:[Fixed/Variable]],$D314,Calc_WholesaleRES_2[[Customer type]:[Customer type]],$F314,Calc_WholesaleRES_2[[Cost item]:[Cost item]],$C314)</f>
        <v>0.13699867658724985</v>
      </c>
      <c r="I314" s="55">
        <f>SUMIFS(Calc_WholesaleRES_2[Jemena],Calc_WholesaleRES_2[[Fixed/Variable]:[Fixed/Variable]],$D314,Calc_WholesaleRES_2[[Customer type]:[Customer type]],$F314,Calc_WholesaleRES_2[[Cost item]:[Cost item]],$C314)</f>
        <v>0.15299408314912863</v>
      </c>
      <c r="J314" s="55">
        <f>SUMIFS(Calc_WholesaleRES_2[Powercor],Calc_WholesaleRES_2[[Fixed/Variable]:[Fixed/Variable]],$D314,Calc_WholesaleRES_2[[Customer type]:[Customer type]],$F314,Calc_WholesaleRES_2[[Cost item]:[Cost item]],$C314)</f>
        <v>0.15371489848306913</v>
      </c>
      <c r="K314" s="55">
        <f>SUMIFS(Calc_WholesaleRES_2[United Energy],Calc_WholesaleRES_2[[Fixed/Variable]:[Fixed/Variable]],$D314,Calc_WholesaleRES_2[[Customer type]:[Customer type]],$F314,Calc_WholesaleRES_2[[Cost item]:[Cost item]],$C314)</f>
        <v>0.15046968338948136</v>
      </c>
    </row>
    <row r="315" spans="2:14" hidden="1" x14ac:dyDescent="0.25">
      <c r="B315"/>
      <c r="C315" s="18" t="s">
        <v>365</v>
      </c>
      <c r="D315" s="18" t="s">
        <v>178</v>
      </c>
      <c r="E315" s="18" t="s">
        <v>69</v>
      </c>
      <c r="F315" s="18" t="s">
        <v>67</v>
      </c>
      <c r="G315" s="55">
        <f>SUMIFS(Calc_WholesaleSME_2[Ausnet],Calc_WholesaleSME_2[[Fixed/Variable]:[Fixed/Variable]],$D315,Calc_WholesaleSME_2[[Customer type]:[Customer type]],$F315,Calc_WholesaleSME_2[[Cost item]:[Cost item]],$C315)</f>
        <v>0.12856302089613503</v>
      </c>
      <c r="H315" s="55">
        <f>SUMIFS(Calc_WholesaleSME_2[Citipower],Calc_WholesaleSME_2[[Fixed/Variable]:[Fixed/Variable]],$D315,Calc_WholesaleSME_2[[Customer type]:[Customer type]],$F315,Calc_WholesaleSME_2[[Cost item]:[Cost item]],$C315)</f>
        <v>0.12648439961732669</v>
      </c>
      <c r="I315" s="55">
        <f>SUMIFS(Calc_WholesaleSME_2[Jemena],Calc_WholesaleSME_2[[Fixed/Variable]:[Fixed/Variable]],$D315,Calc_WholesaleSME_2[[Customer type]:[Customer type]],$F315,Calc_WholesaleSME_2[[Cost item]:[Cost item]],$C315)</f>
        <v>0.13021020918052265</v>
      </c>
      <c r="J315" s="55">
        <f>SUMIFS(Calc_WholesaleSME_2[Powercor],Calc_WholesaleSME_2[[Fixed/Variable]:[Fixed/Variable]],$D315,Calc_WholesaleSME_2[[Customer type]:[Customer type]],$F315,Calc_WholesaleSME_2[[Cost item]:[Cost item]],$C315)</f>
        <v>0.12548093617538489</v>
      </c>
      <c r="K315" s="55">
        <f>SUMIFS(Calc_WholesaleSME_2[United Energy],Calc_WholesaleSME_2[[Fixed/Variable]:[Fixed/Variable]],$D315,Calc_WholesaleSME_2[[Customer type]:[Customer type]],$F315,Calc_WholesaleSME_2[[Cost item]:[Cost item]],$C315)</f>
        <v>0.13037554287242703</v>
      </c>
    </row>
    <row r="316" spans="2:14" hidden="1" x14ac:dyDescent="0.25">
      <c r="B316"/>
      <c r="C316" s="18" t="s">
        <v>366</v>
      </c>
      <c r="D316" s="18" t="s">
        <v>178</v>
      </c>
      <c r="E316" s="18" t="s">
        <v>69</v>
      </c>
      <c r="F316" s="18" t="s">
        <v>66</v>
      </c>
      <c r="G316" s="58">
        <f>(SUMIFS(G$312:G$315,$F$312:$F$315,"All")+SUMIFS(G$312:G$315,$F$312:$F$315,$F316))*INDEX(Calc_Losses_2[[Ausnet]:[United Energy]],MATCH("Total loss factor",Calc_Losses_2[Cost item],0),MATCH(G$311,Calc_Losses_2[[#Headers],[Ausnet]:[United Energy]],0))</f>
        <v>1.5882492743459209E-2</v>
      </c>
      <c r="H316" s="58">
        <f>(SUMIFS(H$312:H$315,$F$312:$F$315,"All")+SUMIFS(H$312:H$315,$F$312:$F$315,$F316))*INDEX(Calc_Losses_2[[Ausnet]:[United Energy]],MATCH("Total loss factor",Calc_Losses_2[[Cost item]:[Cost item]],0),MATCH(H$311,Calc_Losses_2[[#Headers],[Ausnet]:[United Energy]],0))</f>
        <v>7.51820641108439E-3</v>
      </c>
      <c r="I316" s="58">
        <f>(SUMIFS(I$312:I$315,$F$312:$F$315,"All")+SUMIFS(I$312:I$315,$F$312:$F$315,$F316))*INDEX(Calc_Losses_2[[Ausnet]:[United Energy]],MATCH("Total loss factor",Calc_Losses_2[[Cost item]:[Cost item]],0),MATCH(I$311,Calc_Losses_2[[#Headers],[Ausnet]:[United Energy]],0))</f>
        <v>8.3043707921911705E-3</v>
      </c>
      <c r="J316" s="58">
        <f>(SUMIFS(J$312:J$315,$F$312:$F$315,"All")+SUMIFS(J$312:J$315,$F$312:$F$315,$F316))*INDEX(Calc_Losses_2[[Ausnet]:[United Energy]],MATCH("Total loss factor",Calc_Losses_2[[Cost item]:[Cost item]],0),MATCH(J$311,Calc_Losses_2[[#Headers],[Ausnet]:[United Energy]],0))</f>
        <v>1.3130921863594791E-2</v>
      </c>
      <c r="K316" s="58">
        <f>(SUMIFS(K$312:K$315,$F$312:$F$315,"All")+SUMIFS(K$312:K$315,$F$312:$F$315,$F316))*INDEX(Calc_Losses_2[[Ausnet]:[United Energy]],MATCH("Total loss factor",Calc_Losses_2[[Cost item]:[Cost item]],0),MATCH(K$311,Calc_Losses_2[[#Headers],[Ausnet]:[United Energy]],0))</f>
        <v>8.4776924037861454E-3</v>
      </c>
    </row>
    <row r="317" spans="2:14" hidden="1" x14ac:dyDescent="0.25">
      <c r="B317"/>
      <c r="C317" s="18" t="s">
        <v>366</v>
      </c>
      <c r="D317" s="18" t="s">
        <v>178</v>
      </c>
      <c r="E317" s="18" t="s">
        <v>69</v>
      </c>
      <c r="F317" s="18" t="s">
        <v>67</v>
      </c>
      <c r="G317" s="58">
        <f>(SUMIFS(G$312:G$315,$F$312:$F$315,"All")+SUMIFS(G$312:G$315,$F$312:$F$315,$F317))*INDEX(Calc_Losses_2[[Ausnet]:[United Energy]],MATCH("Total loss factor",Calc_Losses_2[[Cost item]:[Cost item]],0),MATCH(G$311,Calc_Losses_2[[#Headers],[Ausnet]:[United Energy]],0))</f>
        <v>1.3553918185677314E-2</v>
      </c>
      <c r="H317" s="58">
        <f>(SUMIFS(H$312:H$315,$F$312:$F$315,"All")+SUMIFS(H$312:H$315,$F$312:$F$315,$F317))*INDEX(Calc_Losses_2[[Ausnet]:[United Energy]],MATCH("Total loss factor",Calc_Losses_2[[Cost item]:[Cost item]],0),MATCH(H$311,Calc_Losses_2[[#Headers],[Ausnet]:[United Energy]],0))</f>
        <v>7.0451738216321851E-3</v>
      </c>
      <c r="I317" s="58">
        <f>(SUMIFS(I$312:I$315,$F$312:$F$315,"All")+SUMIFS(I$312:I$315,$F$312:$F$315,$F317))*INDEX(Calc_Losses_2[[Ausnet]:[United Energy]],MATCH("Total loss factor",Calc_Losses_2[[Cost item]:[Cost item]],0),MATCH(I$311,Calc_Losses_2[[#Headers],[Ausnet]:[United Energy]],0))</f>
        <v>7.2710551800851085E-3</v>
      </c>
      <c r="J317" s="58">
        <f>(SUMIFS(J$312:J$315,$F$312:$F$315,"All")+SUMIFS(J$312:J$315,$F$312:$F$315,$F317))*INDEX(Calc_Losses_2[[Ausnet]:[United Energy]],MATCH("Total loss factor",Calc_Losses_2[[Cost item]:[Cost item]],0),MATCH(J$311,Calc_Losses_2[[#Headers],[Ausnet]:[United Energy]],0))</f>
        <v>1.1114137600562103E-2</v>
      </c>
      <c r="K317" s="58">
        <f>(SUMIFS(K$312:K$315,$F$312:$F$315,"All")+SUMIFS(K$312:K$315,$F$312:$F$315,$F317))*INDEX(Calc_Losses_2[[Ausnet]:[United Energy]],MATCH("Total loss factor",Calc_Losses_2[[Cost item]:[Cost item]],0),MATCH(K$311,Calc_Losses_2[[#Headers],[Ausnet]:[United Energy]],0))</f>
        <v>7.5343380134085276E-3</v>
      </c>
    </row>
    <row r="318" spans="2:14" hidden="1" x14ac:dyDescent="0.25">
      <c r="B318"/>
    </row>
    <row r="319" spans="2:14" ht="15.75" hidden="1" collapsed="1" x14ac:dyDescent="0.25">
      <c r="B319"/>
      <c r="C319" s="24" t="s">
        <v>367</v>
      </c>
    </row>
    <row r="320" spans="2:14" ht="15.75" hidden="1" outlineLevel="1" x14ac:dyDescent="0.25">
      <c r="B320"/>
      <c r="C320" s="1" t="s">
        <v>368</v>
      </c>
    </row>
    <row r="321" spans="2:11" ht="15.75" hidden="1" outlineLevel="1" x14ac:dyDescent="0.25">
      <c r="B321"/>
      <c r="C321" s="59" t="s">
        <v>68</v>
      </c>
    </row>
    <row r="322" spans="2:11" hidden="1" outlineLevel="1" x14ac:dyDescent="0.25">
      <c r="B322"/>
      <c r="C322" s="18" t="s">
        <v>359</v>
      </c>
      <c r="D322" s="18" t="s">
        <v>58</v>
      </c>
      <c r="E322" s="18" t="s">
        <v>69</v>
      </c>
      <c r="F322" s="18" t="s">
        <v>66</v>
      </c>
      <c r="G322" s="44">
        <f>SUMIFS(Calc_NetworkV_2[Ausnet],Calc_NetworkV_2[[Cost item]:[Cost item]],$C321,Calc_NetworkV_2[[Customer type]:[Customer type]],$F322)</f>
        <v>0.1309807741874299</v>
      </c>
      <c r="H322" s="44">
        <f>SUMIFS(Calc_NetworkV_2[Citipower],Calc_NetworkV_2[[Cost item]:[Cost item]],$C321,Calc_NetworkV_2[[Customer type]:[Customer type]],$F322)</f>
        <v>0</v>
      </c>
      <c r="I322" s="44">
        <f>SUMIFS(Calc_NetworkV_2[Jemena],Calc_NetworkV_2[[Cost item]:[Cost item]],$C321,Calc_NetworkV_2[[Customer type]:[Customer type]],$F322)</f>
        <v>0</v>
      </c>
      <c r="J322" s="44">
        <f>SUMIFS(Calc_NetworkV_2[Powercor],Calc_NetworkV_2[[Cost item]:[Cost item]],$C321,Calc_NetworkV_2[[Customer type]:[Customer type]],$F322)</f>
        <v>0</v>
      </c>
      <c r="K322" s="44">
        <f>SUMIFS(Calc_NetworkV_2[United Energy],Calc_NetworkV_2[[Cost item]:[Cost item]],$C321,Calc_NetworkV_2[[Customer type]:[Customer type]],$F322)</f>
        <v>0</v>
      </c>
    </row>
    <row r="323" spans="2:11" hidden="1" outlineLevel="1" x14ac:dyDescent="0.25">
      <c r="B323"/>
      <c r="C323" s="18" t="s">
        <v>363</v>
      </c>
      <c r="D323" s="18" t="s">
        <v>58</v>
      </c>
      <c r="E323" s="18" t="s">
        <v>69</v>
      </c>
      <c r="F323" s="18" t="s">
        <v>66</v>
      </c>
      <c r="G323" s="44">
        <f>SUMIFS(Calc_Variable_2[Ausnet],Calc_Variable_2[Customer type],"All")+SUMIFS(Calc_Variable_2[Ausnet],Calc_Variable_2[Customer type],$F323)</f>
        <v>0.20181729362115569</v>
      </c>
      <c r="H323" s="44">
        <f>SUMIFS(Calc_Variable_2[Citipower],Calc_Variable_2[[Customer type]:[Customer type]],"All")+SUMIFS(Calc_Variable_2[Citipower],Calc_Variable_2[[Customer type]:[Customer type]],$F323)</f>
        <v>0.17462826666028453</v>
      </c>
      <c r="I323" s="44">
        <f>SUMIFS(Calc_Variable_2[Jemena],Calc_Variable_2[[Customer type]:[Customer type]],"All")+SUMIFS(Calc_Variable_2[Jemena],Calc_Variable_2[[Customer type]:[Customer type]],$F323)</f>
        <v>0.19140983760327007</v>
      </c>
      <c r="J323" s="44">
        <f>SUMIFS(Calc_Variable_2[Powercor],Calc_Variable_2[[Customer type]:[Customer type]],"All")+SUMIFS(Calc_Variable_2[Powercor],Calc_Variable_2[[Customer type]:[Customer type]],$F323)</f>
        <v>0.19695720400861422</v>
      </c>
      <c r="K323" s="44">
        <f>SUMIFS(Calc_Variable_2[United Energy],Calc_Variable_2[[Customer type]:[Customer type]],"All")+SUMIFS(Calc_Variable_2[United Energy],Calc_Variable_2[[Customer type]:[Customer type]],$F323)</f>
        <v>0.18905875945521777</v>
      </c>
    </row>
    <row r="324" spans="2:11" hidden="1" outlineLevel="1" x14ac:dyDescent="0.25">
      <c r="B324"/>
      <c r="C324" s="18" t="s">
        <v>258</v>
      </c>
      <c r="D324" s="18" t="s">
        <v>58</v>
      </c>
      <c r="E324" s="18" t="s">
        <v>69</v>
      </c>
      <c r="F324" s="18" t="s">
        <v>66</v>
      </c>
      <c r="G324" s="52" cm="1">
        <f t="array" ref="G324">IF(G322=0,"-",
(G322+G323)*Calc_ROM_2[Ausnet])</f>
        <v>1.863669179728079E-2</v>
      </c>
      <c r="H324" s="52" t="str" cm="1">
        <f t="array" ref="H324">IF(H322=0,"-",
(H322+H323)*Calc_ROM_2[Citipower])</f>
        <v>-</v>
      </c>
      <c r="I324" s="52" t="str" cm="1">
        <f t="array" ref="I324">IF(I322=0,"-",
(I322+I323)*Calc_ROM_2[Jemena])</f>
        <v>-</v>
      </c>
      <c r="J324" s="52" t="str" cm="1">
        <f t="array" ref="J324">IF(J322=0,"-",
(J322+J323)*Calc_ROM_2[Powercor])</f>
        <v>-</v>
      </c>
      <c r="K324" s="52" t="str" cm="1">
        <f t="array" ref="K324">IF(K322=0,"-",
(K322+K323)*Calc_ROM_2[United Energy])</f>
        <v>-</v>
      </c>
    </row>
    <row r="325" spans="2:11" hidden="1" outlineLevel="1" x14ac:dyDescent="0.25">
      <c r="B325"/>
      <c r="C325" s="18" t="s">
        <v>360</v>
      </c>
      <c r="D325" s="18" t="s">
        <v>58</v>
      </c>
      <c r="E325" s="18" t="s">
        <v>69</v>
      </c>
      <c r="F325" s="18" t="s">
        <v>66</v>
      </c>
      <c r="G325" s="52">
        <f>IF(G322=0,"-",
(G322+G323+G324)*GST)</f>
        <v>3.5143475960586638E-2</v>
      </c>
      <c r="H325" s="52" t="str">
        <f>IF(H322=0,"-",
(H322+H323+H324)*GST)</f>
        <v>-</v>
      </c>
      <c r="I325" s="52" t="str">
        <f>IF(I322=0,"-",
(I322+I323+I324)*GST)</f>
        <v>-</v>
      </c>
      <c r="J325" s="52" t="str">
        <f>IF(J322=0,"-",
(J322+J323+J324)*GST)</f>
        <v>-</v>
      </c>
      <c r="K325" s="52" t="str">
        <f>IF(K322=0,"-",
(K322+K323+K324)*GST)</f>
        <v>-</v>
      </c>
    </row>
    <row r="326" spans="2:11" hidden="1" outlineLevel="1" x14ac:dyDescent="0.25">
      <c r="B326"/>
      <c r="C326" s="18" t="str">
        <f>C321&amp;" charge"</f>
        <v>Block 1 charge</v>
      </c>
      <c r="D326" s="18" t="s">
        <v>58</v>
      </c>
      <c r="E326" s="18" t="s">
        <v>69</v>
      </c>
      <c r="F326" s="18" t="s">
        <v>66</v>
      </c>
      <c r="G326" s="53">
        <f>IF(G322=0,"-",
G322+G323+G324+G325)</f>
        <v>0.38657823556645299</v>
      </c>
      <c r="H326" s="53" t="str">
        <f>IF(H322=0,"-",
H322+H323+H324+H325)</f>
        <v>-</v>
      </c>
      <c r="I326" s="53" t="str">
        <f>IF(I322=0,"-",
I322+I323+I324+I325)</f>
        <v>-</v>
      </c>
      <c r="J326" s="53" t="str">
        <f>IF(J322=0,"-",
J322+J323+J324+J325)</f>
        <v>-</v>
      </c>
      <c r="K326" s="53" t="str">
        <f>IF(K322=0,"-",
K322+K323+K324+K325)</f>
        <v>-</v>
      </c>
    </row>
    <row r="327" spans="2:11" hidden="1" outlineLevel="1" x14ac:dyDescent="0.25">
      <c r="B327"/>
      <c r="G327" s="81" cm="1">
        <f t="array" ref="G327">IF(G326="-","-",
IF(ROUND(G326,8)=ROUND((((
SUMIFS(Calc_Variable_2[Ausnet],Calc_Variable_2[[Customer type]:[Customer type]],Calc_Rates!$F326)+
SUMIFS(Calc_Variable_2[Ausnet],Calc_Variable_2[[Customer type]:[Customer type]],"All")+G322)*(1+Calc_ROM_2[Ausnet]))*(1+GST)),8),0,1))</f>
        <v>0</v>
      </c>
      <c r="H327" s="81" t="str" cm="1">
        <f t="array" ref="H327">IF(H326="-","-",
IF(ROUND(H326,8)=ROUND((((
SUMIFS(Calc_Variable_2[Citipower],Calc_Variable_2[[Customer type]:[Customer type]],Calc_Rates!$F326)+
SUMIFS(Calc_Variable_2[Citipower],Calc_Variable_2[[Customer type]:[Customer type]],"All")+H322)*(1+Calc_ROM_2[Citipower]))*(1+GST)),8),0,1))</f>
        <v>-</v>
      </c>
      <c r="I327" s="81" t="str" cm="1">
        <f t="array" ref="I327">IF(I326="-","-",
IF(ROUND(I326,8)=ROUND((((
SUMIFS(Calc_Variable_2[Jemena],Calc_Variable_2[[Customer type]:[Customer type]],Calc_Rates!$F326)+
SUMIFS(Calc_Variable_2[Jemena],Calc_Variable_2[[Customer type]:[Customer type]],"All")+I322)*(1+Calc_ROM_2[Jemena]))*(1+GST)),8),0,1))</f>
        <v>-</v>
      </c>
      <c r="J327" s="81" t="str" cm="1">
        <f t="array" ref="J327">IF(J326="-","-",
IF(ROUND(J326,8)=ROUND((((
SUMIFS(Calc_Variable_2[Powercor],Calc_Variable_2[[Customer type]:[Customer type]],Calc_Rates!$F326)+
SUMIFS(Calc_Variable_2[Powercor],Calc_Variable_2[[Customer type]:[Customer type]],"All")+J322)*(1+Calc_ROM_2[Powercor]))*(1+GST)),8),0,1))</f>
        <v>-</v>
      </c>
      <c r="K327" s="81" t="str" cm="1">
        <f t="array" ref="K327">IF(K326="-","-",
IF(ROUND(K326,8)=ROUND((((
SUMIFS(Calc_Variable_2[United Energy],Calc_Variable_2[[Customer type]:[Customer type]],Calc_Rates!$F326)+
SUMIFS(Calc_Variable_2[United Energy],Calc_Variable_2[[Customer type]:[Customer type]],"All")+K322)*(1+Calc_ROM_2[United Energy]))*(1+GST)),8),0,1))</f>
        <v>-</v>
      </c>
    </row>
    <row r="328" spans="2:11" ht="15.75" hidden="1" outlineLevel="1" x14ac:dyDescent="0.25">
      <c r="B328"/>
      <c r="C328" s="59" t="s">
        <v>70</v>
      </c>
    </row>
    <row r="329" spans="2:11" hidden="1" outlineLevel="1" x14ac:dyDescent="0.25">
      <c r="B329"/>
      <c r="C329" s="18" t="s">
        <v>359</v>
      </c>
      <c r="D329" s="18" t="s">
        <v>58</v>
      </c>
      <c r="E329" s="18" t="s">
        <v>69</v>
      </c>
      <c r="F329" s="18" t="s">
        <v>66</v>
      </c>
      <c r="G329" s="44">
        <f>SUMIFS(Calc_NetworkV_2[Ausnet],Calc_NetworkV_2[[Cost item]:[Cost item]],$C328,Calc_NetworkV_2[[Customer type]:[Customer type]],$F329)</f>
        <v>0.13989069468735993</v>
      </c>
      <c r="H329" s="44">
        <f>SUMIFS(Calc_NetworkV_2[Citipower],Calc_NetworkV_2[[Cost item]:[Cost item]],$C328,Calc_NetworkV_2[[Customer type]:[Customer type]],$F329)</f>
        <v>0</v>
      </c>
      <c r="I329" s="44">
        <f>SUMIFS(Calc_NetworkV_2[Jemena],Calc_NetworkV_2[[Cost item]:[Cost item]],$C328,Calc_NetworkV_2[[Customer type]:[Customer type]],$F329)</f>
        <v>0</v>
      </c>
      <c r="J329" s="44">
        <f>SUMIFS(Calc_NetworkV_2[Powercor],Calc_NetworkV_2[[Cost item]:[Cost item]],$C328,Calc_NetworkV_2[[Customer type]:[Customer type]],$F329)</f>
        <v>0</v>
      </c>
      <c r="K329" s="44">
        <f>SUMIFS(Calc_NetworkV_2[United Energy],Calc_NetworkV_2[[Cost item]:[Cost item]],$C328,Calc_NetworkV_2[[Customer type]:[Customer type]],$F329)</f>
        <v>0</v>
      </c>
    </row>
    <row r="330" spans="2:11" hidden="1" outlineLevel="1" x14ac:dyDescent="0.25">
      <c r="B330"/>
      <c r="C330" s="18" t="s">
        <v>363</v>
      </c>
      <c r="D330" s="18" t="s">
        <v>58</v>
      </c>
      <c r="E330" s="18" t="s">
        <v>69</v>
      </c>
      <c r="F330" s="18" t="s">
        <v>66</v>
      </c>
      <c r="G330" s="44">
        <f>SUMIFS(Calc_Variable_2[Ausnet],Calc_Variable_2[[Customer type]:[Customer type]],"All")+SUMIFS(Calc_Variable_2[Ausnet],Calc_Variable_2[[Customer type]:[Customer type]],$F330)</f>
        <v>0.20181729362115569</v>
      </c>
      <c r="H330" s="44">
        <f>SUMIFS(Calc_Variable_2[Citipower],Calc_Variable_2[[Customer type]:[Customer type]],"All")+SUMIFS(Calc_Variable_2[Citipower],Calc_Variable_2[[Customer type]:[Customer type]],$F330)</f>
        <v>0.17462826666028453</v>
      </c>
      <c r="I330" s="44">
        <f>SUMIFS(Calc_Variable_2[Jemena],Calc_Variable_2[[Customer type]:[Customer type]],"All")+SUMIFS(Calc_Variable_2[Jemena],Calc_Variable_2[[Customer type]:[Customer type]],$F330)</f>
        <v>0.19140983760327007</v>
      </c>
      <c r="J330" s="44">
        <f>SUMIFS(Calc_Variable_2[Powercor],Calc_Variable_2[[Customer type]:[Customer type]],"All")+SUMIFS(Calc_Variable_2[Powercor],Calc_Variable_2[[Customer type]:[Customer type]],$F330)</f>
        <v>0.19695720400861422</v>
      </c>
      <c r="K330" s="44">
        <f>SUMIFS(Calc_Variable_2[United Energy],Calc_Variable_2[[Customer type]:[Customer type]],"All")+SUMIFS(Calc_Variable_2[United Energy],Calc_Variable_2[[Customer type]:[Customer type]],$F330)</f>
        <v>0.18905875945521777</v>
      </c>
    </row>
    <row r="331" spans="2:11" hidden="1" outlineLevel="1" x14ac:dyDescent="0.25">
      <c r="B331"/>
      <c r="C331" s="18" t="s">
        <v>258</v>
      </c>
      <c r="D331" s="18" t="s">
        <v>58</v>
      </c>
      <c r="E331" s="18" t="s">
        <v>69</v>
      </c>
      <c r="F331" s="18" t="s">
        <v>66</v>
      </c>
      <c r="G331" s="52" cm="1">
        <f t="array" ref="G331">IF(G329=0,"-",
(G329+G330)*Calc_ROM_2[Ausnet])</f>
        <v>1.9135647345276875E-2</v>
      </c>
      <c r="H331" s="52" t="str" cm="1">
        <f t="array" ref="H331">IF(H329=0,"-",
(H329+H330)*Calc_ROM_2[Citipower])</f>
        <v>-</v>
      </c>
      <c r="I331" s="52" t="str" cm="1">
        <f t="array" ref="I331">IF(I329=0,"-",
(I329+I330)*Calc_ROM_2[Jemena])</f>
        <v>-</v>
      </c>
      <c r="J331" s="52" t="str" cm="1">
        <f t="array" ref="J331">IF(J329=0,"-",
(J329+J330)*Calc_ROM_2[Powercor])</f>
        <v>-</v>
      </c>
      <c r="K331" s="52" t="str" cm="1">
        <f t="array" ref="K331">IF(K329=0,"-",
(K329+K330)*Calc_ROM_2[United Energy])</f>
        <v>-</v>
      </c>
    </row>
    <row r="332" spans="2:11" hidden="1" outlineLevel="1" x14ac:dyDescent="0.25">
      <c r="B332"/>
      <c r="C332" s="18" t="s">
        <v>360</v>
      </c>
      <c r="D332" s="18" t="s">
        <v>58</v>
      </c>
      <c r="E332" s="18" t="s">
        <v>69</v>
      </c>
      <c r="F332" s="18" t="s">
        <v>66</v>
      </c>
      <c r="G332" s="52">
        <f>IF(G329=0,"-",
(G329+G330+G331)*GST)</f>
        <v>3.6084363565379252E-2</v>
      </c>
      <c r="H332" s="52" t="str">
        <f>IF(H329=0,"-",
(H329+H330+H331)*GST)</f>
        <v>-</v>
      </c>
      <c r="I332" s="52" t="str">
        <f>IF(I329=0,"-",
(I329+I330+I331)*GST)</f>
        <v>-</v>
      </c>
      <c r="J332" s="52" t="str">
        <f>IF(J329=0,"-",
(J329+J330+J331)*GST)</f>
        <v>-</v>
      </c>
      <c r="K332" s="52" t="str">
        <f>IF(K329=0,"-",
(K329+K330+K331)*GST)</f>
        <v>-</v>
      </c>
    </row>
    <row r="333" spans="2:11" hidden="1" outlineLevel="1" x14ac:dyDescent="0.25">
      <c r="B333"/>
      <c r="C333" s="18" t="str">
        <f>C328&amp;" charge"</f>
        <v>Balance charge</v>
      </c>
      <c r="D333" s="18" t="s">
        <v>58</v>
      </c>
      <c r="E333" s="18" t="s">
        <v>69</v>
      </c>
      <c r="F333" s="18" t="s">
        <v>66</v>
      </c>
      <c r="G333" s="53">
        <f>IF(G329=0,"-",
G329+G330+G331+G332)</f>
        <v>0.39692799921917177</v>
      </c>
      <c r="H333" s="53" t="str">
        <f>IF(H329=0,"-",
H329+H330+H331+H332)</f>
        <v>-</v>
      </c>
      <c r="I333" s="53" t="str">
        <f>IF(I329=0,"-",
I329+I330+I331+I332)</f>
        <v>-</v>
      </c>
      <c r="J333" s="53" t="str">
        <f>IF(J329=0,"-",
J329+J330+J331+J332)</f>
        <v>-</v>
      </c>
      <c r="K333" s="53" t="str">
        <f>IF(K329=0,"-",
K329+K330+K331+K332)</f>
        <v>-</v>
      </c>
    </row>
    <row r="334" spans="2:11" hidden="1" outlineLevel="1" x14ac:dyDescent="0.25">
      <c r="B334"/>
      <c r="G334" s="81" cm="1">
        <f t="array" ref="G334">IF(G333="-","-",
IF(ROUND(G333,8)=ROUND((((
SUMIFS(Calc_Variable_2[Ausnet],Calc_Variable_2[[Customer type]:[Customer type]],Calc_Rates!$F333)+
SUMIFS(Calc_Variable_2[Ausnet],Calc_Variable_2[[Customer type]:[Customer type]],"All")+G329)*(1+Calc_ROM_2[Ausnet]))*(1+GST)),8),0,1))</f>
        <v>0</v>
      </c>
      <c r="H334" s="81" t="str" cm="1">
        <f t="array" ref="H334">IF(H333="-","-",
IF(ROUND(H333,8)=ROUND((((
SUMIFS(Calc_Variable_2[Citipower],Calc_Variable_2[[Customer type]:[Customer type]],Calc_Rates!$F333)+
SUMIFS(Calc_Variable_2[Citipower],Calc_Variable_2[[Customer type]:[Customer type]],"All")+H329)*(1+Calc_ROM_2[Citipower]))*(1+GST)),8),0,1))</f>
        <v>-</v>
      </c>
      <c r="I334" s="81" t="str" cm="1">
        <f t="array" ref="I334">IF(I333="-","-",
IF(ROUND(I333,8)=ROUND((((
SUMIFS(Calc_Variable_2[Jemena],Calc_Variable_2[[Customer type]:[Customer type]],Calc_Rates!$F333)+
SUMIFS(Calc_Variable_2[Jemena],Calc_Variable_2[[Customer type]:[Customer type]],"All")+I329)*(1+Calc_ROM_2[Jemena]))*(1+GST)),8),0,1))</f>
        <v>-</v>
      </c>
      <c r="J334" s="81" t="str" cm="1">
        <f t="array" ref="J334">IF(J333="-","-",
IF(ROUND(J333,8)=ROUND((((
SUMIFS(Calc_Variable_2[Powercor],Calc_Variable_2[[Customer type]:[Customer type]],Calc_Rates!$F333)+
SUMIFS(Calc_Variable_2[Powercor],Calc_Variable_2[[Customer type]:[Customer type]],"All")+J329)*(1+Calc_ROM_2[Powercor]))*(1+GST)),8),0,1))</f>
        <v>-</v>
      </c>
      <c r="K334" s="81" t="str" cm="1">
        <f t="array" ref="K334">IF(K333="-","-",
IF(ROUND(K333,8)=ROUND((((
SUMIFS(Calc_Variable_2[United Energy],Calc_Variable_2[[Customer type]:[Customer type]],Calc_Rates!$F333)+
SUMIFS(Calc_Variable_2[United Energy],Calc_Variable_2[[Customer type]:[Customer type]],"All")+K329)*(1+Calc_ROM_2[United Energy]))*(1+GST)),8),0,1))</f>
        <v>-</v>
      </c>
    </row>
    <row r="335" spans="2:11" ht="15.75" hidden="1" outlineLevel="1" x14ac:dyDescent="0.25">
      <c r="B335"/>
      <c r="C335" s="59" t="s">
        <v>71</v>
      </c>
    </row>
    <row r="336" spans="2:11" hidden="1" outlineLevel="1" x14ac:dyDescent="0.25">
      <c r="B336"/>
      <c r="C336" s="18" t="s">
        <v>359</v>
      </c>
      <c r="D336" s="18" t="s">
        <v>58</v>
      </c>
      <c r="E336" s="18" t="s">
        <v>69</v>
      </c>
      <c r="F336" s="18" t="s">
        <v>66</v>
      </c>
      <c r="G336" s="44">
        <f>SUMIFS(Calc_NetworkV_2[Ausnet],Calc_NetworkV_2[[Cost item]:[Cost item]],$C335,Calc_NetworkV_2[[Customer type]:[Customer type]],$F336)</f>
        <v>0</v>
      </c>
      <c r="H336" s="44">
        <f>SUMIFS(Calc_NetworkV_2[Citipower],Calc_NetworkV_2[[Cost item]:[Cost item]],$C335,Calc_NetworkV_2[[Customer type]:[Customer type]],$F336)</f>
        <v>7.3700000000000002E-2</v>
      </c>
      <c r="I336" s="44">
        <f>SUMIFS(Calc_NetworkV_2[Jemena],Calc_NetworkV_2[[Cost item]:[Cost item]],$C335,Calc_NetworkV_2[[Customer type]:[Customer type]],$F336)</f>
        <v>8.9770000000000003E-2</v>
      </c>
      <c r="J336" s="44">
        <f>SUMIFS(Calc_NetworkV_2[Powercor],Calc_NetworkV_2[[Cost item]:[Cost item]],$C335,Calc_NetworkV_2[[Customer type]:[Customer type]],$F336)</f>
        <v>8.77E-2</v>
      </c>
      <c r="K336" s="44">
        <f>SUMIFS(Calc_NetworkV_2[United Energy],Calc_NetworkV_2[[Cost item]:[Cost item]],$C335,Calc_NetworkV_2[[Customer type]:[Customer type]],$F336)</f>
        <v>8.5400000000000004E-2</v>
      </c>
    </row>
    <row r="337" spans="2:11" hidden="1" outlineLevel="1" x14ac:dyDescent="0.25">
      <c r="B337"/>
      <c r="C337" s="18" t="s">
        <v>363</v>
      </c>
      <c r="D337" s="18" t="s">
        <v>58</v>
      </c>
      <c r="E337" s="18" t="s">
        <v>69</v>
      </c>
      <c r="F337" s="18" t="s">
        <v>66</v>
      </c>
      <c r="G337" s="44">
        <f>SUMIFS(Calc_Variable_2[Ausnet],Calc_Variable_2[[Customer type]:[Customer type]],"All")+SUMIFS(Calc_Variable_2[Ausnet],Calc_Variable_2[[Customer type]:[Customer type]],$F337)</f>
        <v>0.20181729362115569</v>
      </c>
      <c r="H337" s="44">
        <f>SUMIFS(Calc_Variable_2[Citipower],Calc_Variable_2[[Customer type]:[Customer type]],"All")+SUMIFS(Calc_Variable_2[Citipower],Calc_Variable_2[[Customer type]:[Customer type]],$F337)</f>
        <v>0.17462826666028453</v>
      </c>
      <c r="I337" s="44">
        <f>SUMIFS(Calc_Variable_2[Jemena],Calc_Variable_2[[Customer type]:[Customer type]],"All")+SUMIFS(Calc_Variable_2[Jemena],Calc_Variable_2[[Customer type]:[Customer type]],$F337)</f>
        <v>0.19140983760327007</v>
      </c>
      <c r="J337" s="44">
        <f>SUMIFS(Calc_Variable_2[Powercor],Calc_Variable_2[[Customer type]:[Customer type]],"All")+SUMIFS(Calc_Variable_2[Powercor],Calc_Variable_2[[Customer type]:[Customer type]],$F337)</f>
        <v>0.19695720400861422</v>
      </c>
      <c r="K337" s="44">
        <f>SUMIFS(Calc_Variable_2[United Energy],Calc_Variable_2[[Customer type]:[Customer type]],"All")+SUMIFS(Calc_Variable_2[United Energy],Calc_Variable_2[[Customer type]:[Customer type]],$F337)</f>
        <v>0.18905875945521777</v>
      </c>
    </row>
    <row r="338" spans="2:11" hidden="1" outlineLevel="1" x14ac:dyDescent="0.25">
      <c r="B338"/>
      <c r="C338" s="18" t="s">
        <v>258</v>
      </c>
      <c r="D338" s="18" t="s">
        <v>58</v>
      </c>
      <c r="E338" s="18" t="s">
        <v>69</v>
      </c>
      <c r="F338" s="18" t="s">
        <v>66</v>
      </c>
      <c r="G338" s="52" t="str" cm="1">
        <f t="array" ref="G338">IF(G336=0,"-",
(G336+G337)*Calc_ROM_2[Ausnet])</f>
        <v>-</v>
      </c>
      <c r="H338" s="145" cm="1">
        <f t="array" ref="H338">IF(H336=0,"-",
(H336+H337)*Calc_ROM_2[Citipower])</f>
        <v>1.3906382932975933E-2</v>
      </c>
      <c r="I338" s="145" cm="1">
        <f t="array" ref="I338">IF(I336=0,"-",
(I336+I337)*Calc_ROM_2[Jemena])</f>
        <v>1.5746070905783126E-2</v>
      </c>
      <c r="J338" s="145" cm="1">
        <f t="array" ref="J338">IF(J336=0,"-",
(J336+J337)*Calc_ROM_2[Powercor])</f>
        <v>1.5940803424482397E-2</v>
      </c>
      <c r="K338" s="145" cm="1">
        <f t="array" ref="K338">IF(K336=0,"-",
(K336+K337)*Calc_ROM_2[United Energy])</f>
        <v>1.5369690529492197E-2</v>
      </c>
    </row>
    <row r="339" spans="2:11" hidden="1" outlineLevel="1" x14ac:dyDescent="0.25">
      <c r="B339"/>
      <c r="C339" s="18" t="s">
        <v>360</v>
      </c>
      <c r="D339" s="18" t="s">
        <v>58</v>
      </c>
      <c r="E339" s="18" t="s">
        <v>69</v>
      </c>
      <c r="F339" s="18" t="s">
        <v>66</v>
      </c>
      <c r="G339" s="52" t="str">
        <f>IF(G336=0,"-",
(G336+G337+G338)*GST)</f>
        <v>-</v>
      </c>
      <c r="H339" s="145">
        <f>IF(H336=0,"-",
(H336+H337+H338)*GST)</f>
        <v>2.6223464959326044E-2</v>
      </c>
      <c r="I339" s="145">
        <f>IF(I336=0,"-",
(I336+I337+I338)*GST)</f>
        <v>2.9692590850905323E-2</v>
      </c>
      <c r="J339" s="145">
        <f>IF(J336=0,"-",
(J336+J337+J338)*GST)</f>
        <v>3.0059800743309661E-2</v>
      </c>
      <c r="K339" s="145">
        <f>IF(K336=0,"-",
(K336+K337+K338)*GST)</f>
        <v>2.8982844998471004E-2</v>
      </c>
    </row>
    <row r="340" spans="2:11" hidden="1" outlineLevel="1" x14ac:dyDescent="0.25">
      <c r="B340"/>
      <c r="C340" s="18" t="str">
        <f>C335&amp;" charge"</f>
        <v>Single rate charge</v>
      </c>
      <c r="D340" s="18" t="s">
        <v>58</v>
      </c>
      <c r="E340" s="18" t="s">
        <v>69</v>
      </c>
      <c r="F340" s="18" t="s">
        <v>66</v>
      </c>
      <c r="G340" s="53" t="str">
        <f>IF(G336=0,"-",
G336+G337+G338+G339)</f>
        <v>-</v>
      </c>
      <c r="H340" s="53">
        <f>IF(H336=0,"-",
H336+H337+H338+H339)</f>
        <v>0.28845811455258646</v>
      </c>
      <c r="I340" s="53">
        <f>IF(I336=0,"-",
I336+I337+I338+I339)</f>
        <v>0.32661849935995851</v>
      </c>
      <c r="J340" s="53">
        <f>IF(J336=0,"-",
J336+J337+J338+J339)</f>
        <v>0.33065780817640628</v>
      </c>
      <c r="K340" s="53">
        <f>IF(K336=0,"-",
K336+K337+K338+K339)</f>
        <v>0.318811294983181</v>
      </c>
    </row>
    <row r="341" spans="2:11" hidden="1" outlineLevel="1" x14ac:dyDescent="0.25">
      <c r="B341"/>
      <c r="G341" s="81" t="str" cm="1">
        <f t="array" ref="G341">IF(G340="-","-",
IF(ROUND(G340,8)=ROUND((((
SUMIFS(Calc_Variable_2[Ausnet],Calc_Variable_2[[Customer type]:[Customer type]],Calc_Rates!$F340)+
SUMIFS(Calc_Variable_2[Ausnet],Calc_Variable_2[[Customer type]:[Customer type]],"All")+G336)*(1+Calc_ROM_2[Ausnet]))*(1+GST)),8),0,1))</f>
        <v>-</v>
      </c>
      <c r="H341" s="81" cm="1">
        <f t="array" ref="H341">IF(H340="-","-",
IF(ROUND(H340,8)=ROUND((((
SUMIFS(Calc_Variable_2[Citipower],Calc_Variable_2[[Customer type]:[Customer type]],Calc_Rates!$F340)+
SUMIFS(Calc_Variable_2[Citipower],Calc_Variable_2[[Customer type]:[Customer type]],"All")+H336)*(1+Calc_ROM_2[Citipower]))*(1+GST)),8),0,1))</f>
        <v>0</v>
      </c>
      <c r="I341" s="81" cm="1">
        <f t="array" ref="I341">IF(I340="-","-",
IF(ROUND(I340,8)=ROUND((((
SUMIFS(Calc_Variable_2[Jemena],Calc_Variable_2[[Customer type]:[Customer type]],Calc_Rates!$F340)+
SUMIFS(Calc_Variable_2[Jemena],Calc_Variable_2[[Customer type]:[Customer type]],"All")+I336)*(1+Calc_ROM_2[Jemena]))*(1+GST)),8),0,1))</f>
        <v>0</v>
      </c>
      <c r="J341" s="81" cm="1">
        <f t="array" ref="J341">IF(J340="-","-",
IF(ROUND(J340,8)=ROUND((((
SUMIFS(Calc_Variable_2[Powercor],Calc_Variable_2[[Customer type]:[Customer type]],Calc_Rates!$F340)+
SUMIFS(Calc_Variable_2[Powercor],Calc_Variable_2[[Customer type]:[Customer type]],"All")+J336)*(1+Calc_ROM_2[Powercor]))*(1+GST)),8),0,1))</f>
        <v>0</v>
      </c>
      <c r="K341" s="81" cm="1">
        <f t="array" ref="K341">IF(K340="-","-",
IF(ROUND(K340,8)=ROUND((((
SUMIFS(Calc_Variable_2[United Energy],Calc_Variable_2[[Customer type]:[Customer type]],Calc_Rates!$F340)+
SUMIFS(Calc_Variable_2[United Energy],Calc_Variable_2[[Customer type]:[Customer type]],"All")+K336)*(1+Calc_ROM_2[United Energy]))*(1+GST)),8),0,1))</f>
        <v>0</v>
      </c>
    </row>
    <row r="342" spans="2:11" ht="15.75" hidden="1" outlineLevel="1" x14ac:dyDescent="0.25">
      <c r="B342"/>
      <c r="C342" s="1" t="s">
        <v>369</v>
      </c>
    </row>
    <row r="343" spans="2:11" ht="15.75" hidden="1" outlineLevel="1" x14ac:dyDescent="0.25">
      <c r="B343"/>
      <c r="C343" s="59" t="s">
        <v>73</v>
      </c>
    </row>
    <row r="344" spans="2:11" hidden="1" outlineLevel="1" x14ac:dyDescent="0.25">
      <c r="B344"/>
      <c r="C344" s="18" t="s">
        <v>359</v>
      </c>
      <c r="D344" s="18" t="s">
        <v>58</v>
      </c>
      <c r="E344" s="18" t="s">
        <v>69</v>
      </c>
      <c r="F344" s="18" t="s">
        <v>66</v>
      </c>
      <c r="G344" s="44">
        <f>SUMIFS(Calc_NetworkV_2[Ausnet],Calc_NetworkV_2[[Cost item]:[Cost item]],$C343,Calc_NetworkV_2[[Customer type]:[Customer type]],$F344)</f>
        <v>0.22405517942110717</v>
      </c>
      <c r="H344" s="44">
        <f>SUMIFS(Calc_NetworkV_2[Citipower],Calc_NetworkV_2[[Cost item]:[Cost item]],$C343,Calc_NetworkV_2[[Customer type]:[Customer type]],$F344)</f>
        <v>0.1467</v>
      </c>
      <c r="I344" s="44">
        <f>SUMIFS(Calc_NetworkV_2[Jemena],Calc_NetworkV_2[[Cost item]:[Cost item]],$C343,Calc_NetworkV_2[[Customer type]:[Customer type]],$F344)</f>
        <v>0.14771999999999999</v>
      </c>
      <c r="J344" s="44">
        <f>SUMIFS(Calc_NetworkV_2[Powercor],Calc_NetworkV_2[[Cost item]:[Cost item]],$C343,Calc_NetworkV_2[[Customer type]:[Customer type]],$F344)</f>
        <v>0.1714</v>
      </c>
      <c r="K344" s="44">
        <f>SUMIFS(Calc_NetworkV_2[United Energy],Calc_NetworkV_2[[Cost item]:[Cost item]],$C343,Calc_NetworkV_2[[Customer type]:[Customer type]],$F344)</f>
        <v>0.1668</v>
      </c>
    </row>
    <row r="345" spans="2:11" hidden="1" outlineLevel="1" x14ac:dyDescent="0.25">
      <c r="B345"/>
      <c r="C345" s="18" t="s">
        <v>363</v>
      </c>
      <c r="D345" s="18" t="s">
        <v>58</v>
      </c>
      <c r="E345" s="18" t="s">
        <v>69</v>
      </c>
      <c r="F345" s="18" t="s">
        <v>66</v>
      </c>
      <c r="G345" s="44">
        <f>SUMIFS(Calc_Variable_2[Ausnet],Calc_Variable_2[[Customer type]:[Customer type]],"All")+SUMIFS(Calc_Variable_2[Ausnet],Calc_Variable_2[[Customer type]:[Customer type]],$F345)</f>
        <v>0.20181729362115569</v>
      </c>
      <c r="H345" s="44">
        <f>SUMIFS(Calc_Variable_2[Citipower],Calc_Variable_2[[Customer type]:[Customer type]],"All")+SUMIFS(Calc_Variable_2[Citipower],Calc_Variable_2[[Customer type]:[Customer type]],$F345)</f>
        <v>0.17462826666028453</v>
      </c>
      <c r="I345" s="44">
        <f>SUMIFS(Calc_Variable_2[Jemena],Calc_Variable_2[[Customer type]:[Customer type]],"All")+SUMIFS(Calc_Variable_2[Jemena],Calc_Variable_2[[Customer type]:[Customer type]],$F345)</f>
        <v>0.19140983760327007</v>
      </c>
      <c r="J345" s="44">
        <f>SUMIFS(Calc_Variable_2[Powercor],Calc_Variable_2[[Customer type]:[Customer type]],"All")+SUMIFS(Calc_Variable_2[Powercor],Calc_Variable_2[[Customer type]:[Customer type]],$F345)</f>
        <v>0.19695720400861422</v>
      </c>
      <c r="K345" s="44">
        <f>SUMIFS(Calc_Variable_2[United Energy],Calc_Variable_2[[Customer type]:[Customer type]],"All")+SUMIFS(Calc_Variable_2[United Energy],Calc_Variable_2[[Customer type]:[Customer type]],$F345)</f>
        <v>0.18905875945521777</v>
      </c>
    </row>
    <row r="346" spans="2:11" hidden="1" outlineLevel="1" x14ac:dyDescent="0.25">
      <c r="B346"/>
      <c r="C346" s="18" t="s">
        <v>258</v>
      </c>
      <c r="D346" s="18" t="s">
        <v>58</v>
      </c>
      <c r="E346" s="18" t="s">
        <v>69</v>
      </c>
      <c r="F346" s="18" t="s">
        <v>66</v>
      </c>
      <c r="G346" s="52" cm="1">
        <f t="array" ref="G346">IF(G344=0,"-",
(G344+G345)*Calc_ROM_2[Ausnet])</f>
        <v>2.384885849036672E-2</v>
      </c>
      <c r="H346" s="52" cm="1">
        <f t="array" ref="H346">IF(H344=0,"-",
(H344+H345)*Calc_ROM_2[Citipower])</f>
        <v>1.7994382932975932E-2</v>
      </c>
      <c r="I346" s="52" cm="1">
        <f t="array" ref="I346">IF(I344=0,"-",
(I344+I345)*Calc_ROM_2[Jemena])</f>
        <v>1.8991270905783127E-2</v>
      </c>
      <c r="J346" s="52" cm="1">
        <f t="array" ref="J346">IF(J344=0,"-",
(J344+J345)*Calc_ROM_2[Powercor])</f>
        <v>2.0628003424482396E-2</v>
      </c>
      <c r="K346" s="52" cm="1">
        <f t="array" ref="K346">IF(K344=0,"-",
(K344+K345)*Calc_ROM_2[United Energy])</f>
        <v>1.9928090529492196E-2</v>
      </c>
    </row>
    <row r="347" spans="2:11" hidden="1" outlineLevel="1" x14ac:dyDescent="0.25">
      <c r="B347"/>
      <c r="C347" s="18" t="s">
        <v>360</v>
      </c>
      <c r="D347" s="18" t="s">
        <v>58</v>
      </c>
      <c r="E347" s="18" t="s">
        <v>69</v>
      </c>
      <c r="F347" s="18" t="s">
        <v>66</v>
      </c>
      <c r="G347" s="52">
        <f>IF(G344=0,"-",
(G344+G345+G346)*GST)</f>
        <v>4.4972133153262955E-2</v>
      </c>
      <c r="H347" s="52">
        <f>IF(H344=0,"-",
(H344+H345+H346)*GST)</f>
        <v>3.3932264959326046E-2</v>
      </c>
      <c r="I347" s="52">
        <f>IF(I344=0,"-",
(I344+I345+I346)*GST)</f>
        <v>3.581211085090532E-2</v>
      </c>
      <c r="J347" s="52">
        <f>IF(J344=0,"-",
(J344+J345+J346)*GST)</f>
        <v>3.8898520743309663E-2</v>
      </c>
      <c r="K347" s="52">
        <f>IF(K344=0,"-",
(K344+K345+K346)*GST)</f>
        <v>3.7578684998471001E-2</v>
      </c>
    </row>
    <row r="348" spans="2:11" hidden="1" outlineLevel="1" x14ac:dyDescent="0.25">
      <c r="B348"/>
      <c r="C348" s="18" t="str">
        <f>C343&amp;" charge"</f>
        <v>Peak charge</v>
      </c>
      <c r="D348" s="18" t="s">
        <v>58</v>
      </c>
      <c r="E348" s="18" t="s">
        <v>69</v>
      </c>
      <c r="F348" s="18" t="s">
        <v>66</v>
      </c>
      <c r="G348" s="53">
        <f>IF(G344=0,"-",
G344+G345+G346+G347)</f>
        <v>0.49469346468589248</v>
      </c>
      <c r="H348" s="53">
        <f>IF(H344=0,"-",
H344+H345+H346+H347)</f>
        <v>0.37325491455258653</v>
      </c>
      <c r="I348" s="53">
        <f>IF(I344=0,"-",
I344+I345+I346+I347)</f>
        <v>0.39393321935995851</v>
      </c>
      <c r="J348" s="53">
        <f>IF(J344=0,"-",
J344+J345+J346+J347)</f>
        <v>0.4278837281764063</v>
      </c>
      <c r="K348" s="53">
        <f>IF(K344=0,"-",
K344+K345+K346+K347)</f>
        <v>0.41336553498318096</v>
      </c>
    </row>
    <row r="349" spans="2:11" hidden="1" outlineLevel="1" x14ac:dyDescent="0.25">
      <c r="B349"/>
      <c r="G349" s="81" cm="1">
        <f t="array" ref="G349">IF(G348="-","-",
IF(ROUND(G348,8)=ROUND((((
SUMIFS(Calc_Variable_2[Ausnet],Calc_Variable_2[[Customer type]:[Customer type]],Calc_Rates!$F348)+
SUMIFS(Calc_Variable_2[Ausnet],Calc_Variable_2[[Customer type]:[Customer type]],"All")+G344)*(1+Calc_ROM_2[Ausnet]))*(1+GST)),8),0,1))</f>
        <v>0</v>
      </c>
      <c r="H349" s="81" cm="1">
        <f t="array" ref="H349">IF(H348="-","-",
IF(ROUND(H348,8)=ROUND((((
SUMIFS(Calc_Variable_2[Citipower],Calc_Variable_2[[Customer type]:[Customer type]],Calc_Rates!$F348)+
SUMIFS(Calc_Variable_2[Citipower],Calc_Variable_2[[Customer type]:[Customer type]],"All")+H344)*(1+Calc_ROM_2[Citipower]))*(1+GST)),8),0,1))</f>
        <v>0</v>
      </c>
      <c r="I349" s="81" cm="1">
        <f t="array" ref="I349">IF(I348="-","-",
IF(ROUND(I348,8)=ROUND((((
SUMIFS(Calc_Variable_2[Jemena],Calc_Variable_2[[Customer type]:[Customer type]],Calc_Rates!$F348)+
SUMIFS(Calc_Variable_2[Jemena],Calc_Variable_2[[Customer type]:[Customer type]],"All")+I344)*(1+Calc_ROM_2[Jemena]))*(1+GST)),8),0,1))</f>
        <v>0</v>
      </c>
      <c r="J349" s="81" cm="1">
        <f t="array" ref="J349">IF(J348="-","-",
IF(ROUND(J348,8)=ROUND((((
SUMIFS(Calc_Variable_2[Powercor],Calc_Variable_2[[Customer type]:[Customer type]],Calc_Rates!$F348)+
SUMIFS(Calc_Variable_2[Powercor],Calc_Variable_2[[Customer type]:[Customer type]],"All")+J344)*(1+Calc_ROM_2[Powercor]))*(1+GST)),8),0,1))</f>
        <v>0</v>
      </c>
      <c r="K349" s="81" cm="1">
        <f t="array" ref="K349">IF(K348="-","-",
IF(ROUND(K348,8)=ROUND((((
SUMIFS(Calc_Variable_2[United Energy],Calc_Variable_2[[Customer type]:[Customer type]],Calc_Rates!$F348)+
SUMIFS(Calc_Variable_2[United Energy],Calc_Variable_2[[Customer type]:[Customer type]],"All")+K344)*(1+Calc_ROM_2[United Energy]))*(1+GST)),8),0,1))</f>
        <v>0</v>
      </c>
    </row>
    <row r="350" spans="2:11" ht="15.75" hidden="1" outlineLevel="1" x14ac:dyDescent="0.25">
      <c r="B350"/>
      <c r="C350" s="59" t="s">
        <v>74</v>
      </c>
    </row>
    <row r="351" spans="2:11" hidden="1" outlineLevel="1" x14ac:dyDescent="0.25">
      <c r="B351"/>
      <c r="C351" s="18" t="s">
        <v>359</v>
      </c>
      <c r="D351" s="18" t="s">
        <v>58</v>
      </c>
      <c r="E351" s="18" t="s">
        <v>69</v>
      </c>
      <c r="F351" s="18" t="s">
        <v>66</v>
      </c>
      <c r="G351" s="44">
        <f>SUMIFS(Calc_NetworkV_2[Ausnet],Calc_NetworkV_2[[Cost item]:[Cost item]],$C350,Calc_NetworkV_2[[Customer type]:[Customer type]],$F351)</f>
        <v>4.6393863430805989E-2</v>
      </c>
      <c r="H351" s="44">
        <f>SUMIFS(Calc_NetworkV_2[Citipower],Calc_NetworkV_2[[Cost item]:[Cost item]],$C350,Calc_NetworkV_2[[Customer type]:[Customer type]],$F351)</f>
        <v>3.6699999999999997E-2</v>
      </c>
      <c r="I351" s="44">
        <f>SUMIFS(Calc_NetworkV_2[Jemena],Calc_NetworkV_2[[Cost item]:[Cost item]],$C350,Calc_NetworkV_2[[Customer type]:[Customer type]],$F351)</f>
        <v>4.3120000000000006E-2</v>
      </c>
      <c r="J351" s="44">
        <f>SUMIFS(Calc_NetworkV_2[Powercor],Calc_NetworkV_2[[Cost item]:[Cost item]],$C350,Calc_NetworkV_2[[Customer type]:[Customer type]],$F351)</f>
        <v>4.2900000000000001E-2</v>
      </c>
      <c r="K351" s="44">
        <f>SUMIFS(Calc_NetworkV_2[United Energy],Calc_NetworkV_2[[Cost item]:[Cost item]],$C350,Calc_NetworkV_2[[Customer type]:[Customer type]],$F351)</f>
        <v>4.1599999999999998E-2</v>
      </c>
    </row>
    <row r="352" spans="2:11" hidden="1" outlineLevel="1" x14ac:dyDescent="0.25">
      <c r="B352"/>
      <c r="C352" s="18" t="s">
        <v>363</v>
      </c>
      <c r="D352" s="18" t="s">
        <v>58</v>
      </c>
      <c r="E352" s="18" t="s">
        <v>69</v>
      </c>
      <c r="F352" s="18" t="s">
        <v>66</v>
      </c>
      <c r="G352" s="44">
        <f>SUMIFS(Calc_Variable_2[Ausnet],Calc_Variable_2[[Customer type]:[Customer type]],"All")+SUMIFS(Calc_Variable_2[Ausnet],Calc_Variable_2[[Customer type]:[Customer type]],$F352)</f>
        <v>0.20181729362115569</v>
      </c>
      <c r="H352" s="44">
        <f>SUMIFS(Calc_Variable_2[Citipower],Calc_Variable_2[[Customer type]:[Customer type]],"All")+SUMIFS(Calc_Variable_2[Citipower],Calc_Variable_2[[Customer type]:[Customer type]],$F352)</f>
        <v>0.17462826666028453</v>
      </c>
      <c r="I352" s="44">
        <f>SUMIFS(Calc_Variable_2[Jemena],Calc_Variable_2[[Customer type]:[Customer type]],"All")+SUMIFS(Calc_Variable_2[Jemena],Calc_Variable_2[[Customer type]:[Customer type]],$F352)</f>
        <v>0.19140983760327007</v>
      </c>
      <c r="J352" s="44">
        <f>SUMIFS(Calc_Variable_2[Powercor],Calc_Variable_2[[Customer type]:[Customer type]],"All")+SUMIFS(Calc_Variable_2[Powercor],Calc_Variable_2[[Customer type]:[Customer type]],$F352)</f>
        <v>0.19695720400861422</v>
      </c>
      <c r="K352" s="44">
        <f>SUMIFS(Calc_Variable_2[United Energy],Calc_Variable_2[[Customer type]:[Customer type]],"All")+SUMIFS(Calc_Variable_2[United Energy],Calc_Variable_2[[Customer type]:[Customer type]],$F352)</f>
        <v>0.18905875945521777</v>
      </c>
    </row>
    <row r="353" spans="2:11" hidden="1" outlineLevel="1" x14ac:dyDescent="0.25">
      <c r="B353"/>
      <c r="C353" s="18" t="s">
        <v>258</v>
      </c>
      <c r="D353" s="18" t="s">
        <v>58</v>
      </c>
      <c r="E353" s="18" t="s">
        <v>69</v>
      </c>
      <c r="F353" s="18" t="s">
        <v>66</v>
      </c>
      <c r="G353" s="52" cm="1">
        <f t="array" ref="G353">IF(G351=0,"-",
(G351+G352)*Calc_ROM_2[Ausnet])</f>
        <v>1.3899824794909855E-2</v>
      </c>
      <c r="H353" s="52" cm="1">
        <f t="array" ref="H353">IF(H351=0,"-",
(H351+H352)*Calc_ROM_2[Citipower])</f>
        <v>1.1834382932975934E-2</v>
      </c>
      <c r="I353" s="52" cm="1">
        <f t="array" ref="I353">IF(I351=0,"-",
(I351+I352)*Calc_ROM_2[Jemena])</f>
        <v>1.3133670905783124E-2</v>
      </c>
      <c r="J353" s="52" cm="1">
        <f t="array" ref="J353">IF(J351=0,"-",
(J351+J352)*Calc_ROM_2[Powercor])</f>
        <v>1.3432003424482397E-2</v>
      </c>
      <c r="K353" s="52" cm="1">
        <f t="array" ref="K353">IF(K351=0,"-",
(K351+K352)*Calc_ROM_2[United Energy])</f>
        <v>1.2916890529492195E-2</v>
      </c>
    </row>
    <row r="354" spans="2:11" hidden="1" outlineLevel="1" x14ac:dyDescent="0.25">
      <c r="B354"/>
      <c r="C354" s="18" t="s">
        <v>360</v>
      </c>
      <c r="D354" s="18" t="s">
        <v>58</v>
      </c>
      <c r="E354" s="18" t="s">
        <v>69</v>
      </c>
      <c r="F354" s="18" t="s">
        <v>66</v>
      </c>
      <c r="G354" s="52">
        <f>IF(G351=0,"-",
(G351+G352+G353)*GST)</f>
        <v>2.6211098184687157E-2</v>
      </c>
      <c r="H354" s="52">
        <f>IF(H351=0,"-",
(H351+H352+H353)*GST)</f>
        <v>2.2316264959326048E-2</v>
      </c>
      <c r="I354" s="52">
        <f>IF(I351=0,"-",
(I351+I352+I353)*GST)</f>
        <v>2.4766350850905321E-2</v>
      </c>
      <c r="J354" s="52">
        <f>IF(J351=0,"-",
(J351+J352+J353)*GST)</f>
        <v>2.5328920743309665E-2</v>
      </c>
      <c r="K354" s="52">
        <f>IF(K351=0,"-",
(K351+K352+K353)*GST)</f>
        <v>2.4357564998470999E-2</v>
      </c>
    </row>
    <row r="355" spans="2:11" hidden="1" outlineLevel="1" x14ac:dyDescent="0.25">
      <c r="B355"/>
      <c r="C355" s="18" t="str">
        <f>C350&amp;" charge"</f>
        <v>Off peak charge</v>
      </c>
      <c r="D355" s="18" t="s">
        <v>58</v>
      </c>
      <c r="E355" s="18" t="s">
        <v>69</v>
      </c>
      <c r="F355" s="18" t="s">
        <v>66</v>
      </c>
      <c r="G355" s="53">
        <f>IF(G351=0,"-",
G351+G352+G353+G354)</f>
        <v>0.28832208003155868</v>
      </c>
      <c r="H355" s="53">
        <f>IF(H351=0,"-",
H351+H352+H353+H354)</f>
        <v>0.2454789145525865</v>
      </c>
      <c r="I355" s="53">
        <f>IF(I351=0,"-",
I351+I352+I353+I354)</f>
        <v>0.2724298593599585</v>
      </c>
      <c r="J355" s="53">
        <f>IF(J351=0,"-",
J351+J352+J353+J354)</f>
        <v>0.2786181281764063</v>
      </c>
      <c r="K355" s="53">
        <f>IF(K351=0,"-",
K351+K352+K353+K354)</f>
        <v>0.26793321498318096</v>
      </c>
    </row>
    <row r="356" spans="2:11" hidden="1" outlineLevel="1" x14ac:dyDescent="0.25">
      <c r="B356"/>
      <c r="G356" s="81" cm="1">
        <f t="array" ref="G356">IF(G355="-","-",
IF(ROUND(G355,8)=ROUND((((
SUMIFS(Calc_Variable_2[Ausnet],Calc_Variable_2[[Customer type]:[Customer type]],Calc_Rates!$F355)+
SUMIFS(Calc_Variable_2[Ausnet],Calc_Variable_2[[Customer type]:[Customer type]],"All")+G351)*(1+Calc_ROM_2[Ausnet]))*(1+GST)),8),0,1))</f>
        <v>0</v>
      </c>
      <c r="H356" s="81" cm="1">
        <f t="array" ref="H356">IF(H355="-","-",
IF(ROUND(H355,8)=ROUND((((
SUMIFS(Calc_Variable_2[Citipower],Calc_Variable_2[[Customer type]:[Customer type]],Calc_Rates!$F355)+
SUMIFS(Calc_Variable_2[Citipower],Calc_Variable_2[[Customer type]:[Customer type]],"All")+H351)*(1+Calc_ROM_2[Citipower]))*(1+GST)),8),0,1))</f>
        <v>0</v>
      </c>
      <c r="I356" s="81" cm="1">
        <f t="array" ref="I356">IF(I355="-","-",
IF(ROUND(I355,8)=ROUND((((
SUMIFS(Calc_Variable_2[Jemena],Calc_Variable_2[[Customer type]:[Customer type]],Calc_Rates!$F355)+
SUMIFS(Calc_Variable_2[Jemena],Calc_Variable_2[[Customer type]:[Customer type]],"All")+I351)*(1+Calc_ROM_2[Jemena]))*(1+GST)),8),0,1))</f>
        <v>0</v>
      </c>
      <c r="J356" s="81" cm="1">
        <f t="array" ref="J356">IF(J355="-","-",
IF(ROUND(J355,8)=ROUND((((
SUMIFS(Calc_Variable_2[Powercor],Calc_Variable_2[[Customer type]:[Customer type]],Calc_Rates!$F355)+
SUMIFS(Calc_Variable_2[Powercor],Calc_Variable_2[[Customer type]:[Customer type]],"All")+J351)*(1+Calc_ROM_2[Powercor]))*(1+GST)),8),0,1))</f>
        <v>0</v>
      </c>
      <c r="K356" s="81" cm="1">
        <f t="array" ref="K356">IF(K355="-","-",
IF(ROUND(K355,8)=ROUND((((
SUMIFS(Calc_Variable_2[United Energy],Calc_Variable_2[[Customer type]:[Customer type]],Calc_Rates!$F355)+
SUMIFS(Calc_Variable_2[United Energy],Calc_Variable_2[[Customer type]:[Customer type]],"All")+K351)*(1+Calc_ROM_2[United Energy]))*(1+GST)),8),0,1))</f>
        <v>0</v>
      </c>
    </row>
    <row r="357" spans="2:11" ht="15.75" hidden="1" outlineLevel="1" x14ac:dyDescent="0.25">
      <c r="B357"/>
      <c r="C357" s="59" t="s">
        <v>75</v>
      </c>
    </row>
    <row r="358" spans="2:11" hidden="1" outlineLevel="1" x14ac:dyDescent="0.25">
      <c r="B358"/>
      <c r="C358" s="18" t="s">
        <v>359</v>
      </c>
      <c r="D358" s="18" t="s">
        <v>58</v>
      </c>
      <c r="E358" s="18" t="s">
        <v>69</v>
      </c>
      <c r="F358" s="18" t="s">
        <v>66</v>
      </c>
      <c r="G358" s="44">
        <f>SUMIFS(Calc_NetworkV_2[Ausnet],Calc_NetworkV_2[[Cost item]:[Cost item]],$C357,Calc_NetworkV_2[[Customer type]:[Customer type]],$F358)</f>
        <v>4.6393863430805989E-2</v>
      </c>
      <c r="H358" s="44">
        <f>SUMIFS(Calc_NetworkV_2[Citipower],Calc_NetworkV_2[[Cost item]:[Cost item]],$C357,Calc_NetworkV_2[[Customer type]:[Customer type]],$F358)</f>
        <v>2.2099999999999998E-2</v>
      </c>
      <c r="I358" s="44">
        <f>SUMIFS(Calc_NetworkV_2[Jemena],Calc_NetworkV_2[[Cost item]:[Cost item]],$C357,Calc_NetworkV_2[[Customer type]:[Customer type]],$F358)</f>
        <v>3.6950000000000004E-2</v>
      </c>
      <c r="J358" s="44">
        <f>SUMIFS(Calc_NetworkV_2[Powercor],Calc_NetworkV_2[[Cost item]:[Cost item]],$C357,Calc_NetworkV_2[[Customer type]:[Customer type]],$F358)</f>
        <v>2.46E-2</v>
      </c>
      <c r="K358" s="44">
        <f>SUMIFS(Calc_NetworkV_2[United Energy],Calc_NetworkV_2[[Cost item]:[Cost item]],$C357,Calc_NetworkV_2[[Customer type]:[Customer type]],$F358)</f>
        <v>2.4399999999999998E-2</v>
      </c>
    </row>
    <row r="359" spans="2:11" hidden="1" outlineLevel="1" x14ac:dyDescent="0.25">
      <c r="B359"/>
      <c r="C359" s="18" t="s">
        <v>363</v>
      </c>
      <c r="D359" s="18" t="s">
        <v>58</v>
      </c>
      <c r="E359" s="18" t="s">
        <v>69</v>
      </c>
      <c r="F359" s="18" t="s">
        <v>66</v>
      </c>
      <c r="G359" s="44">
        <f>SUMIFS(Calc_Variable_2[Ausnet],Calc_Variable_2[[Customer type]:[Customer type]],"All")+SUMIFS(Calc_Variable_2[Ausnet],Calc_Variable_2[[Customer type]:[Customer type]],$F359)</f>
        <v>0.20181729362115569</v>
      </c>
      <c r="H359" s="44">
        <f>SUMIFS(Calc_Variable_2[Citipower],Calc_Variable_2[[Customer type]:[Customer type]],"All")+SUMIFS(Calc_Variable_2[Citipower],Calc_Variable_2[[Customer type]:[Customer type]],$F359)</f>
        <v>0.17462826666028453</v>
      </c>
      <c r="I359" s="44">
        <f>SUMIFS(Calc_Variable_2[Jemena],Calc_Variable_2[[Customer type]:[Customer type]],"All")+SUMIFS(Calc_Variable_2[Jemena],Calc_Variable_2[[Customer type]:[Customer type]],$F359)</f>
        <v>0.19140983760327007</v>
      </c>
      <c r="J359" s="44">
        <f>SUMIFS(Calc_Variable_2[Powercor],Calc_Variable_2[[Customer type]:[Customer type]],"All")+SUMIFS(Calc_Variable_2[Powercor],Calc_Variable_2[[Customer type]:[Customer type]],$F359)</f>
        <v>0.19695720400861422</v>
      </c>
      <c r="K359" s="44">
        <f>SUMIFS(Calc_Variable_2[United Energy],Calc_Variable_2[[Customer type]:[Customer type]],"All")+SUMIFS(Calc_Variable_2[United Energy],Calc_Variable_2[[Customer type]:[Customer type]],$F359)</f>
        <v>0.18905875945521777</v>
      </c>
    </row>
    <row r="360" spans="2:11" hidden="1" outlineLevel="1" x14ac:dyDescent="0.25">
      <c r="B360"/>
      <c r="C360" s="18" t="s">
        <v>258</v>
      </c>
      <c r="D360" s="18" t="s">
        <v>58</v>
      </c>
      <c r="E360" s="18" t="s">
        <v>69</v>
      </c>
      <c r="F360" s="18" t="s">
        <v>66</v>
      </c>
      <c r="G360" s="52" cm="1">
        <f t="array" ref="G360">IF(G358=0,"-",
(G358+G359)*Calc_ROM_2[Ausnet])</f>
        <v>1.3899824794909855E-2</v>
      </c>
      <c r="H360" s="52" cm="1">
        <f t="array" ref="H360">IF(H358=0,"-",
(H358+H359)*Calc_ROM_2[Citipower])</f>
        <v>1.1016782932975934E-2</v>
      </c>
      <c r="I360" s="52" cm="1">
        <f t="array" ref="I360">IF(I358=0,"-",
(I358+I359)*Calc_ROM_2[Jemena])</f>
        <v>1.2788150905783125E-2</v>
      </c>
      <c r="J360" s="52" cm="1">
        <f t="array" ref="J360">IF(J358=0,"-",
(J358+J359)*Calc_ROM_2[Powercor])</f>
        <v>1.2407203424482397E-2</v>
      </c>
      <c r="K360" s="52" cm="1">
        <f t="array" ref="K360">IF(K358=0,"-",
(K358+K359)*Calc_ROM_2[United Energy])</f>
        <v>1.1953690529492196E-2</v>
      </c>
    </row>
    <row r="361" spans="2:11" hidden="1" outlineLevel="1" x14ac:dyDescent="0.25">
      <c r="B361"/>
      <c r="C361" s="18" t="s">
        <v>360</v>
      </c>
      <c r="D361" s="18" t="s">
        <v>58</v>
      </c>
      <c r="E361" s="18" t="s">
        <v>69</v>
      </c>
      <c r="F361" s="18" t="s">
        <v>66</v>
      </c>
      <c r="G361" s="52">
        <f>IF(G358=0,"-",
(G358+G359+G360)*GST)</f>
        <v>2.6211098184687157E-2</v>
      </c>
      <c r="H361" s="52">
        <f>IF(H358=0,"-",
(H358+H359+H360)*GST)</f>
        <v>2.0774504959326048E-2</v>
      </c>
      <c r="I361" s="52">
        <f>IF(I358=0,"-",
(I358+I359+I360)*GST)</f>
        <v>2.4114798850905322E-2</v>
      </c>
      <c r="J361" s="52">
        <f>IF(J358=0,"-",
(J358+J359+J360)*GST)</f>
        <v>2.3396440743309665E-2</v>
      </c>
      <c r="K361" s="52">
        <f>IF(K358=0,"-",
(K358+K359+K360)*GST)</f>
        <v>2.2541244998470999E-2</v>
      </c>
    </row>
    <row r="362" spans="2:11" hidden="1" outlineLevel="1" x14ac:dyDescent="0.25">
      <c r="B362"/>
      <c r="C362" s="18" t="str">
        <f>C357&amp;" charge"</f>
        <v>Controlled load charge</v>
      </c>
      <c r="D362" s="18" t="s">
        <v>58</v>
      </c>
      <c r="E362" s="18" t="s">
        <v>69</v>
      </c>
      <c r="F362" s="18" t="s">
        <v>66</v>
      </c>
      <c r="G362" s="53">
        <f>IF(G358=0,"-",
G358+G359+G360+G361)</f>
        <v>0.28832208003155868</v>
      </c>
      <c r="H362" s="53">
        <f>IF(H358=0,"-",
H358+H359+H360+H361)</f>
        <v>0.22851955455258649</v>
      </c>
      <c r="I362" s="53">
        <f>IF(I358=0,"-",
I358+I359+I360+I361)</f>
        <v>0.26526278735995851</v>
      </c>
      <c r="J362" s="53">
        <f>IF(J358=0,"-",
J358+J359+J360+J361)</f>
        <v>0.25736084817640631</v>
      </c>
      <c r="K362" s="53">
        <f>IF(K358=0,"-",
K358+K359+K360+K361)</f>
        <v>0.24795369498318096</v>
      </c>
    </row>
    <row r="363" spans="2:11" hidden="1" outlineLevel="1" x14ac:dyDescent="0.25">
      <c r="B363"/>
      <c r="G363" s="81" cm="1">
        <f t="array" ref="G363">IF(G362="-","-",
IF(ROUND(G362,8)=ROUND((((
SUMIFS(Calc_Variable_2[Ausnet],Calc_Variable_2[[Customer type]:[Customer type]],Calc_Rates!$F362)+
SUMIFS(Calc_Variable_2[Ausnet],Calc_Variable_2[[Customer type]:[Customer type]],"All")+G358)*(1+Calc_ROM_2[Ausnet]))*(1+GST)),8),0,1))</f>
        <v>0</v>
      </c>
      <c r="H363" s="81" cm="1">
        <f t="array" ref="H363">IF(H362="-","-",
IF(ROUND(H362,8)=ROUND((((
SUMIFS(Calc_Variable_2[Citipower],Calc_Variable_2[[Customer type]:[Customer type]],Calc_Rates!$F362)+
SUMIFS(Calc_Variable_2[Citipower],Calc_Variable_2[[Customer type]:[Customer type]],"All")+H358)*(1+Calc_ROM_2[Citipower]))*(1+GST)),8),0,1))</f>
        <v>0</v>
      </c>
      <c r="I363" s="81" cm="1">
        <f t="array" ref="I363">IF(I362="-","-",
IF(ROUND(I362,8)=ROUND((((
SUMIFS(Calc_Variable_2[Jemena],Calc_Variable_2[[Customer type]:[Customer type]],Calc_Rates!$F362)+
SUMIFS(Calc_Variable_2[Jemena],Calc_Variable_2[[Customer type]:[Customer type]],"All")+I358)*(1+Calc_ROM_2[Jemena]))*(1+GST)),8),0,1))</f>
        <v>0</v>
      </c>
      <c r="J363" s="81" cm="1">
        <f t="array" ref="J363">IF(J362="-","-",
IF(ROUND(J362,8)=ROUND((((
SUMIFS(Calc_Variable_2[Powercor],Calc_Variable_2[[Customer type]:[Customer type]],Calc_Rates!$F362)+
SUMIFS(Calc_Variable_2[Powercor],Calc_Variable_2[[Customer type]:[Customer type]],"All")+J358)*(1+Calc_ROM_2[Powercor]))*(1+GST)),8),0,1))</f>
        <v>0</v>
      </c>
      <c r="K363" s="81" cm="1">
        <f t="array" ref="K363">IF(K362="-","-",
IF(ROUND(K362,8)=ROUND((((
SUMIFS(Calc_Variable_2[United Energy],Calc_Variable_2[[Customer type]:[Customer type]],Calc_Rates!$F362)+
SUMIFS(Calc_Variable_2[United Energy],Calc_Variable_2[[Customer type]:[Customer type]],"All")+K358)*(1+Calc_ROM_2[United Energy]))*(1+GST)),8),0,1))</f>
        <v>0</v>
      </c>
    </row>
    <row r="364" spans="2:11" ht="15.75" hidden="1" collapsed="1" x14ac:dyDescent="0.25">
      <c r="B364"/>
      <c r="C364" s="24" t="s">
        <v>370</v>
      </c>
    </row>
    <row r="365" spans="2:11" ht="15.75" hidden="1" outlineLevel="1" x14ac:dyDescent="0.25">
      <c r="B365"/>
      <c r="C365" s="1" t="s">
        <v>368</v>
      </c>
    </row>
    <row r="366" spans="2:11" ht="15.75" hidden="1" outlineLevel="1" x14ac:dyDescent="0.25">
      <c r="B366"/>
      <c r="C366" s="59" t="s">
        <v>68</v>
      </c>
    </row>
    <row r="367" spans="2:11" hidden="1" outlineLevel="1" x14ac:dyDescent="0.25">
      <c r="B367"/>
      <c r="C367" s="18" t="s">
        <v>359</v>
      </c>
      <c r="D367" s="18" t="s">
        <v>58</v>
      </c>
      <c r="E367" s="18" t="s">
        <v>69</v>
      </c>
      <c r="F367" s="18" t="s">
        <v>67</v>
      </c>
      <c r="G367" s="44">
        <f>SUMIFS(Calc_NetworkV_2[Ausnet],Calc_NetworkV_2[[Cost item]:[Cost item]],$C366,Calc_NetworkV_2[[Customer type]:[Customer type]],$F367)</f>
        <v>0.18668411930490375</v>
      </c>
      <c r="H367" s="44">
        <f>SUMIFS(Calc_NetworkV_2[Citipower],Calc_NetworkV_2[[Cost item]:[Cost item]],$C366,Calc_NetworkV_2[[Customer type]:[Customer type]],$F367)</f>
        <v>0</v>
      </c>
      <c r="I367" s="44">
        <f>SUMIFS(Calc_NetworkV_2[Jemena],Calc_NetworkV_2[[Cost item]:[Cost item]],$C366,Calc_NetworkV_2[[Customer type]:[Customer type]],$F367)</f>
        <v>0</v>
      </c>
      <c r="J367" s="44">
        <f>SUMIFS(Calc_NetworkV_2[Powercor],Calc_NetworkV_2[[Cost item]:[Cost item]],$C366,Calc_NetworkV_2[[Customer type]:[Customer type]],$F367)</f>
        <v>0</v>
      </c>
      <c r="K367" s="44">
        <f>SUMIFS(Calc_NetworkV_2[United Energy],Calc_NetworkV_2[[Cost item]:[Cost item]],$C366,Calc_NetworkV_2[[Customer type]:[Customer type]],$F367)</f>
        <v>0</v>
      </c>
    </row>
    <row r="368" spans="2:11" hidden="1" outlineLevel="1" x14ac:dyDescent="0.25">
      <c r="B368"/>
      <c r="C368" s="18" t="s">
        <v>363</v>
      </c>
      <c r="D368" s="18" t="s">
        <v>58</v>
      </c>
      <c r="E368" s="18" t="s">
        <v>69</v>
      </c>
      <c r="F368" s="18" t="s">
        <v>67</v>
      </c>
      <c r="G368" s="44">
        <f>SUMIFS(Calc_Variable_2[Ausnet],Calc_Variable_2[[Customer type]:[Customer type]],"All")+SUMIFS(Calc_Variable_2[Ausnet],Calc_Variable_2[[Customer type]:[Customer type]],$F368)</f>
        <v>0.1722283227437626</v>
      </c>
      <c r="H368" s="44">
        <f>SUMIFS(Calc_Variable_2[Citipower],Calc_Variable_2[[Customer type]:[Customer type]],"All")+SUMIFS(Calc_Variable_2[Citipower],Calc_Variable_2[[Customer type]:[Customer type]],$F368)</f>
        <v>0.16364095710090915</v>
      </c>
      <c r="I368" s="44">
        <f>SUMIFS(Calc_Variable_2[Jemena],Calc_Variable_2[[Customer type]:[Customer type]],"All")+SUMIFS(Calc_Variable_2[Jemena],Calc_Variable_2[[Customer type]:[Customer type]],$F368)</f>
        <v>0.16759264802255802</v>
      </c>
      <c r="J368" s="44">
        <f>SUMIFS(Calc_Variable_2[Powercor],Calc_Variable_2[[Customer type]:[Customer type]],"All")+SUMIFS(Calc_Variable_2[Powercor],Calc_Variable_2[[Customer type]:[Customer type]],$F368)</f>
        <v>0.16670645743789725</v>
      </c>
      <c r="K368" s="44">
        <f>SUMIFS(Calc_Variable_2[United Energy],Calc_Variable_2[[Customer type]:[Customer type]],"All")+SUMIFS(Calc_Variable_2[United Energy],Calc_Variable_2[[Customer type]:[Customer type]],$F368)</f>
        <v>0.16802126454778582</v>
      </c>
    </row>
    <row r="369" spans="2:11" hidden="1" outlineLevel="1" x14ac:dyDescent="0.25">
      <c r="B369"/>
      <c r="C369" s="18" t="s">
        <v>258</v>
      </c>
      <c r="D369" s="18" t="s">
        <v>58</v>
      </c>
      <c r="E369" s="18" t="s">
        <v>69</v>
      </c>
      <c r="F369" s="18" t="s">
        <v>67</v>
      </c>
      <c r="G369" s="52" cm="1">
        <f t="array" ref="G369">IF(G367=0,"-",
(G367+G368)*Calc_ROM_2[Ausnet])</f>
        <v>2.0099096754725317E-2</v>
      </c>
      <c r="H369" s="52" t="str" cm="1">
        <f t="array" ref="H369">IF(H367=0,"-",
(H367+H368)*Calc_ROM_2[Citipower])</f>
        <v>-</v>
      </c>
      <c r="I369" s="52" t="str" cm="1">
        <f t="array" ref="I369">IF(I367=0,"-",
(I367+I368)*Calc_ROM_2[Jemena])</f>
        <v>-</v>
      </c>
      <c r="J369" s="52" t="str" cm="1">
        <f t="array" ref="J369">IF(J367=0,"-",
(J367+J368)*Calc_ROM_2[Powercor])</f>
        <v>-</v>
      </c>
      <c r="K369" s="52" t="str" cm="1">
        <f t="array" ref="K369">IF(K367=0,"-",
(K367+K368)*Calc_ROM_2[United Energy])</f>
        <v>-</v>
      </c>
    </row>
    <row r="370" spans="2:11" hidden="1" outlineLevel="1" x14ac:dyDescent="0.25">
      <c r="B370"/>
      <c r="C370" s="18" t="s">
        <v>360</v>
      </c>
      <c r="D370" s="18" t="s">
        <v>58</v>
      </c>
      <c r="E370" s="18" t="s">
        <v>69</v>
      </c>
      <c r="F370" s="18" t="s">
        <v>67</v>
      </c>
      <c r="G370" s="52">
        <f>IF(G367=0,"-",
(G367+G368+G369)*GST)</f>
        <v>3.790115388033917E-2</v>
      </c>
      <c r="H370" s="52" t="str">
        <f>IF(H367=0,"-",
(H367+H368+H369)*GST)</f>
        <v>-</v>
      </c>
      <c r="I370" s="52" t="str">
        <f>IF(I367=0,"-",
(I367+I368+I369)*GST)</f>
        <v>-</v>
      </c>
      <c r="J370" s="52" t="str">
        <f>IF(J367=0,"-",
(J367+J368+J369)*GST)</f>
        <v>-</v>
      </c>
      <c r="K370" s="52" t="str">
        <f>IF(K367=0,"-",
(K367+K368+K369)*GST)</f>
        <v>-</v>
      </c>
    </row>
    <row r="371" spans="2:11" hidden="1" outlineLevel="1" x14ac:dyDescent="0.25">
      <c r="B371"/>
      <c r="C371" s="18" t="str">
        <f>C366&amp;" charge"</f>
        <v>Block 1 charge</v>
      </c>
      <c r="D371" s="18" t="s">
        <v>58</v>
      </c>
      <c r="E371" s="18" t="s">
        <v>69</v>
      </c>
      <c r="F371" s="18" t="s">
        <v>67</v>
      </c>
      <c r="G371" s="53">
        <f>IF(G367=0,"-",
G367+G368+G369+G370)</f>
        <v>0.41691269268373082</v>
      </c>
      <c r="H371" s="53" t="str">
        <f>IF(H367=0,"-",
H367+H368+H369+H370)</f>
        <v>-</v>
      </c>
      <c r="I371" s="53" t="str">
        <f>IF(I367=0,"-",
I367+I368+I369+I370)</f>
        <v>-</v>
      </c>
      <c r="J371" s="53" t="str">
        <f>IF(J367=0,"-",
J367+J368+J369+J370)</f>
        <v>-</v>
      </c>
      <c r="K371" s="53" t="str">
        <f>IF(K367=0,"-",
K367+K368+K369+K370)</f>
        <v>-</v>
      </c>
    </row>
    <row r="372" spans="2:11" hidden="1" outlineLevel="1" x14ac:dyDescent="0.25">
      <c r="B372"/>
      <c r="G372" s="81" cm="1">
        <f t="array" ref="G372">IF(G371="-","-",
IF(ROUND(G371,8)=ROUND((((
SUMIFS(Calc_Variable_2[Ausnet],Calc_Variable_2[[Customer type]:[Customer type]],Calc_Rates!$F371)+
SUMIFS(Calc_Variable_2[Ausnet],Calc_Variable_2[[Customer type]:[Customer type]],"All")+G367)*(1+Calc_ROM_2[Ausnet]))*(1+GST)),8),0,1))</f>
        <v>0</v>
      </c>
      <c r="H372" s="81" t="str" cm="1">
        <f t="array" ref="H372">IF(H371="-","-",
IF(ROUND(H371,8)=ROUND((((
SUMIFS(Calc_Variable_2[Citipower],Calc_Variable_2[[Customer type]:[Customer type]],Calc_Rates!$F371)+
SUMIFS(Calc_Variable_2[Citipower],Calc_Variable_2[[Customer type]:[Customer type]],"All")+H367)*(1+Calc_ROM_2[Citipower]))*(1+GST)),8),0,1))</f>
        <v>-</v>
      </c>
      <c r="I372" s="81" t="str" cm="1">
        <f t="array" ref="I372">IF(I371="-","-",
IF(ROUND(I371,8)=ROUND((((
SUMIFS(Calc_Variable_2[Jemena],Calc_Variable_2[[Customer type]:[Customer type]],Calc_Rates!$F371)+
SUMIFS(Calc_Variable_2[Jemena],Calc_Variable_2[[Customer type]:[Customer type]],"All")+I367)*(1+Calc_ROM_2[Jemena]))*(1+GST)),8),0,1))</f>
        <v>-</v>
      </c>
      <c r="J372" s="81" t="str" cm="1">
        <f t="array" ref="J372">IF(J371="-","-",
IF(ROUND(J371,8)=ROUND((((
SUMIFS(Calc_Variable_2[Powercor],Calc_Variable_2[[Customer type]:[Customer type]],Calc_Rates!$F371)+
SUMIFS(Calc_Variable_2[Powercor],Calc_Variable_2[[Customer type]:[Customer type]],"All")+J367)*(1+Calc_ROM_2[Powercor]))*(1+GST)),8),0,1))</f>
        <v>-</v>
      </c>
      <c r="K372" s="81" t="str" cm="1">
        <f t="array" ref="K372">IF(K371="-","-",
IF(ROUND(K371,8)=ROUND((((
SUMIFS(Calc_Variable_2[United Energy],Calc_Variable_2[[Customer type]:[Customer type]],Calc_Rates!$F371)+
SUMIFS(Calc_Variable_2[United Energy],Calc_Variable_2[[Customer type]:[Customer type]],"All")+K367)*(1+Calc_ROM_2[United Energy]))*(1+GST)),8),0,1))</f>
        <v>-</v>
      </c>
    </row>
    <row r="373" spans="2:11" ht="15.75" hidden="1" outlineLevel="1" x14ac:dyDescent="0.25">
      <c r="B373"/>
      <c r="C373" s="59" t="s">
        <v>70</v>
      </c>
    </row>
    <row r="374" spans="2:11" hidden="1" outlineLevel="1" x14ac:dyDescent="0.25">
      <c r="B374"/>
      <c r="C374" s="18" t="s">
        <v>359</v>
      </c>
      <c r="D374" s="18" t="s">
        <v>58</v>
      </c>
      <c r="E374" s="18" t="s">
        <v>69</v>
      </c>
      <c r="F374" s="18" t="s">
        <v>67</v>
      </c>
      <c r="G374" s="44">
        <f>SUMIFS(Calc_NetworkV_2[Ausnet],Calc_NetworkV_2[[Cost item]:[Cost item]],$C373,Calc_NetworkV_2[[Customer type]:[Customer type]],$F374)</f>
        <v>0.20620858559880922</v>
      </c>
      <c r="H374" s="44">
        <f>SUMIFS(Calc_NetworkV_2[Citipower],Calc_NetworkV_2[[Cost item]:[Cost item]],$C373,Calc_NetworkV_2[[Customer type]:[Customer type]],$F374)</f>
        <v>0</v>
      </c>
      <c r="I374" s="44">
        <f>SUMIFS(Calc_NetworkV_2[Jemena],Calc_NetworkV_2[[Cost item]:[Cost item]],$C373,Calc_NetworkV_2[[Customer type]:[Customer type]],$F374)</f>
        <v>0</v>
      </c>
      <c r="J374" s="44">
        <f>SUMIFS(Calc_NetworkV_2[Powercor],Calc_NetworkV_2[[Cost item]:[Cost item]],$C373,Calc_NetworkV_2[[Customer type]:[Customer type]],$F374)</f>
        <v>0</v>
      </c>
      <c r="K374" s="44">
        <f>SUMIFS(Calc_NetworkV_2[United Energy],Calc_NetworkV_2[[Cost item]:[Cost item]],$C373,Calc_NetworkV_2[[Customer type]:[Customer type]],$F374)</f>
        <v>0</v>
      </c>
    </row>
    <row r="375" spans="2:11" hidden="1" outlineLevel="1" x14ac:dyDescent="0.25">
      <c r="B375"/>
      <c r="C375" s="18" t="s">
        <v>363</v>
      </c>
      <c r="D375" s="18" t="s">
        <v>58</v>
      </c>
      <c r="E375" s="18" t="s">
        <v>69</v>
      </c>
      <c r="F375" s="18" t="s">
        <v>67</v>
      </c>
      <c r="G375" s="44">
        <f>SUMIFS(Calc_Variable_2[Ausnet],Calc_Variable_2[[Customer type]:[Customer type]],"All")+SUMIFS(Calc_Variable_2[Ausnet],Calc_Variable_2[[Customer type]:[Customer type]],$F375)</f>
        <v>0.1722283227437626</v>
      </c>
      <c r="H375" s="44">
        <f>SUMIFS(Calc_Variable_2[Citipower],Calc_Variable_2[[Customer type]:[Customer type]],"All")+SUMIFS(Calc_Variable_2[Citipower],Calc_Variable_2[[Customer type]:[Customer type]],$F375)</f>
        <v>0.16364095710090915</v>
      </c>
      <c r="I375" s="44">
        <f>SUMIFS(Calc_Variable_2[Jemena],Calc_Variable_2[[Customer type]:[Customer type]],"All")+SUMIFS(Calc_Variable_2[Jemena],Calc_Variable_2[[Customer type]:[Customer type]],$F375)</f>
        <v>0.16759264802255802</v>
      </c>
      <c r="J375" s="44">
        <f>SUMIFS(Calc_Variable_2[Powercor],Calc_Variable_2[[Customer type]:[Customer type]],"All")+SUMIFS(Calc_Variable_2[Powercor],Calc_Variable_2[[Customer type]:[Customer type]],$F375)</f>
        <v>0.16670645743789725</v>
      </c>
      <c r="K375" s="44">
        <f>SUMIFS(Calc_Variable_2[United Energy],Calc_Variable_2[[Customer type]:[Customer type]],"All")+SUMIFS(Calc_Variable_2[United Energy],Calc_Variable_2[[Customer type]:[Customer type]],$F375)</f>
        <v>0.16802126454778582</v>
      </c>
    </row>
    <row r="376" spans="2:11" hidden="1" outlineLevel="1" x14ac:dyDescent="0.25">
      <c r="B376"/>
      <c r="C376" s="18" t="s">
        <v>258</v>
      </c>
      <c r="D376" s="18" t="s">
        <v>58</v>
      </c>
      <c r="E376" s="18" t="s">
        <v>69</v>
      </c>
      <c r="F376" s="18" t="s">
        <v>67</v>
      </c>
      <c r="G376" s="52" cm="1">
        <f t="array" ref="G376">IF(G374=0,"-",
(G374+G375)*Calc_ROM_2[Ausnet])</f>
        <v>2.1192466867184023E-2</v>
      </c>
      <c r="H376" s="52" t="str" cm="1">
        <f t="array" ref="H376">IF(H374=0,"-",
(H374+H375)*Calc_ROM_2[Citipower])</f>
        <v>-</v>
      </c>
      <c r="I376" s="52" t="str" cm="1">
        <f t="array" ref="I376">IF(I374=0,"-",
(I374+I375)*Calc_ROM_2[Jemena])</f>
        <v>-</v>
      </c>
      <c r="J376" s="52" t="str" cm="1">
        <f t="array" ref="J376">IF(J374=0,"-",
(J374+J375)*Calc_ROM_2[Powercor])</f>
        <v>-</v>
      </c>
      <c r="K376" s="52" t="str" cm="1">
        <f t="array" ref="K376">IF(K374=0,"-",
(K374+K375)*Calc_ROM_2[United Energy])</f>
        <v>-</v>
      </c>
    </row>
    <row r="377" spans="2:11" hidden="1" outlineLevel="1" x14ac:dyDescent="0.25">
      <c r="B377"/>
      <c r="C377" s="18" t="s">
        <v>360</v>
      </c>
      <c r="D377" s="18" t="s">
        <v>58</v>
      </c>
      <c r="E377" s="18" t="s">
        <v>69</v>
      </c>
      <c r="F377" s="18" t="s">
        <v>67</v>
      </c>
      <c r="G377" s="52">
        <f>IF(G374=0,"-",
(G374+G375+G376)*GST)</f>
        <v>3.9962937520975586E-2</v>
      </c>
      <c r="H377" s="52" t="str">
        <f>IF(H374=0,"-",
(H374+H375+H376)*GST)</f>
        <v>-</v>
      </c>
      <c r="I377" s="52" t="str">
        <f>IF(I374=0,"-",
(I374+I375+I376)*GST)</f>
        <v>-</v>
      </c>
      <c r="J377" s="52" t="str">
        <f>IF(J374=0,"-",
(J374+J375+J376)*GST)</f>
        <v>-</v>
      </c>
      <c r="K377" s="52" t="str">
        <f>IF(K374=0,"-",
(K374+K375+K376)*GST)</f>
        <v>-</v>
      </c>
    </row>
    <row r="378" spans="2:11" hidden="1" outlineLevel="1" x14ac:dyDescent="0.25">
      <c r="B378"/>
      <c r="C378" s="18" t="str">
        <f>C373&amp;" charge"</f>
        <v>Balance charge</v>
      </c>
      <c r="D378" s="18" t="s">
        <v>58</v>
      </c>
      <c r="E378" s="18" t="s">
        <v>69</v>
      </c>
      <c r="F378" s="18" t="s">
        <v>67</v>
      </c>
      <c r="G378" s="53">
        <f>IF(G374=0,"-",
G374+G375+G376+G377)</f>
        <v>0.4395923127307314</v>
      </c>
      <c r="H378" s="53" t="str">
        <f>IF(H374=0,"-",
H374+H375+H376+H377)</f>
        <v>-</v>
      </c>
      <c r="I378" s="53" t="str">
        <f>IF(I374=0,"-",
I374+I375+I376+I377)</f>
        <v>-</v>
      </c>
      <c r="J378" s="53" t="str">
        <f>IF(J374=0,"-",
J374+J375+J376+J377)</f>
        <v>-</v>
      </c>
      <c r="K378" s="53" t="str">
        <f>IF(K374=0,"-",
K374+K375+K376+K377)</f>
        <v>-</v>
      </c>
    </row>
    <row r="379" spans="2:11" hidden="1" outlineLevel="1" x14ac:dyDescent="0.25">
      <c r="B379"/>
      <c r="G379" s="81" cm="1">
        <f t="array" ref="G379">IF(G378="-","-",
IF(ROUND(G378,8)=ROUND((((
SUMIFS(Calc_Variable_2[Ausnet],Calc_Variable_2[[Customer type]:[Customer type]],Calc_Rates!$F378)+
SUMIFS(Calc_Variable_2[Ausnet],Calc_Variable_2[[Customer type]:[Customer type]],"All")+G374)*(1+Calc_ROM_2[Ausnet]))*(1+GST)),8),0,1))</f>
        <v>0</v>
      </c>
      <c r="H379" s="81" t="str" cm="1">
        <f t="array" ref="H379">IF(H378="-","-",
IF(ROUND(H378,8)=ROUND((((
SUMIFS(Calc_Variable_2[Citipower],Calc_Variable_2[[Customer type]:[Customer type]],Calc_Rates!$F378)+
SUMIFS(Calc_Variable_2[Citipower],Calc_Variable_2[[Customer type]:[Customer type]],"All")+H374)*(1+Calc_ROM_2[Citipower]))*(1+GST)),8),0,1))</f>
        <v>-</v>
      </c>
      <c r="I379" s="81" t="str" cm="1">
        <f t="array" ref="I379">IF(I378="-","-",
IF(ROUND(I378,8)=ROUND((((
SUMIFS(Calc_Variable_2[Jemena],Calc_Variable_2[[Customer type]:[Customer type]],Calc_Rates!$F378)+
SUMIFS(Calc_Variable_2[Jemena],Calc_Variable_2[[Customer type]:[Customer type]],"All")+I374)*(1+Calc_ROM_2[Jemena]))*(1+GST)),8),0,1))</f>
        <v>-</v>
      </c>
      <c r="J379" s="81" t="str" cm="1">
        <f t="array" ref="J379">IF(J378="-","-",
IF(ROUND(J378,8)=ROUND((((
SUMIFS(Calc_Variable_2[Powercor],Calc_Variable_2[[Customer type]:[Customer type]],Calc_Rates!$F378)+
SUMIFS(Calc_Variable_2[Powercor],Calc_Variable_2[[Customer type]:[Customer type]],"All")+J374)*(1+Calc_ROM_2[Powercor]))*(1+GST)),8),0,1))</f>
        <v>-</v>
      </c>
      <c r="K379" s="81" t="str" cm="1">
        <f t="array" ref="K379">IF(K378="-","-",
IF(ROUND(K378,8)=ROUND((((
SUMIFS(Calc_Variable_2[United Energy],Calc_Variable_2[[Customer type]:[Customer type]],Calc_Rates!$F378)+
SUMIFS(Calc_Variable_2[United Energy],Calc_Variable_2[[Customer type]:[Customer type]],"All")+K374)*(1+Calc_ROM_2[United Energy]))*(1+GST)),8),0,1))</f>
        <v>-</v>
      </c>
    </row>
    <row r="380" spans="2:11" ht="15.75" hidden="1" outlineLevel="1" x14ac:dyDescent="0.25">
      <c r="B380"/>
      <c r="C380" s="59" t="s">
        <v>71</v>
      </c>
    </row>
    <row r="381" spans="2:11" hidden="1" outlineLevel="1" x14ac:dyDescent="0.25">
      <c r="B381"/>
      <c r="C381" s="18" t="s">
        <v>359</v>
      </c>
      <c r="D381" s="18" t="s">
        <v>58</v>
      </c>
      <c r="E381" s="18" t="s">
        <v>69</v>
      </c>
      <c r="F381" s="18" t="s">
        <v>67</v>
      </c>
      <c r="G381" s="44">
        <f>SUMIFS(Calc_NetworkV_2[Ausnet],Calc_NetworkV_2[[Cost item]:[Cost item]],$C380,Calc_NetworkV_2[[Customer type]:[Customer type]],$F381)</f>
        <v>0</v>
      </c>
      <c r="H381" s="44">
        <f>SUMIFS(Calc_NetworkV_2[Citipower],Calc_NetworkV_2[[Cost item]:[Cost item]],$C380,Calc_NetworkV_2[[Customer type]:[Customer type]],$F381)</f>
        <v>8.1500000000000003E-2</v>
      </c>
      <c r="I381" s="44">
        <f>SUMIFS(Calc_NetworkV_2[Jemena],Calc_NetworkV_2[[Cost item]:[Cost item]],$C380,Calc_NetworkV_2[[Customer type]:[Customer type]],$F381)</f>
        <v>0.11834</v>
      </c>
      <c r="J381" s="44">
        <f>SUMIFS(Calc_NetworkV_2[Powercor],Calc_NetworkV_2[[Cost item]:[Cost item]],$C380,Calc_NetworkV_2[[Customer type]:[Customer type]],$F381)</f>
        <v>9.8100000000000007E-2</v>
      </c>
      <c r="K381" s="44">
        <f>SUMIFS(Calc_NetworkV_2[United Energy],Calc_NetworkV_2[[Cost item]:[Cost item]],$C380,Calc_NetworkV_2[[Customer type]:[Customer type]],$F381)</f>
        <v>9.3900000000000011E-2</v>
      </c>
    </row>
    <row r="382" spans="2:11" hidden="1" outlineLevel="1" x14ac:dyDescent="0.25">
      <c r="B382"/>
      <c r="C382" s="18" t="s">
        <v>363</v>
      </c>
      <c r="D382" s="18" t="s">
        <v>58</v>
      </c>
      <c r="E382" s="18" t="s">
        <v>69</v>
      </c>
      <c r="F382" s="18" t="s">
        <v>67</v>
      </c>
      <c r="G382" s="44">
        <f>SUMIFS(Calc_Variable_2[Ausnet],Calc_Variable_2[[Customer type]:[Customer type]],"All")+SUMIFS(Calc_Variable_2[Ausnet],Calc_Variable_2[[Customer type]:[Customer type]],$F382)</f>
        <v>0.1722283227437626</v>
      </c>
      <c r="H382" s="44">
        <f>SUMIFS(Calc_Variable_2[Citipower],Calc_Variable_2[[Customer type]:[Customer type]],"All")+SUMIFS(Calc_Variable_2[Citipower],Calc_Variable_2[[Customer type]:[Customer type]],$F382)</f>
        <v>0.16364095710090915</v>
      </c>
      <c r="I382" s="44">
        <f>SUMIFS(Calc_Variable_2[Jemena],Calc_Variable_2[[Customer type]:[Customer type]],"All")+SUMIFS(Calc_Variable_2[Jemena],Calc_Variable_2[[Customer type]:[Customer type]],$F382)</f>
        <v>0.16759264802255802</v>
      </c>
      <c r="J382" s="44">
        <f>SUMIFS(Calc_Variable_2[Powercor],Calc_Variable_2[[Customer type]:[Customer type]],"All")+SUMIFS(Calc_Variable_2[Powercor],Calc_Variable_2[[Customer type]:[Customer type]],$F382)</f>
        <v>0.16670645743789725</v>
      </c>
      <c r="K382" s="44">
        <f>SUMIFS(Calc_Variable_2[United Energy],Calc_Variable_2[[Customer type]:[Customer type]],"All")+SUMIFS(Calc_Variable_2[United Energy],Calc_Variable_2[[Customer type]:[Customer type]],$F382)</f>
        <v>0.16802126454778582</v>
      </c>
    </row>
    <row r="383" spans="2:11" hidden="1" outlineLevel="1" x14ac:dyDescent="0.25">
      <c r="B383"/>
      <c r="C383" s="18" t="s">
        <v>258</v>
      </c>
      <c r="D383" s="18" t="s">
        <v>58</v>
      </c>
      <c r="E383" s="18" t="s">
        <v>69</v>
      </c>
      <c r="F383" s="18" t="s">
        <v>67</v>
      </c>
      <c r="G383" s="52" t="str" cm="1">
        <f t="array" ref="G383">IF(G381=0,"-",
(G381+G382)*Calc_ROM_2[Ausnet])</f>
        <v>-</v>
      </c>
      <c r="H383" s="52" cm="1">
        <f t="array" ref="H383">IF(H381=0,"-",
(H381+H382)*Calc_ROM_2[Citipower])</f>
        <v>1.3727893597650913E-2</v>
      </c>
      <c r="I383" s="52" cm="1">
        <f t="array" ref="I383">IF(I381=0,"-",
(I381+I382)*Calc_ROM_2[Jemena])</f>
        <v>1.6012228289263249E-2</v>
      </c>
      <c r="J383" s="52" cm="1">
        <f t="array" ref="J383">IF(J381=0,"-",
(J381+J382)*Calc_ROM_2[Powercor])</f>
        <v>1.4829161616522247E-2</v>
      </c>
      <c r="K383" s="52" cm="1">
        <f t="array" ref="K383">IF(K381=0,"-",
(K381+K382)*Calc_ROM_2[United Energy])</f>
        <v>1.4667590814676008E-2</v>
      </c>
    </row>
    <row r="384" spans="2:11" hidden="1" outlineLevel="1" x14ac:dyDescent="0.25">
      <c r="B384"/>
      <c r="C384" s="18" t="s">
        <v>360</v>
      </c>
      <c r="D384" s="18" t="s">
        <v>58</v>
      </c>
      <c r="E384" s="18" t="s">
        <v>69</v>
      </c>
      <c r="F384" s="18" t="s">
        <v>67</v>
      </c>
      <c r="G384" s="52" t="str">
        <f>IF(G381=0,"-",
(G381+G382+G383)*GST)</f>
        <v>-</v>
      </c>
      <c r="H384" s="52">
        <f>IF(H381=0,"-",
(H381+H382+H383)*GST)</f>
        <v>2.5886885069856008E-2</v>
      </c>
      <c r="I384" s="52">
        <f>IF(I381=0,"-",
(I381+I382+I383)*GST)</f>
        <v>3.0194487631182126E-2</v>
      </c>
      <c r="J384" s="52">
        <f>IF(J381=0,"-",
(J381+J382+J383)*GST)</f>
        <v>2.7963561905441955E-2</v>
      </c>
      <c r="K384" s="52">
        <f>IF(K381=0,"-",
(K381+K382+K383)*GST)</f>
        <v>2.7658885536246187E-2</v>
      </c>
    </row>
    <row r="385" spans="1:11" hidden="1" outlineLevel="1" x14ac:dyDescent="0.25">
      <c r="B385"/>
      <c r="C385" s="18" t="str">
        <f>C380&amp;" charge"</f>
        <v>Single rate charge</v>
      </c>
      <c r="D385" s="18" t="s">
        <v>58</v>
      </c>
      <c r="E385" s="18" t="s">
        <v>69</v>
      </c>
      <c r="F385" s="18" t="s">
        <v>67</v>
      </c>
      <c r="G385" s="53" t="str">
        <f>IF(G381=0,"-",
G381+G382+G383+G384)</f>
        <v>-</v>
      </c>
      <c r="H385" s="53">
        <f>IF(H381=0,"-",
H381+H382+H383+H384)</f>
        <v>0.28475573576841606</v>
      </c>
      <c r="I385" s="53">
        <f>IF(I381=0,"-",
I381+I382+I383+I384)</f>
        <v>0.33213936394300336</v>
      </c>
      <c r="J385" s="53">
        <f>IF(J381=0,"-",
J381+J382+J383+J384)</f>
        <v>0.3075991809598615</v>
      </c>
      <c r="K385" s="53">
        <f>IF(K381=0,"-",
K381+K382+K383+K384)</f>
        <v>0.30424774089870804</v>
      </c>
    </row>
    <row r="386" spans="1:11" hidden="1" outlineLevel="1" x14ac:dyDescent="0.25">
      <c r="B386"/>
      <c r="G386" s="81" t="str" cm="1">
        <f t="array" ref="G386">IF(G385="-","-",
IF(ROUND(G385,8)=ROUND((((
SUMIFS(Calc_Variable_2[Ausnet],Calc_Variable_2[[Customer type]:[Customer type]],Calc_Rates!$F385)+
SUMIFS(Calc_Variable_2[Ausnet],Calc_Variable_2[[Customer type]:[Customer type]],"All")+G381)*(1+Calc_ROM_2[Ausnet]))*(1+GST)),8),0,1))</f>
        <v>-</v>
      </c>
      <c r="H386" s="81" cm="1">
        <f t="array" ref="H386">IF(H385="-","-",
IF(ROUND(H385,8)=ROUND((((
SUMIFS(Calc_Variable_2[Citipower],Calc_Variable_2[[Customer type]:[Customer type]],Calc_Rates!$F385)+
SUMIFS(Calc_Variable_2[Citipower],Calc_Variable_2[[Customer type]:[Customer type]],"All")+H381)*(1+Calc_ROM_2[Citipower]))*(1+GST)),8),0,1))</f>
        <v>0</v>
      </c>
      <c r="I386" s="81" cm="1">
        <f t="array" ref="I386">IF(I385="-","-",
IF(ROUND(I385,8)=ROUND((((
SUMIFS(Calc_Variable_2[Jemena],Calc_Variable_2[[Customer type]:[Customer type]],Calc_Rates!$F385)+
SUMIFS(Calc_Variable_2[Jemena],Calc_Variable_2[[Customer type]:[Customer type]],"All")+I381)*(1+Calc_ROM_2[Jemena]))*(1+GST)),8),0,1))</f>
        <v>0</v>
      </c>
      <c r="J386" s="81" cm="1">
        <f t="array" ref="J386">IF(J385="-","-",
IF(ROUND(J385,8)=ROUND((((
SUMIFS(Calc_Variable_2[Powercor],Calc_Variable_2[[Customer type]:[Customer type]],Calc_Rates!$F385)+
SUMIFS(Calc_Variable_2[Powercor],Calc_Variable_2[[Customer type]:[Customer type]],"All")+J381)*(1+Calc_ROM_2[Powercor]))*(1+GST)),8),0,1))</f>
        <v>0</v>
      </c>
      <c r="K386" s="81" cm="1">
        <f t="array" ref="K386">IF(K385="-","-",
IF(ROUND(K385,8)=ROUND((((
SUMIFS(Calc_Variable_2[United Energy],Calc_Variable_2[[Customer type]:[Customer type]],Calc_Rates!$F385)+
SUMIFS(Calc_Variable_2[United Energy],Calc_Variable_2[[Customer type]:[Customer type]],"All")+K381)*(1+Calc_ROM_2[United Energy]))*(1+GST)),8),0,1))</f>
        <v>0</v>
      </c>
    </row>
    <row r="387" spans="1:11" ht="15.75" hidden="1" outlineLevel="1" x14ac:dyDescent="0.25">
      <c r="B387"/>
      <c r="C387" s="1" t="s">
        <v>369</v>
      </c>
    </row>
    <row r="388" spans="1:11" ht="15.75" hidden="1" outlineLevel="1" x14ac:dyDescent="0.25">
      <c r="B388"/>
      <c r="C388" s="59" t="s">
        <v>73</v>
      </c>
    </row>
    <row r="389" spans="1:11" hidden="1" outlineLevel="1" x14ac:dyDescent="0.25">
      <c r="B389"/>
      <c r="C389" s="18" t="s">
        <v>359</v>
      </c>
      <c r="D389" s="18" t="s">
        <v>58</v>
      </c>
      <c r="E389" s="18" t="s">
        <v>69</v>
      </c>
      <c r="F389" s="18" t="s">
        <v>67</v>
      </c>
      <c r="G389" s="44">
        <f>SUMIFS(Calc_NetworkV_2[Ausnet],Calc_NetworkV_2[[Cost item]:[Cost item]],$C388,Calc_NetworkV_2[[Customer type]:[Customer type]],$F389)</f>
        <v>0.19642449948699095</v>
      </c>
      <c r="H389" s="44">
        <f>SUMIFS(Calc_NetworkV_2[Citipower],Calc_NetworkV_2[[Cost item]:[Cost item]],$C388,Calc_NetworkV_2[[Customer type]:[Customer type]],$F389)</f>
        <v>0.13269999999999998</v>
      </c>
      <c r="I389" s="44">
        <f>SUMIFS(Calc_NetworkV_2[Jemena],Calc_NetworkV_2[[Cost item]:[Cost item]],$C388,Calc_NetworkV_2[[Customer type]:[Customer type]],$F389)</f>
        <v>0.15096999999999999</v>
      </c>
      <c r="J389" s="44">
        <f>SUMIFS(Calc_NetworkV_2[Powercor],Calc_NetworkV_2[[Cost item]:[Cost item]],$C388,Calc_NetworkV_2[[Customer type]:[Customer type]],$F389)</f>
        <v>0.17460000000000001</v>
      </c>
      <c r="K389" s="44">
        <f>SUMIFS(Calc_NetworkV_2[United Energy],Calc_NetworkV_2[[Cost item]:[Cost item]],$C388,Calc_NetworkV_2[[Customer type]:[Customer type]],$F389)</f>
        <v>0.15410000000000001</v>
      </c>
    </row>
    <row r="390" spans="1:11" hidden="1" outlineLevel="1" x14ac:dyDescent="0.25">
      <c r="B390"/>
      <c r="C390" s="18" t="s">
        <v>363</v>
      </c>
      <c r="D390" s="18" t="s">
        <v>58</v>
      </c>
      <c r="E390" s="18" t="s">
        <v>69</v>
      </c>
      <c r="F390" s="18" t="s">
        <v>67</v>
      </c>
      <c r="G390" s="44">
        <f>SUMIFS(Calc_Variable_2[Ausnet],Calc_Variable_2[[Customer type]:[Customer type]],"All")+SUMIFS(Calc_Variable_2[Ausnet],Calc_Variable_2[[Customer type]:[Customer type]],$F390)</f>
        <v>0.1722283227437626</v>
      </c>
      <c r="H390" s="44">
        <f>SUMIFS(Calc_Variable_2[Citipower],Calc_Variable_2[[Customer type]:[Customer type]],"All")+SUMIFS(Calc_Variable_2[Citipower],Calc_Variable_2[[Customer type]:[Customer type]],$F390)</f>
        <v>0.16364095710090915</v>
      </c>
      <c r="I390" s="44">
        <f>SUMIFS(Calc_Variable_2[Jemena],Calc_Variable_2[[Customer type]:[Customer type]],"All")+SUMIFS(Calc_Variable_2[Jemena],Calc_Variable_2[[Customer type]:[Customer type]],$F390)</f>
        <v>0.16759264802255802</v>
      </c>
      <c r="J390" s="44">
        <f>SUMIFS(Calc_Variable_2[Powercor],Calc_Variable_2[[Customer type]:[Customer type]],"All")+SUMIFS(Calc_Variable_2[Powercor],Calc_Variable_2[[Customer type]:[Customer type]],$F390)</f>
        <v>0.16670645743789725</v>
      </c>
      <c r="K390" s="44">
        <f>SUMIFS(Calc_Variable_2[United Energy],Calc_Variable_2[[Customer type]:[Customer type]],"All")+SUMIFS(Calc_Variable_2[United Energy],Calc_Variable_2[[Customer type]:[Customer type]],$F390)</f>
        <v>0.16802126454778582</v>
      </c>
    </row>
    <row r="391" spans="1:11" hidden="1" outlineLevel="1" x14ac:dyDescent="0.25">
      <c r="B391"/>
      <c r="C391" s="18" t="s">
        <v>258</v>
      </c>
      <c r="D391" s="18" t="s">
        <v>58</v>
      </c>
      <c r="E391" s="18" t="s">
        <v>69</v>
      </c>
      <c r="F391" s="18" t="s">
        <v>67</v>
      </c>
      <c r="G391" s="52" cm="1">
        <f t="array" ref="G391">IF(G389=0,"-",
(G389+G390)*Calc_ROM_2[Ausnet])</f>
        <v>2.0644558044922202E-2</v>
      </c>
      <c r="H391" s="52" cm="1">
        <f t="array" ref="H391">IF(H389=0,"-",
(H389+H390)*Calc_ROM_2[Citipower])</f>
        <v>1.6595093597650913E-2</v>
      </c>
      <c r="I391" s="52" cm="1">
        <f t="array" ref="I391">IF(I389=0,"-",
(I389+I390)*Calc_ROM_2[Jemena])</f>
        <v>1.7839508289263249E-2</v>
      </c>
      <c r="J391" s="52" cm="1">
        <f t="array" ref="J391">IF(J389=0,"-",
(J389+J390)*Calc_ROM_2[Powercor])</f>
        <v>1.9113161616522246E-2</v>
      </c>
      <c r="K391" s="52" cm="1">
        <f t="array" ref="K391">IF(K389=0,"-",
(K389+K390)*Calc_ROM_2[United Energy])</f>
        <v>1.8038790814676006E-2</v>
      </c>
    </row>
    <row r="392" spans="1:11" hidden="1" outlineLevel="1" x14ac:dyDescent="0.25">
      <c r="B392"/>
      <c r="C392" s="18" t="s">
        <v>360</v>
      </c>
      <c r="D392" s="18" t="s">
        <v>58</v>
      </c>
      <c r="E392" s="18" t="s">
        <v>69</v>
      </c>
      <c r="F392" s="18" t="s">
        <v>67</v>
      </c>
      <c r="G392" s="52">
        <f>IF(G389=0,"-",
(G389+G390+G391)*GST)</f>
        <v>3.8929738027567579E-2</v>
      </c>
      <c r="H392" s="52">
        <f>IF(H389=0,"-",
(H389+H390+H391)*GST)</f>
        <v>3.1293605069856005E-2</v>
      </c>
      <c r="I392" s="52">
        <f>IF(I389=0,"-",
(I389+I390+I391)*GST)</f>
        <v>3.3640215631182128E-2</v>
      </c>
      <c r="J392" s="52">
        <f>IF(J389=0,"-",
(J389+J390+J391)*GST)</f>
        <v>3.6041961905441948E-2</v>
      </c>
      <c r="K392" s="52">
        <f>IF(K389=0,"-",
(K389+K390+K391)*GST)</f>
        <v>3.4016005536246188E-2</v>
      </c>
    </row>
    <row r="393" spans="1:11" hidden="1" outlineLevel="1" x14ac:dyDescent="0.25">
      <c r="B393"/>
      <c r="C393" s="18" t="str">
        <f>C388&amp;" charge"</f>
        <v>Peak charge</v>
      </c>
      <c r="D393" s="18" t="s">
        <v>58</v>
      </c>
      <c r="E393" s="18" t="s">
        <v>69</v>
      </c>
      <c r="F393" s="18" t="s">
        <v>67</v>
      </c>
      <c r="G393" s="53">
        <f>IF(G389=0,"-",
G389+G390+G391+G392)</f>
        <v>0.42822711830324334</v>
      </c>
      <c r="H393" s="53">
        <f>IF(H389=0,"-",
H389+H390+H391+H392)</f>
        <v>0.34422965576841608</v>
      </c>
      <c r="I393" s="53">
        <f>IF(I389=0,"-",
I389+I390+I391+I392)</f>
        <v>0.37004237194300338</v>
      </c>
      <c r="J393" s="53">
        <f>IF(J389=0,"-",
J389+J390+J391+J392)</f>
        <v>0.39646158095986145</v>
      </c>
      <c r="K393" s="53">
        <f>IF(K389=0,"-",
K389+K390+K391+K392)</f>
        <v>0.37417606089870803</v>
      </c>
    </row>
    <row r="394" spans="1:11" hidden="1" outlineLevel="1" x14ac:dyDescent="0.25">
      <c r="B394"/>
      <c r="G394" s="81" cm="1">
        <f t="array" ref="G394">IF(G393="-","-",
IF(ROUND(G393,8)=ROUND((((
SUMIFS(Calc_Variable_2[Ausnet],Calc_Variable_2[[Customer type]:[Customer type]],Calc_Rates!$F393)+
SUMIFS(Calc_Variable_2[Ausnet],Calc_Variable_2[[Customer type]:[Customer type]],"All")+G389)*(1+Calc_ROM_2[Ausnet]))*(1+GST)),8),0,1))</f>
        <v>0</v>
      </c>
      <c r="H394" s="81" cm="1">
        <f t="array" ref="H394">IF(H393="-","-",
IF(ROUND(H393,8)=ROUND((((
SUMIFS(Calc_Variable_2[Citipower],Calc_Variable_2[[Customer type]:[Customer type]],Calc_Rates!$F393)+
SUMIFS(Calc_Variable_2[Citipower],Calc_Variable_2[[Customer type]:[Customer type]],"All")+H389)*(1+Calc_ROM_2[Citipower]))*(1+GST)),8),0,1))</f>
        <v>0</v>
      </c>
      <c r="I394" s="81" cm="1">
        <f t="array" ref="I394">IF(I393="-","-",
IF(ROUND(I393,8)=ROUND((((
SUMIFS(Calc_Variable_2[Jemena],Calc_Variable_2[[Customer type]:[Customer type]],Calc_Rates!$F393)+
SUMIFS(Calc_Variable_2[Jemena],Calc_Variable_2[[Customer type]:[Customer type]],"All")+I389)*(1+Calc_ROM_2[Jemena]))*(1+GST)),8),0,1))</f>
        <v>0</v>
      </c>
      <c r="J394" s="81" cm="1">
        <f t="array" ref="J394">IF(J393="-","-",
IF(ROUND(J393,8)=ROUND((((
SUMIFS(Calc_Variable_2[Powercor],Calc_Variable_2[[Customer type]:[Customer type]],Calc_Rates!$F393)+
SUMIFS(Calc_Variable_2[Powercor],Calc_Variable_2[[Customer type]:[Customer type]],"All")+J389)*(1+Calc_ROM_2[Powercor]))*(1+GST)),8),0,1))</f>
        <v>0</v>
      </c>
      <c r="K394" s="81" cm="1">
        <f t="array" ref="K394">IF(K393="-","-",
IF(ROUND(K393,8)=ROUND((((
SUMIFS(Calc_Variable_2[United Energy],Calc_Variable_2[[Customer type]:[Customer type]],Calc_Rates!$F393)+
SUMIFS(Calc_Variable_2[United Energy],Calc_Variable_2[[Customer type]:[Customer type]],"All")+K389)*(1+Calc_ROM_2[United Energy]))*(1+GST)),8),0,1))</f>
        <v>0</v>
      </c>
    </row>
    <row r="395" spans="1:11" ht="15.75" hidden="1" outlineLevel="1" x14ac:dyDescent="0.25">
      <c r="B395"/>
      <c r="C395" s="59" t="s">
        <v>74</v>
      </c>
    </row>
    <row r="396" spans="1:11" hidden="1" outlineLevel="1" x14ac:dyDescent="0.25">
      <c r="B396"/>
      <c r="C396" s="18" t="s">
        <v>359</v>
      </c>
      <c r="D396" s="18" t="s">
        <v>58</v>
      </c>
      <c r="E396" s="18" t="s">
        <v>69</v>
      </c>
      <c r="F396" s="18" t="s">
        <v>67</v>
      </c>
      <c r="G396" s="44">
        <f>SUMIFS(Calc_NetworkV_2[Ausnet],Calc_NetworkV_2[[Cost item]:[Cost item]],$C395,Calc_NetworkV_2[[Customer type]:[Customer type]],$F396)</f>
        <v>4.7425752712530557E-2</v>
      </c>
      <c r="H396" s="44">
        <f>SUMIFS(Calc_NetworkV_2[Citipower],Calc_NetworkV_2[[Cost item]:[Cost item]],$C395,Calc_NetworkV_2[[Customer type]:[Customer type]],$F396)</f>
        <v>2.9500000000000002E-2</v>
      </c>
      <c r="I396" s="44">
        <f>SUMIFS(Calc_NetworkV_2[Jemena],Calc_NetworkV_2[[Cost item]:[Cost item]],$C395,Calc_NetworkV_2[[Customer type]:[Customer type]],$F396)</f>
        <v>3.2259999999999997E-2</v>
      </c>
      <c r="J396" s="44">
        <f>SUMIFS(Calc_NetworkV_2[Powercor],Calc_NetworkV_2[[Cost item]:[Cost item]],$C395,Calc_NetworkV_2[[Customer type]:[Customer type]],$F396)</f>
        <v>3.8800000000000001E-2</v>
      </c>
      <c r="K396" s="44">
        <f>SUMIFS(Calc_NetworkV_2[United Energy],Calc_NetworkV_2[[Cost item]:[Cost item]],$C395,Calc_NetworkV_2[[Customer type]:[Customer type]],$F396)</f>
        <v>3.4299999999999997E-2</v>
      </c>
    </row>
    <row r="397" spans="1:11" hidden="1" outlineLevel="1" x14ac:dyDescent="0.25">
      <c r="B397"/>
      <c r="C397" s="18" t="s">
        <v>363</v>
      </c>
      <c r="D397" s="18" t="s">
        <v>58</v>
      </c>
      <c r="E397" s="18" t="s">
        <v>69</v>
      </c>
      <c r="F397" s="18" t="s">
        <v>67</v>
      </c>
      <c r="G397" s="44">
        <f>SUMIFS(Calc_Variable_2[Ausnet],Calc_Variable_2[[Customer type]:[Customer type]],"All")+SUMIFS(Calc_Variable_2[Ausnet],Calc_Variable_2[[Customer type]:[Customer type]],$F397)</f>
        <v>0.1722283227437626</v>
      </c>
      <c r="H397" s="44">
        <f>SUMIFS(Calc_Variable_2[Citipower],Calc_Variable_2[[Customer type]:[Customer type]],"All")+SUMIFS(Calc_Variable_2[Citipower],Calc_Variable_2[[Customer type]:[Customer type]],$F397)</f>
        <v>0.16364095710090915</v>
      </c>
      <c r="I397" s="44">
        <f>SUMIFS(Calc_Variable_2[Jemena],Calc_Variable_2[[Customer type]:[Customer type]],"All")+SUMIFS(Calc_Variable_2[Jemena],Calc_Variable_2[[Customer type]:[Customer type]],$F397)</f>
        <v>0.16759264802255802</v>
      </c>
      <c r="J397" s="44">
        <f>SUMIFS(Calc_Variable_2[Powercor],Calc_Variable_2[[Customer type]:[Customer type]],"All")+SUMIFS(Calc_Variable_2[Powercor],Calc_Variable_2[[Customer type]:[Customer type]],$F397)</f>
        <v>0.16670645743789725</v>
      </c>
      <c r="K397" s="44">
        <f>SUMIFS(Calc_Variable_2[United Energy],Calc_Variable_2[[Customer type]:[Customer type]],"All")+SUMIFS(Calc_Variable_2[United Energy],Calc_Variable_2[[Customer type]:[Customer type]],$F397)</f>
        <v>0.16802126454778582</v>
      </c>
    </row>
    <row r="398" spans="1:11" ht="15.75" hidden="1" outlineLevel="1" collapsed="1" x14ac:dyDescent="0.25">
      <c r="A398" s="1" t="s">
        <v>35</v>
      </c>
      <c r="B398"/>
      <c r="C398" s="18" t="s">
        <v>258</v>
      </c>
      <c r="D398" s="18" t="s">
        <v>58</v>
      </c>
      <c r="E398" s="18" t="s">
        <v>69</v>
      </c>
      <c r="F398" s="18" t="s">
        <v>67</v>
      </c>
      <c r="G398" s="52" cm="1">
        <f t="array" ref="G398">IF(G396=0,"-",
(G396+G397)*Calc_ROM_2[Ausnet])</f>
        <v>1.2300628225552416E-2</v>
      </c>
      <c r="H398" s="52" cm="1">
        <f t="array" ref="H398">IF(H396=0,"-",
(H396+H397)*Calc_ROM_2[Citipower])</f>
        <v>1.0815893597650911E-2</v>
      </c>
      <c r="I398" s="52" cm="1">
        <f t="array" ref="I398">IF(I396=0,"-",
(I396+I397)*Calc_ROM_2[Jemena])</f>
        <v>1.119174828926325E-2</v>
      </c>
      <c r="J398" s="52" cm="1">
        <f t="array" ref="J398">IF(J396=0,"-",
(J396+J397)*Calc_ROM_2[Powercor])</f>
        <v>1.1508361616522246E-2</v>
      </c>
      <c r="K398" s="52" cm="1">
        <f t="array" ref="K398">IF(K396=0,"-",
(K396+K397)*Calc_ROM_2[United Energy])</f>
        <v>1.1329990814676005E-2</v>
      </c>
    </row>
    <row r="399" spans="1:11" hidden="1" outlineLevel="1" x14ac:dyDescent="0.25">
      <c r="B399"/>
      <c r="C399" s="18" t="s">
        <v>360</v>
      </c>
      <c r="D399" s="18" t="s">
        <v>58</v>
      </c>
      <c r="E399" s="18" t="s">
        <v>69</v>
      </c>
      <c r="F399" s="18" t="s">
        <v>67</v>
      </c>
      <c r="G399" s="52">
        <f>IF(G396=0,"-",
(G396+G397+G398)*GST)</f>
        <v>2.3195470368184559E-2</v>
      </c>
      <c r="H399" s="52">
        <f>IF(H396=0,"-",
(H396+H397+H398)*GST)</f>
        <v>2.0395685069856007E-2</v>
      </c>
      <c r="I399" s="52">
        <f>IF(I396=0,"-",
(I396+I397+I398)*GST)</f>
        <v>2.110443963118213E-2</v>
      </c>
      <c r="J399" s="52">
        <f>IF(J396=0,"-",
(J396+J397+J398)*GST)</f>
        <v>2.1701481905441952E-2</v>
      </c>
      <c r="K399" s="52">
        <f>IF(K396=0,"-",
(K396+K397+K398)*GST)</f>
        <v>2.1365125536246185E-2</v>
      </c>
    </row>
    <row r="400" spans="1:11" hidden="1" outlineLevel="1" x14ac:dyDescent="0.25">
      <c r="B400"/>
      <c r="C400" s="18" t="str">
        <f>C395&amp;" charge"</f>
        <v>Off peak charge</v>
      </c>
      <c r="D400" s="18" t="s">
        <v>58</v>
      </c>
      <c r="E400" s="18" t="s">
        <v>69</v>
      </c>
      <c r="F400" s="18" t="s">
        <v>67</v>
      </c>
      <c r="G400" s="53">
        <f>IF(G396=0,"-",
G396+G397+G398+G399)</f>
        <v>0.2551501740500301</v>
      </c>
      <c r="H400" s="53">
        <f>IF(H396=0,"-",
H396+H397+H398+H399)</f>
        <v>0.22435253576841607</v>
      </c>
      <c r="I400" s="53">
        <f>IF(I396=0,"-",
I396+I397+I398+I399)</f>
        <v>0.23214883594300342</v>
      </c>
      <c r="J400" s="53">
        <f>IF(J396=0,"-",
J396+J397+J398+J399)</f>
        <v>0.23871630095986146</v>
      </c>
      <c r="K400" s="53">
        <f>IF(K396=0,"-",
K396+K397+K398+K399)</f>
        <v>0.23501638089870802</v>
      </c>
    </row>
    <row r="401" spans="2:11" hidden="1" outlineLevel="1" x14ac:dyDescent="0.25">
      <c r="B401"/>
      <c r="G401" s="81" cm="1">
        <f t="array" ref="G401">IF(G400="-","-",
IF(ROUND(G400,8)=ROUND((((
SUMIFS(Calc_Variable_2[Ausnet],Calc_Variable_2[[Customer type]:[Customer type]],Calc_Rates!$F400)+
SUMIFS(Calc_Variable_2[Ausnet],Calc_Variable_2[[Customer type]:[Customer type]],"All")+G396)*(1+Calc_ROM_2[Ausnet]))*(1+GST)),8),0,1))</f>
        <v>0</v>
      </c>
      <c r="H401" s="81" cm="1">
        <f t="array" ref="H401">IF(H400="-","-",
IF(ROUND(H400,8)=ROUND((((
SUMIFS(Calc_Variable_2[Citipower],Calc_Variable_2[[Customer type]:[Customer type]],Calc_Rates!$F400)+
SUMIFS(Calc_Variable_2[Citipower],Calc_Variable_2[[Customer type]:[Customer type]],"All")+H396)*(1+Calc_ROM_2[Citipower]))*(1+GST)),8),0,1))</f>
        <v>0</v>
      </c>
      <c r="I401" s="81" cm="1">
        <f t="array" ref="I401">IF(I400="-","-",
IF(ROUND(I400,8)=ROUND((((
SUMIFS(Calc_Variable_2[Jemena],Calc_Variable_2[[Customer type]:[Customer type]],Calc_Rates!$F400)+
SUMIFS(Calc_Variable_2[Jemena],Calc_Variable_2[[Customer type]:[Customer type]],"All")+I396)*(1+Calc_ROM_2[Jemena]))*(1+GST)),8),0,1))</f>
        <v>0</v>
      </c>
      <c r="J401" s="81" cm="1">
        <f t="array" ref="J401">IF(J400="-","-",
IF(ROUND(J400,8)=ROUND((((
SUMIFS(Calc_Variable_2[Powercor],Calc_Variable_2[[Customer type]:[Customer type]],Calc_Rates!$F400)+
SUMIFS(Calc_Variable_2[Powercor],Calc_Variable_2[[Customer type]:[Customer type]],"All")+J396)*(1+Calc_ROM_2[Powercor]))*(1+GST)),8),0,1))</f>
        <v>0</v>
      </c>
      <c r="K401" s="81" cm="1">
        <f t="array" ref="K401">IF(K400="-","-",
IF(ROUND(K400,8)=ROUND((((
SUMIFS(Calc_Variable_2[United Energy],Calc_Variable_2[[Customer type]:[Customer type]],Calc_Rates!$F400)+
SUMIFS(Calc_Variable_2[United Energy],Calc_Variable_2[[Customer type]:[Customer type]],"All")+K396)*(1+Calc_ROM_2[United Energy]))*(1+GST)),8),0,1))</f>
        <v>0</v>
      </c>
    </row>
    <row r="402" spans="2:11" hidden="1" x14ac:dyDescent="0.25">
      <c r="B402"/>
    </row>
    <row r="403" spans="2:11" ht="16.5" hidden="1" collapsed="1" thickBot="1" x14ac:dyDescent="0.3">
      <c r="B403" s="161">
        <f>MAX(B$3:B402)+0.01</f>
        <v>5.0899999999999981</v>
      </c>
      <c r="C403" s="23" t="s">
        <v>371</v>
      </c>
      <c r="D403" s="23"/>
      <c r="E403" s="23"/>
      <c r="F403" s="23"/>
      <c r="G403" s="23"/>
      <c r="H403" s="23"/>
      <c r="I403" s="23"/>
      <c r="J403" s="23"/>
      <c r="K403" s="23"/>
    </row>
    <row r="404" spans="2:11" hidden="1" outlineLevel="1" x14ac:dyDescent="0.25"/>
    <row r="405" spans="2:11" ht="15.75" hidden="1" outlineLevel="1" x14ac:dyDescent="0.25">
      <c r="C405" s="24" t="s">
        <v>27</v>
      </c>
    </row>
    <row r="406" spans="2:11" ht="15.75" hidden="1" outlineLevel="1" x14ac:dyDescent="0.25">
      <c r="C406" s="39" t="s">
        <v>372</v>
      </c>
      <c r="D406" s="54">
        <f>IFERROR(INDEX(Input_CPI[Indice],MATCH($D$266,Input_CPI[Decision paper],0),1),"-")</f>
        <v>132.6</v>
      </c>
      <c r="I406" s="56"/>
    </row>
    <row r="407" spans="2:11" ht="15.75" hidden="1" outlineLevel="1" x14ac:dyDescent="0.25">
      <c r="C407" s="24"/>
    </row>
    <row r="408" spans="2:11" ht="15.75" hidden="1" outlineLevel="1" x14ac:dyDescent="0.25">
      <c r="C408" s="32" t="s">
        <v>49</v>
      </c>
      <c r="D408" s="32" t="s">
        <v>108</v>
      </c>
      <c r="E408" s="32" t="s">
        <v>56</v>
      </c>
      <c r="F408" s="32" t="s">
        <v>57</v>
      </c>
      <c r="G408" s="32" t="s">
        <v>373</v>
      </c>
      <c r="H408" s="43" t="s">
        <v>374</v>
      </c>
      <c r="I408" s="43" t="s">
        <v>375</v>
      </c>
      <c r="K408" s="56"/>
    </row>
    <row r="409" spans="2:11" hidden="1" outlineLevel="1" x14ac:dyDescent="0.25">
      <c r="C409" s="18" t="s">
        <v>131</v>
      </c>
      <c r="D409" s="18"/>
      <c r="E409" s="18" t="str">
        <f>INDEX(Input_ForRateCalc[Unit],MATCH(Calc_CPI_2[[#This Row],[Cost item]],Input_ForRateCalc[Cost item],0),1)</f>
        <v>$</v>
      </c>
      <c r="F409" s="18" t="str">
        <f>INDEX(Input_ForRateCalc[Customer type],MATCH(Calc_CPI_2[[#This Row],[Cost item]],Input_ForRateCalc[Cost item],0),1)</f>
        <v>All</v>
      </c>
      <c r="G409" s="18" t="str">
        <f>INDEX(Input_CostItemCPI[],MATCH(Calc_CPI_2[[#This Row],[Cost item]],Input_CostItemCPI[Cost item],0),MATCH(Calc_Rates!$D$266,Input_CostItemCPI[#Headers],0))</f>
        <v>Yes</v>
      </c>
      <c r="H409" s="158" cm="1">
        <f t="array" ref="H409">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5.1546391752577324E-2</v>
      </c>
      <c r="I409" s="44" cm="1">
        <f t="array" ref="I409">IFERROR((H409)*
INDEX(Input_ForRateCalc[],MATCH(Calc_CPI_2[[#This Row],[Cost item]:[Cost item]],Input_ForRateCalc[Cost item],0),MATCH($D$266,Inputs!$C$15:$AZ$15,0)),"-")</f>
        <v>6.4721649484536092</v>
      </c>
    </row>
    <row r="410" spans="2:11" hidden="1" outlineLevel="1" x14ac:dyDescent="0.25">
      <c r="C410" s="18" t="s">
        <v>137</v>
      </c>
      <c r="D410" s="18"/>
      <c r="E410" s="18" t="str">
        <f>INDEX(Input_ForRateCalc[Unit],MATCH(Calc_CPI_2[[#This Row],[Cost item]],Input_ForRateCalc[Cost item],0),1)</f>
        <v>$</v>
      </c>
      <c r="F410" s="18" t="str">
        <f>INDEX(Input_ForRateCalc[Customer type],MATCH(Calc_CPI_2[[#This Row],[Cost item]],Input_ForRateCalc[Cost item],0),1)</f>
        <v>All</v>
      </c>
      <c r="G410" s="18" t="str">
        <f>INDEX(Input_CostItemCPI[],MATCH(Calc_CPI_2[[#This Row],[Cost item]],Input_CostItemCPI[Cost item],0),MATCH(Calc_Rates!$D$266,Input_CostItemCPI[#Headers],0))</f>
        <v>No</v>
      </c>
      <c r="H410" s="158" cm="1">
        <f t="array" ref="H410">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v>
      </c>
      <c r="I410" s="44" cm="1">
        <f t="array" ref="I410">IFERROR((H410)*
INDEX(Input_ForRateCalc[],MATCH(Calc_CPI_2[[#This Row],[Cost item]:[Cost item]],Input_ForRateCalc[Cost item],0),MATCH($D$266,Inputs!$C$15:$AZ$15,0)),"-")</f>
        <v>0</v>
      </c>
    </row>
    <row r="411" spans="2:11" hidden="1" outlineLevel="1" x14ac:dyDescent="0.25">
      <c r="C411" s="18" t="s">
        <v>138</v>
      </c>
      <c r="D411" s="18"/>
      <c r="E411" s="18" t="str">
        <f>INDEX(Input_ForRateCalc[Unit],MATCH(Calc_CPI_2[[#This Row],[Cost item]],Input_ForRateCalc[Cost item],0),1)</f>
        <v>$</v>
      </c>
      <c r="F411" s="18" t="str">
        <f>INDEX(Input_ForRateCalc[Customer type],MATCH(Calc_CPI_2[[#This Row],[Cost item]],Input_ForRateCalc[Cost item],0),1)</f>
        <v>All</v>
      </c>
      <c r="G411" s="18" t="str">
        <f>INDEX(Input_CostItemCPI[],MATCH(Calc_CPI_2[[#This Row],[Cost item]],Input_CostItemCPI[Cost item],0),MATCH(Calc_Rates!$D$266,Input_CostItemCPI[#Headers],0))</f>
        <v>Yes</v>
      </c>
      <c r="H411" s="158" cm="1">
        <f t="array" ref="H411">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0.15505226480836234</v>
      </c>
      <c r="I411" s="44" cm="1">
        <f t="array" ref="I411">IFERROR((H411)*
INDEX(Input_ForRateCalc[],MATCH(Calc_CPI_2[[#This Row],[Cost item]:[Cost item]],Input_ForRateCalc[Cost item],0),MATCH($D$266,Inputs!$C$15:$AZ$15,0)),"-")</f>
        <v>5.8919860627177689</v>
      </c>
    </row>
    <row r="412" spans="2:11" hidden="1" outlineLevel="1" x14ac:dyDescent="0.25">
      <c r="C412" s="18" t="s">
        <v>140</v>
      </c>
      <c r="D412" s="18"/>
      <c r="E412" s="18" t="str">
        <f>INDEX(Input_ForRateCalc[Unit],MATCH(Calc_CPI_2[[#This Row],[Cost item]],Input_ForRateCalc[Cost item],0),1)</f>
        <v>$</v>
      </c>
      <c r="F412" s="18" t="str">
        <f>INDEX(Input_ForRateCalc[Customer type],MATCH(Calc_CPI_2[[#This Row],[Cost item]],Input_ForRateCalc[Cost item],0),1)</f>
        <v>All</v>
      </c>
      <c r="G412" s="18" t="str">
        <f>INDEX(Input_CostItemCPI[],MATCH(Calc_CPI_2[[#This Row],[Cost item]],Input_CostItemCPI[Cost item],0),MATCH(Calc_Rates!$D$266,Input_CostItemCPI[#Headers],0))</f>
        <v>No</v>
      </c>
      <c r="H412" s="158" cm="1">
        <f t="array" ref="H412">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v>
      </c>
      <c r="I412" s="44" cm="1">
        <f t="array" ref="I412">IFERROR((H412)*
INDEX(Input_ForRateCalc[],MATCH(Calc_CPI_2[[#This Row],[Cost item]:[Cost item]],Input_ForRateCalc[Cost item],0),MATCH($D$266,Inputs!$C$15:$AZ$15,0)),"-")</f>
        <v>0</v>
      </c>
    </row>
    <row r="413" spans="2:11" hidden="1" outlineLevel="1" x14ac:dyDescent="0.25">
      <c r="C413" s="18" t="s">
        <v>142</v>
      </c>
      <c r="D413" s="18"/>
      <c r="E413" s="18" t="str">
        <f>INDEX(Input_ForRateCalc[Unit],MATCH(Calc_CPI_2[[#This Row],[Cost item]],Input_ForRateCalc[Cost item],0),1)</f>
        <v>$</v>
      </c>
      <c r="F413" s="18" t="str">
        <f>INDEX(Input_ForRateCalc[Customer type],MATCH(Calc_CPI_2[[#This Row],[Cost item]],Input_ForRateCalc[Cost item],0),1)</f>
        <v>All</v>
      </c>
      <c r="G413" s="18" t="str">
        <f>INDEX(Input_CostItemCPI[],MATCH(Calc_CPI_2[[#This Row],[Cost item]],Input_CostItemCPI[Cost item],0),MATCH(Calc_Rates!$D$266,Input_CostItemCPI[#Headers],0))</f>
        <v>Yes</v>
      </c>
      <c r="H413" s="158" cm="1">
        <f t="array" ref="H413">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5.1546391752577324E-2</v>
      </c>
      <c r="I413" s="44" cm="1">
        <f t="array" ref="I413">IFERROR((H413)*
INDEX(Input_ForRateCalc[],MATCH(Calc_CPI_2[[#This Row],[Cost item]:[Cost item]],Input_ForRateCalc[Cost item],0),MATCH($D$266,Inputs!$C$15:$AZ$15,0)),"-")</f>
        <v>0.11091452556252115</v>
      </c>
    </row>
    <row r="414" spans="2:11" hidden="1" outlineLevel="1" x14ac:dyDescent="0.25">
      <c r="C414" s="42" t="s">
        <v>144</v>
      </c>
      <c r="D414" s="18"/>
      <c r="E414" s="18" t="str">
        <f>INDEX(Input_ForRateCalc[Unit],MATCH(Calc_CPI_2[[#This Row],[Cost item]],Input_ForRateCalc[Cost item],0),1)</f>
        <v>$/week</v>
      </c>
      <c r="F414" s="18" t="str">
        <f>INDEX(Input_ForRateCalc[Customer type],MATCH(Calc_CPI_2[[#This Row],[Cost item]],Input_ForRateCalc[Cost item],0),1)</f>
        <v>All</v>
      </c>
      <c r="G414" s="18" t="str">
        <f>INDEX(Input_CostItemCPI[],MATCH(Calc_CPI_2[[#This Row],[Cost item]],Input_CostItemCPI[Cost item],0),MATCH(Calc_Rates!$D$266,Input_CostItemCPI[#Headers],0))</f>
        <v>No</v>
      </c>
      <c r="H414" s="158" cm="1">
        <f t="array" ref="H414">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v>
      </c>
      <c r="I414" s="44" cm="1">
        <f t="array" ref="I414">IFERROR((H414)*
INDEX(Input_ForRateCalc[],MATCH(Calc_CPI_2[[#This Row],[Cost item]:[Cost item]],Input_ForRateCalc[Cost item],0),MATCH($D$266,Inputs!$C$15:$AZ$15,0)),"-")</f>
        <v>0</v>
      </c>
    </row>
    <row r="415" spans="2:11" hidden="1" outlineLevel="1" x14ac:dyDescent="0.25">
      <c r="C415" s="33" t="s">
        <v>146</v>
      </c>
      <c r="D415" s="18"/>
      <c r="E415" s="18" t="str">
        <f>INDEX(Input_ForRateCalc[Unit],MATCH(Calc_CPI_2[[#This Row],[Cost item]],Input_ForRateCalc[Cost item],0),1)</f>
        <v>$/week</v>
      </c>
      <c r="F415" s="18" t="str">
        <f>INDEX(Input_ForRateCalc[Customer type],MATCH(Calc_CPI_2[[#This Row],[Cost item]],Input_ForRateCalc[Cost item],0),1)</f>
        <v>All</v>
      </c>
      <c r="G415" s="18" t="str">
        <f>INDEX(Input_CostItemCPI[],MATCH(Calc_CPI_2[[#This Row],[Cost item]],Input_CostItemCPI[Cost item],0),MATCH(Calc_Rates!$D$266,Input_CostItemCPI[#Headers],0))</f>
        <v>No</v>
      </c>
      <c r="H415" s="158" cm="1">
        <f t="array" ref="H415">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v>
      </c>
      <c r="I415" s="44" cm="1">
        <f t="array" ref="I415">IFERROR((H415)*
INDEX(Input_ForRateCalc[],MATCH(Calc_CPI_2[[#This Row],[Cost item]:[Cost item]],Input_ForRateCalc[Cost item],0),MATCH($D$266,Inputs!$C$15:$AZ$15,0)),"-")</f>
        <v>0</v>
      </c>
    </row>
    <row r="416" spans="2:11" hidden="1" outlineLevel="1" x14ac:dyDescent="0.25">
      <c r="C416" s="33" t="s">
        <v>209</v>
      </c>
      <c r="D416" s="33"/>
      <c r="E416" s="18" t="str">
        <f>INDEX(Input_ForRateCalc[Unit],MATCH(Calc_CPI_2[[#This Row],[Cost item]],Input_ForRateCalc[Cost item],0),1)</f>
        <v>$/MWh</v>
      </c>
      <c r="F416" s="18" t="str">
        <f>INDEX(Input_ForRateCalc[Customer type],MATCH(Calc_CPI_2[[#This Row],[Cost item]],Input_ForRateCalc[Cost item],0),1)</f>
        <v>All</v>
      </c>
      <c r="G416" s="18" t="str">
        <f>INDEX(Input_CostItemCPI[],MATCH(Calc_CPI_2[[#This Row],[Cost item]],Input_CostItemCPI[Cost item],0),MATCH(Calc_Rates!$D$266,Input_CostItemCPI[#Headers],0))</f>
        <v>No</v>
      </c>
      <c r="H416" s="158" cm="1">
        <f t="array" ref="H416">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v>
      </c>
      <c r="I416" s="44" cm="1">
        <f t="array" ref="I416">IFERROR((H416)*
INDEX(Input_ForRateCalc[],MATCH(Calc_CPI_2[[#This Row],[Cost item]:[Cost item]],Input_ForRateCalc[Cost item],0),MATCH($D$266,Inputs!$C$15:$AZ$15,0)),"-")</f>
        <v>0</v>
      </c>
    </row>
    <row r="417" spans="1:11" hidden="1" outlineLevel="1" x14ac:dyDescent="0.25">
      <c r="C417" s="33" t="s">
        <v>213</v>
      </c>
      <c r="D417" s="18"/>
      <c r="E417" s="18" t="str">
        <f>INDEX(Input_ForRateCalc[Unit],MATCH(Calc_CPI_2[[#This Row],[Cost item]],Input_ForRateCalc[Cost item],0),1)</f>
        <v>$/MWh</v>
      </c>
      <c r="F417" s="18" t="s">
        <v>133</v>
      </c>
      <c r="G417" s="18" t="str">
        <f>INDEX(Input_CostItemCPI[],MATCH(Calc_CPI_2[[#This Row],[Cost item]],Input_CostItemCPI[Cost item],0),MATCH(Calc_Rates!$D$266,Input_CostItemCPI[#Headers],0))</f>
        <v>No</v>
      </c>
      <c r="H417" s="158" cm="1">
        <f t="array" ref="H417">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v>
      </c>
      <c r="I417" s="44" cm="1">
        <f t="array" ref="I417">IFERROR((H417)*
INDEX(Input_ForRateCalc[],MATCH(Calc_CPI_2[[#This Row],[Cost item]:[Cost item]],Input_ForRateCalc[Cost item],0),MATCH($D$266,Inputs!$C$15:$AZ$15,0)),"-")</f>
        <v>0</v>
      </c>
    </row>
    <row r="418" spans="1:11" hidden="1" outlineLevel="1" x14ac:dyDescent="0.25">
      <c r="C418" s="33" t="s">
        <v>214</v>
      </c>
      <c r="D418" s="33"/>
      <c r="E418" s="18" t="str">
        <f>INDEX(Input_ForRateCalc[Unit],MATCH(Calc_CPI_2[[#This Row],[Cost item]],Input_ForRateCalc[Cost item],0),1)</f>
        <v>$/MWh</v>
      </c>
      <c r="F418" s="33" t="s">
        <v>133</v>
      </c>
      <c r="G418" s="33" t="str">
        <f>INDEX(Input_CostItemCPI[],MATCH(Calc_CPI_2[[#This Row],[Cost item]],Input_CostItemCPI[Cost item],0),MATCH(Calc_Rates!$D$266,Input_CostItemCPI[#Headers],0))</f>
        <v>No</v>
      </c>
      <c r="H418" s="158" cm="1">
        <f t="array" ref="H418">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v>
      </c>
      <c r="I418" s="44" cm="1">
        <f t="array" ref="I418">IFERROR((H418)*
INDEX(Input_ForRateCalc[],MATCH(Calc_CPI_2[[#This Row],[Cost item]:[Cost item]],Input_ForRateCalc[Cost item],0),MATCH($D$266,Inputs!$C$15:$AZ$15,0)),"-")</f>
        <v>0</v>
      </c>
    </row>
    <row r="419" spans="1:11" hidden="1" outlineLevel="1" x14ac:dyDescent="0.25">
      <c r="C419" s="42" t="s">
        <v>147</v>
      </c>
      <c r="D419" s="18"/>
      <c r="E419" s="18" t="str">
        <f>INDEX(Input_ForRateCalc[Unit],MATCH(Calc_CPI_2[[#This Row],[Cost item]],Input_ForRateCalc[Cost item],0),1)</f>
        <v>$/week</v>
      </c>
      <c r="F419" s="18" t="s">
        <v>133</v>
      </c>
      <c r="G419" s="18" t="str">
        <f>INDEX(Input_CostItemCPI[],MATCH(Calc_CPI_2[[#This Row],[Cost item]],Input_CostItemCPI[Cost item],0),MATCH(Calc_Rates!$D$266,Input_CostItemCPI[#Headers],0))</f>
        <v>No</v>
      </c>
      <c r="H419" s="158" cm="1">
        <f t="array" ref="H419">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v>
      </c>
      <c r="I419" s="44" cm="1">
        <f t="array" ref="I419">IFERROR((H419)*
INDEX(Input_ForRateCalc[],MATCH(Calc_CPI_2[[#This Row],[Cost item]:[Cost item]],Input_ForRateCalc[Cost item],0),MATCH($D$266,Inputs!$C$15:$AZ$15,0)),"-")</f>
        <v>0</v>
      </c>
    </row>
    <row r="420" spans="1:11" hidden="1" outlineLevel="1" x14ac:dyDescent="0.25">
      <c r="C420" s="42" t="s">
        <v>148</v>
      </c>
      <c r="D420" s="18"/>
      <c r="E420" s="18" t="str">
        <f>INDEX(Input_ForRateCalc[Unit],MATCH(Calc_CPI_2[[#This Row],[Cost item]],Input_ForRateCalc[Cost item],0),1)</f>
        <v>$/week</v>
      </c>
      <c r="F420" s="18" t="s">
        <v>133</v>
      </c>
      <c r="G420" s="18" t="str">
        <f>INDEX(Input_CostItemCPI[],MATCH(Calc_CPI_2[[#This Row],[Cost item]],Input_CostItemCPI[Cost item],0),MATCH(Calc_Rates!$D$266,Input_CostItemCPI[#Headers],0))</f>
        <v>No</v>
      </c>
      <c r="H420" s="158" cm="1">
        <f t="array" ref="H420">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v>
      </c>
      <c r="I420" s="44" cm="1">
        <f t="array" ref="I420">IFERROR((H420)*
INDEX(Input_ForRateCalc[],MATCH(Calc_CPI_2[[#This Row],[Cost item]:[Cost item]],Input_ForRateCalc[Cost item],0),MATCH($D$266,Inputs!$C$15:$AZ$15,0)),"-")</f>
        <v>0</v>
      </c>
    </row>
    <row r="421" spans="1:11" hidden="1" outlineLevel="1" x14ac:dyDescent="0.25">
      <c r="C421" s="33" t="s">
        <v>149</v>
      </c>
      <c r="D421" s="18"/>
      <c r="E421" s="18" t="str">
        <f>INDEX(Input_ForRateCalc[Unit],MATCH(Calc_CPI_2[[#This Row],[Cost item]],Input_ForRateCalc[Cost item],0),1)</f>
        <v>$/week</v>
      </c>
      <c r="F421" s="18" t="s">
        <v>133</v>
      </c>
      <c r="G421" s="18" t="str">
        <f>INDEX(Input_CostItemCPI[],MATCH(Calc_CPI_2[[#This Row],[Cost item]],Input_CostItemCPI[Cost item],0),MATCH(Calc_Rates!$D$266,Input_CostItemCPI[#Headers],0))</f>
        <v>No</v>
      </c>
      <c r="H421" s="158" cm="1">
        <f t="array" ref="H421">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v>
      </c>
      <c r="I421" s="44" cm="1">
        <f t="array" ref="I421">IFERROR((H421)*
INDEX(Input_ForRateCalc[],MATCH(Calc_CPI_2[[#This Row],[Cost item]:[Cost item]],Input_ForRateCalc[Cost item],0),MATCH($D$266,Inputs!$C$15:$AZ$15,0)),"-")</f>
        <v>0</v>
      </c>
    </row>
    <row r="422" spans="1:11" hidden="1" outlineLevel="1" x14ac:dyDescent="0.25">
      <c r="C422" s="42" t="s">
        <v>216</v>
      </c>
      <c r="D422" s="18"/>
      <c r="E422" s="18" t="str">
        <f>INDEX(Input_ForRateCalc[Unit],MATCH(Calc_CPI_2[[#This Row],[Cost item]],Input_ForRateCalc[Cost item],0),1)</f>
        <v>$/MWh</v>
      </c>
      <c r="F422" s="18" t="s">
        <v>133</v>
      </c>
      <c r="G422" s="18" t="str">
        <f>INDEX(Input_CostItemCPI[],MATCH(Calc_CPI_2[[#This Row],[Cost item]],Input_CostItemCPI[Cost item],0),MATCH(Calc_Rates!$D$266,Input_CostItemCPI[#Headers],0))</f>
        <v>No</v>
      </c>
      <c r="H422" s="158" cm="1">
        <f t="array" ref="H422">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v>
      </c>
      <c r="I422" s="44" cm="1">
        <f t="array" ref="I422">IFERROR((H422)*
INDEX(Input_ForRateCalc[],MATCH(Calc_CPI_2[[#This Row],[Cost item]:[Cost item]],Input_ForRateCalc[Cost item],0),MATCH($D$266,Inputs!$C$15:$AZ$15,0)),"-")</f>
        <v>0</v>
      </c>
    </row>
    <row r="423" spans="1:11" hidden="1" outlineLevel="1" x14ac:dyDescent="0.25">
      <c r="C423" s="42" t="s">
        <v>217</v>
      </c>
      <c r="D423" s="18"/>
      <c r="E423" s="18" t="str">
        <f>INDEX(Input_ForRateCalc[Unit],MATCH(Calc_CPI_2[[#This Row],[Cost item]],Input_ForRateCalc[Cost item],0),1)</f>
        <v>$/MWh</v>
      </c>
      <c r="F423" s="18" t="s">
        <v>133</v>
      </c>
      <c r="G423" s="18" t="str">
        <f>INDEX(Input_CostItemCPI[],MATCH(Calc_CPI_2[[#This Row],[Cost item]],Input_CostItemCPI[Cost item],0),MATCH(Calc_Rates!$D$266,Input_CostItemCPI[#Headers],0))</f>
        <v>No</v>
      </c>
      <c r="H423" s="158" cm="1">
        <f t="array" ref="H423">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v>
      </c>
      <c r="I423" s="44" cm="1">
        <f t="array" ref="I423">IFERROR((H423)*
INDEX(Input_ForRateCalc[],MATCH(Calc_CPI_2[[#This Row],[Cost item]:[Cost item]],Input_ForRateCalc[Cost item],0),MATCH($D$266,Inputs!$C$15:$AZ$15,0)),"-")</f>
        <v>0</v>
      </c>
    </row>
    <row r="424" spans="1:11" hidden="1" outlineLevel="1" x14ac:dyDescent="0.25">
      <c r="C424" s="42" t="s">
        <v>218</v>
      </c>
      <c r="D424" s="18"/>
      <c r="E424" s="18" t="str">
        <f>INDEX(Input_ForRateCalc[Unit],MATCH(Calc_CPI_2[[#This Row],[Cost item]],Input_ForRateCalc[Cost item],0),1)</f>
        <v>$/MWh</v>
      </c>
      <c r="F424" s="18" t="s">
        <v>133</v>
      </c>
      <c r="G424" s="33" t="str">
        <f>INDEX(Input_CostItemCPI[],MATCH(Calc_CPI_2[[#This Row],[Cost item]],Input_CostItemCPI[Cost item],0),MATCH(Calc_Rates!$D$266,Input_CostItemCPI[#Headers],0))</f>
        <v>No</v>
      </c>
      <c r="H424" s="159" cm="1">
        <f t="array" ref="H424">IF(Calc_CPI_2[[#This Row],[Adjust?]]="No",0,
IFERROR(
($D$406-
INDEX(CPI[Indice],MATCH(
INDEX(Input_ForRateCalc[],MATCH(Calc_CPI_2[[#This Row],[Cost item]:[Cost item]],Input_ForRateCalc[Cost item],0),MATCH($D$266&amp;" - input date",Inputs!C$15:AZ$15,0)),
CPI[Period],0),1))/
INDEX(CPI[Indice],MATCH(
INDEX(Input_ForRateCalc[],MATCH(Calc_CPI_2[[#This Row],[Cost item]:[Cost item]],Input_ForRateCalc[Cost item],0),MATCH($D$266&amp;" - input date",Inputs!C$15:AZ$15,0)),
CPI[Period],0),1),"-"))</f>
        <v>0</v>
      </c>
      <c r="I424" s="51" cm="1">
        <f t="array" ref="I424">IFERROR((H424)*
INDEX(Input_ForRateCalc[],MATCH(Calc_CPI_2[[#This Row],[Cost item]:[Cost item]],Input_ForRateCalc[Cost item],0),MATCH($D$266,Inputs!$C$15:$AZ$15,0)),"-")</f>
        <v>0</v>
      </c>
    </row>
    <row r="425" spans="1:11" hidden="1" outlineLevel="1" x14ac:dyDescent="0.25"/>
    <row r="426" spans="1:11" ht="15.75" hidden="1" outlineLevel="1" x14ac:dyDescent="0.25">
      <c r="C426" s="24" t="s">
        <v>366</v>
      </c>
    </row>
    <row r="427" spans="1:11" ht="15.75" hidden="1" outlineLevel="1" x14ac:dyDescent="0.25">
      <c r="C427" s="32" t="s">
        <v>49</v>
      </c>
      <c r="D427" s="32" t="s">
        <v>108</v>
      </c>
      <c r="E427" s="32" t="s">
        <v>56</v>
      </c>
      <c r="F427" s="32" t="s">
        <v>57</v>
      </c>
      <c r="G427" s="43" t="s">
        <v>59</v>
      </c>
      <c r="H427" s="43" t="s">
        <v>60</v>
      </c>
      <c r="I427" s="43" t="s">
        <v>61</v>
      </c>
      <c r="J427" s="43" t="s">
        <v>62</v>
      </c>
      <c r="K427" s="43" t="s">
        <v>63</v>
      </c>
    </row>
    <row r="428" spans="1:11" hidden="1" outlineLevel="1" x14ac:dyDescent="0.25">
      <c r="C428" s="18" t="s">
        <v>377</v>
      </c>
      <c r="D428" s="18" t="s">
        <v>58</v>
      </c>
      <c r="E428" s="18" t="s">
        <v>259</v>
      </c>
      <c r="F428" s="18" t="s">
        <v>133</v>
      </c>
      <c r="G428" s="61" cm="1">
        <f t="array" ref="G428">IFERROR(INDEX(Input_ForRateCalc[],MATCH(Calc_Losses_2[[#This Row],[Cost item]:[Cost item]]&amp;" - "&amp;Calc_Losses_2[[#Headers],[Ausnet]],Input_ForRateCalc[[Cost item]:[Cost item]],0),MATCH($D$266,Inputs!$C$15:$AZ$15,0)),"-")</f>
        <v>1.0040999999999998</v>
      </c>
      <c r="H428" s="61" cm="1">
        <f t="array" ref="H428">IFERROR(INDEX(Input_ForRateCalc[],MATCH(Calc_Losses_2[[#This Row],[Cost item]:[Cost item]]&amp;" - "&amp;Calc_Losses_2[[#Headers],[Citipower]],Input_ForRateCalc[[Cost item]:[Cost item]],0),MATCH($D$266,Inputs!$C$15:$AZ$15,0)),"-")</f>
        <v>0.99999000000000005</v>
      </c>
      <c r="I428" s="61" cm="1">
        <f t="array" ref="I428">IFERROR(INDEX(Input_ForRateCalc[],MATCH(Calc_Losses_2[[#This Row],[Cost item]:[Cost item]]&amp;" - "&amp;Calc_Losses_2[[#Headers],[Jemena]],Input_ForRateCalc[[Cost item]:[Cost item]],0),MATCH($D$266,Inputs!$C$15:$AZ$15,0)),"-")</f>
        <v>1.0006249999999999</v>
      </c>
      <c r="J428" s="61" cm="1">
        <f t="array" ref="J428">IFERROR(INDEX(Input_ForRateCalc[],MATCH(Calc_Losses_2[[#This Row],[Cost item]:[Cost item]]&amp;" - "&amp;Calc_Losses_2[[#Headers],[Powercor]],Input_ForRateCalc[[Cost item]:[Cost item]],0),MATCH($D$266,Inputs!$C$15:$AZ$15,0)),"-")</f>
        <v>0.9980157894736843</v>
      </c>
      <c r="K428" s="61" cm="1">
        <f t="array" ref="K428">IFERROR(INDEX(Input_ForRateCalc[],MATCH(Calc_Losses_2[[#This Row],[Cost item]:[Cost item]]&amp;" - "&amp;Calc_Losses_2[[#Headers],[United Energy]],Input_ForRateCalc[[Cost item]:[Cost item]],0),MATCH($D$266,Inputs!$C$15:$AZ$15,0)),"-")</f>
        <v>0.99870909090909099</v>
      </c>
    </row>
    <row r="429" spans="1:11" hidden="1" outlineLevel="1" x14ac:dyDescent="0.25">
      <c r="C429" s="18" t="s">
        <v>378</v>
      </c>
      <c r="D429" s="18" t="s">
        <v>58</v>
      </c>
      <c r="E429" s="18" t="s">
        <v>259</v>
      </c>
      <c r="F429" s="18" t="s">
        <v>133</v>
      </c>
      <c r="G429" s="61" cm="1">
        <f t="array" ref="G429">IFERROR(INDEX(Input_ForRateCalc[],MATCH(Calc_Losses_2[[#This Row],[Cost item]:[Cost item]]&amp;" - "&amp;Calc_Losses_2[[#Headers],[Ausnet]],Input_ForRateCalc[[Cost item]:[Cost item]],0),MATCH($D$266,Inputs!$C$15:$AZ$15,0)),"-")</f>
        <v>1.0809876390249804</v>
      </c>
      <c r="H429" s="61" cm="1">
        <f t="array" ref="H429">IFERROR(INDEX(Input_ForRateCalc[],MATCH(Calc_Losses_2[[#This Row],[Cost item]:[Cost item]]&amp;" - "&amp;Calc_Losses_2[[#Headers],[Citipower]],Input_ForRateCalc[[Cost item]:[Cost item]],0),MATCH($D$266,Inputs!$C$15:$AZ$15,0)),"-")</f>
        <v>1.0449999999999999</v>
      </c>
      <c r="I429" s="61" cm="1">
        <f t="array" ref="I429">IFERROR(INDEX(Input_ForRateCalc[],MATCH(Calc_Losses_2[[#This Row],[Cost item]:[Cost item]]&amp;" - "&amp;Calc_Losses_2[[#Headers],[Jemena]],Input_ForRateCalc[[Cost item]:[Cost item]],0),MATCH($D$266,Inputs!$C$15:$AZ$15,0)),"-")</f>
        <v>1.0447</v>
      </c>
      <c r="J429" s="61" cm="1">
        <f t="array" ref="J429">IFERROR(INDEX(Input_ForRateCalc[],MATCH(Calc_Losses_2[[#This Row],[Cost item]:[Cost item]]&amp;" - "&amp;Calc_Losses_2[[#Headers],[Powercor]],Input_ForRateCalc[[Cost item]:[Cost item]],0),MATCH($D$266,Inputs!$C$15:$AZ$15,0)),"-")</f>
        <v>1.0735613169316207</v>
      </c>
      <c r="K429" s="61" cm="1">
        <f t="array" ref="K429">IFERROR(INDEX(Input_ForRateCalc[],MATCH(Calc_Losses_2[[#This Row],[Cost item]:[Cost item]]&amp;" - "&amp;Calc_Losses_2[[#Headers],[United Energy]],Input_ForRateCalc[[Cost item]:[Cost item]],0),MATCH($D$266,Inputs!$C$15:$AZ$15,0)),"-")</f>
        <v>1.0483</v>
      </c>
    </row>
    <row r="430" spans="1:11" hidden="1" outlineLevel="1" x14ac:dyDescent="0.25">
      <c r="C430" s="33" t="s">
        <v>379</v>
      </c>
      <c r="D430" s="18" t="s">
        <v>58</v>
      </c>
      <c r="E430" s="33" t="s">
        <v>259</v>
      </c>
      <c r="F430" s="18" t="s">
        <v>133</v>
      </c>
      <c r="G430" s="159">
        <f>(G428*G429)-1</f>
        <v>8.5419688344982481E-2</v>
      </c>
      <c r="H430" s="159">
        <f>(H428*H429)-1</f>
        <v>4.4989549999999934E-2</v>
      </c>
      <c r="I430" s="159">
        <f>(I428*I429)-1</f>
        <v>4.5352937499999912E-2</v>
      </c>
      <c r="J430" s="159">
        <f>(J428*J429)-1</f>
        <v>7.1431145265919538E-2</v>
      </c>
      <c r="K430" s="159">
        <f>(K428*K429)-1</f>
        <v>4.6946740000000098E-2</v>
      </c>
    </row>
    <row r="431" spans="1:11" hidden="1" outlineLevel="1" x14ac:dyDescent="0.25">
      <c r="B431"/>
    </row>
    <row r="432" spans="1:11" ht="15.75" hidden="1" outlineLevel="1" collapsed="1" x14ac:dyDescent="0.25">
      <c r="A432" s="1" t="s">
        <v>35</v>
      </c>
      <c r="C432" s="24" t="s">
        <v>258</v>
      </c>
    </row>
    <row r="433" spans="1:16" ht="15.75" hidden="1" outlineLevel="1" x14ac:dyDescent="0.25">
      <c r="C433" s="32" t="s">
        <v>49</v>
      </c>
      <c r="D433" s="32" t="s">
        <v>108</v>
      </c>
      <c r="E433" s="32" t="s">
        <v>56</v>
      </c>
      <c r="F433" s="32" t="s">
        <v>57</v>
      </c>
      <c r="G433" s="43" t="s">
        <v>59</v>
      </c>
      <c r="H433" s="43" t="s">
        <v>60</v>
      </c>
      <c r="I433" s="43" t="s">
        <v>61</v>
      </c>
      <c r="J433" s="43" t="s">
        <v>62</v>
      </c>
      <c r="K433" s="43" t="s">
        <v>63</v>
      </c>
    </row>
    <row r="434" spans="1:16" hidden="1" outlineLevel="1" x14ac:dyDescent="0.25">
      <c r="C434" s="18" t="s">
        <v>258</v>
      </c>
      <c r="D434" s="18" t="s">
        <v>58</v>
      </c>
      <c r="E434" s="18" t="s">
        <v>259</v>
      </c>
      <c r="F434" s="18" t="s">
        <v>133</v>
      </c>
      <c r="G434" s="61" cm="1">
        <f t="array" ref="G434">IFERROR(INDEX(Input_ForRateCalc[],MATCH(Calc_ROM_2[[#This Row],[Cost item]:[Cost item]],Input_ForRateCalc[[Cost item]:[Cost item]],0),MATCH($D$266,Inputs!$C$15:$AZ$15,0)),"-")</f>
        <v>5.6000000000000001E-2</v>
      </c>
      <c r="H434" s="61" cm="1">
        <f t="array" ref="H434">IFERROR(INDEX(Input_ForRateCalc[],MATCH(Calc_ROM_2[[#This Row],[Cost item]:[Cost item]],Input_ForRateCalc[[Cost item]:[Cost item]],0),MATCH($D$266,Inputs!$C$15:$AZ$15,0)),"-")</f>
        <v>5.6000000000000001E-2</v>
      </c>
      <c r="I434" s="61" cm="1">
        <f t="array" ref="I434">IFERROR(INDEX(Input_ForRateCalc[],MATCH(Calc_ROM_2[[#This Row],[Cost item]:[Cost item]],Input_ForRateCalc[[Cost item]:[Cost item]],0),MATCH($D$266,Inputs!$C$15:$AZ$15,0)),"-")</f>
        <v>5.6000000000000001E-2</v>
      </c>
      <c r="J434" s="61" cm="1">
        <f t="array" ref="J434">IFERROR(INDEX(Input_ForRateCalc[],MATCH(Calc_ROM_2[[#This Row],[Cost item]:[Cost item]],Input_ForRateCalc[[Cost item]:[Cost item]],0),MATCH($D$266,Inputs!$C$15:$AZ$15,0)),"-")</f>
        <v>5.6000000000000001E-2</v>
      </c>
      <c r="K434" s="61" cm="1">
        <f t="array" ref="K434">IFERROR(INDEX(Input_ForRateCalc[],MATCH(Calc_ROM_2[[#This Row],[Cost item]:[Cost item]],Input_ForRateCalc[[Cost item]:[Cost item]],0),MATCH($D$266,Inputs!$C$15:$AZ$15,0)),"-")</f>
        <v>5.6000000000000001E-2</v>
      </c>
    </row>
    <row r="435" spans="1:16" hidden="1" x14ac:dyDescent="0.25">
      <c r="B435"/>
    </row>
    <row r="436" spans="1:16" hidden="1" x14ac:dyDescent="0.25">
      <c r="B436"/>
    </row>
    <row r="437" spans="1:16" ht="16.5" hidden="1" collapsed="1" thickBot="1" x14ac:dyDescent="0.3">
      <c r="B437" s="161">
        <f>MAX(B$3:B436)+0.01</f>
        <v>5.0999999999999979</v>
      </c>
      <c r="C437" s="23" t="s">
        <v>380</v>
      </c>
      <c r="D437" s="23"/>
      <c r="E437" s="23"/>
      <c r="F437" s="23"/>
      <c r="G437" s="23"/>
      <c r="H437" s="23"/>
      <c r="I437" s="23"/>
      <c r="J437" s="23"/>
      <c r="K437" s="23"/>
    </row>
    <row r="438" spans="1:16" hidden="1" outlineLevel="1" x14ac:dyDescent="0.25"/>
    <row r="439" spans="1:16" ht="15.75" hidden="1" outlineLevel="1" collapsed="1" x14ac:dyDescent="0.25">
      <c r="A439" s="1" t="s">
        <v>35</v>
      </c>
      <c r="C439" s="32" t="s">
        <v>49</v>
      </c>
      <c r="D439" s="32" t="s">
        <v>108</v>
      </c>
      <c r="E439" s="32" t="s">
        <v>56</v>
      </c>
      <c r="F439" s="32" t="s">
        <v>57</v>
      </c>
      <c r="G439" s="43" t="s">
        <v>59</v>
      </c>
      <c r="H439" s="43" t="s">
        <v>60</v>
      </c>
      <c r="I439" s="43" t="s">
        <v>61</v>
      </c>
      <c r="J439" s="43" t="s">
        <v>62</v>
      </c>
      <c r="K439" s="43" t="s">
        <v>63</v>
      </c>
    </row>
    <row r="440" spans="1:16" hidden="1" outlineLevel="1" x14ac:dyDescent="0.25">
      <c r="C440" s="18" t="s">
        <v>381</v>
      </c>
      <c r="D440" s="18" t="s">
        <v>132</v>
      </c>
      <c r="E440" s="18" t="s">
        <v>65</v>
      </c>
      <c r="F440" s="18" t="s">
        <v>133</v>
      </c>
      <c r="G440" s="44" cm="1">
        <f t="array" ref="G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item]],0),MATCH($D$266,Inputs!$C$15:$AZ$15,0))+
INDEX(Input_ForRateCalc[],MATCH(Calc_Retail_2[[#This Row],[Cost item]:[Cost item]]&amp;" - 5 min settlement allowance",Input_ForRateCalc[[Cost item]:[Cost item]],0),MATCH($D$266,Inputs!$C$15:$AZ$15,0))+
INDEX(Input_ForRateCalc[],MATCH(Calc_Retail_2[[#This Row],[Cost item]:[Cost item]]&amp;" - regulatory cost allowance",Input_ForRateCalc[[Cost item]:[Cost item]],0),MATCH($D$266,Inputs!$C$15:$AZ$15,0))+
INDEX(Input_ForRateCalc[],MATCH(Calc_Retail_2[[#This Row],[Cost item]:[Cost item]]&amp;" - bad debt allowance",Input_ForRateCalc[[Cost item]:[Cost item]],0),MATCH($D$266,Inputs!$C$15:$AZ$15,0)),"-")</f>
        <v>132.03216494845361</v>
      </c>
      <c r="H440" s="44" cm="1">
        <f t="array" ref="H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item]],0),MATCH($D$266,Inputs!$C$15:$AZ$15,0))+
INDEX(Input_ForRateCalc[],MATCH(Calc_Retail_2[[#This Row],[Cost item]:[Cost item]]&amp;" - 5 min settlement allowance",Input_ForRateCalc[[Cost item]:[Cost item]],0),MATCH($D$266,Inputs!$C$15:$AZ$15,0))+
INDEX(Input_ForRateCalc[],MATCH(Calc_Retail_2[[#This Row],[Cost item]:[Cost item]]&amp;" - regulatory cost allowance",Input_ForRateCalc[[Cost item]:[Cost item]],0),MATCH($D$266,Inputs!$C$15:$AZ$15,0))+
INDEX(Input_ForRateCalc[],MATCH(Calc_Retail_2[[#This Row],[Cost item]:[Cost item]]&amp;" - bad debt allowance",Input_ForRateCalc[[Cost item]:[Cost item]],0),MATCH($D$266,Inputs!$C$15:$AZ$15,0)),"-")</f>
        <v>132.03216494845361</v>
      </c>
      <c r="I440" s="44" cm="1">
        <f t="array" ref="I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item]],0),MATCH($D$266,Inputs!$C$15:$AZ$15,0))+
INDEX(Input_ForRateCalc[],MATCH(Calc_Retail_2[[#This Row],[Cost item]:[Cost item]]&amp;" - 5 min settlement allowance",Input_ForRateCalc[[Cost item]:[Cost item]],0),MATCH($D$266,Inputs!$C$15:$AZ$15,0))+
INDEX(Input_ForRateCalc[],MATCH(Calc_Retail_2[[#This Row],[Cost item]:[Cost item]]&amp;" - regulatory cost allowance",Input_ForRateCalc[[Cost item]:[Cost item]],0),MATCH($D$266,Inputs!$C$15:$AZ$15,0))+
INDEX(Input_ForRateCalc[],MATCH(Calc_Retail_2[[#This Row],[Cost item]:[Cost item]]&amp;" - bad debt allowance",Input_ForRateCalc[[Cost item]:[Cost item]],0),MATCH($D$266,Inputs!$C$15:$AZ$15,0)),"-")</f>
        <v>132.03216494845361</v>
      </c>
      <c r="J440" s="44" cm="1">
        <f t="array" ref="J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item]],0),MATCH($D$266,Inputs!$C$15:$AZ$15,0))+
INDEX(Input_ForRateCalc[],MATCH(Calc_Retail_2[[#This Row],[Cost item]:[Cost item]]&amp;" - 5 min settlement allowance",Input_ForRateCalc[[Cost item]:[Cost item]],0),MATCH($D$266,Inputs!$C$15:$AZ$15,0))+
INDEX(Input_ForRateCalc[],MATCH(Calc_Retail_2[[#This Row],[Cost item]:[Cost item]]&amp;" - regulatory cost allowance",Input_ForRateCalc[[Cost item]:[Cost item]],0),MATCH($D$266,Inputs!$C$15:$AZ$15,0))+
INDEX(Input_ForRateCalc[],MATCH(Calc_Retail_2[[#This Row],[Cost item]:[Cost item]]&amp;" - bad debt allowance",Input_ForRateCalc[[Cost item]:[Cost item]],0),MATCH($D$266,Inputs!$C$15:$AZ$15,0)),"-")</f>
        <v>132.03216494845361</v>
      </c>
      <c r="K440" s="44" cm="1">
        <f t="array" ref="K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item]],0),MATCH($D$266,Inputs!$C$15:$AZ$15,0))+
INDEX(Input_ForRateCalc[],MATCH(Calc_Retail_2[[#This Row],[Cost item]:[Cost item]]&amp;" - 5 min settlement allowance",Input_ForRateCalc[[Cost item]:[Cost item]],0),MATCH($D$266,Inputs!$C$15:$AZ$15,0))+
INDEX(Input_ForRateCalc[],MATCH(Calc_Retail_2[[#This Row],[Cost item]:[Cost item]]&amp;" - regulatory cost allowance",Input_ForRateCalc[[Cost item]:[Cost item]],0),MATCH($D$266,Inputs!$C$15:$AZ$15,0))+
INDEX(Input_ForRateCalc[],MATCH(Calc_Retail_2[[#This Row],[Cost item]:[Cost item]]&amp;" - bad debt allowance",Input_ForRateCalc[[Cost item]:[Cost item]],0),MATCH($D$266,Inputs!$C$15:$AZ$15,0)),"-")</f>
        <v>132.03216494845361</v>
      </c>
    </row>
    <row r="441" spans="1:16" hidden="1" outlineLevel="1" x14ac:dyDescent="0.25">
      <c r="C441" s="33" t="s">
        <v>138</v>
      </c>
      <c r="D441" s="33" t="s">
        <v>132</v>
      </c>
      <c r="E441" s="18" t="s">
        <v>65</v>
      </c>
      <c r="F441" s="18" t="s">
        <v>133</v>
      </c>
      <c r="G441" s="44" cm="1">
        <f t="array" ref="G441">IFERROR(
IFERROR(INDEX(Calc_CPI_2[[CPI uplift factor]:[CPI uplift factor]],MATCH(Calc_Retail_2[[#This Row],[Cost item]:[Cost item]],Calc_CPI_1[[Cost item]:[Cost item]],0),1),0)+
INDEX(Input_ForRateCalc[],MATCH(Calc_Retail_2[[#This Row],[Cost item]:[Cost item]],Input_ForRateCalc[[Cost item]:[Cost item]],0),MATCH($D$5,Inputs!$C$15:$AZ$15,0)),"-")</f>
        <v>43.89198606271777</v>
      </c>
      <c r="H441" s="44" cm="1">
        <f t="array" ref="H441">IFERROR(
IFERROR(INDEX(Calc_CPI_2[[CPI uplift factor]:[CPI uplift factor]],MATCH(Calc_Retail_2[[#This Row],[Cost item]:[Cost item]],Calc_CPI_1[[Cost item]:[Cost item]],0),1),0)+
INDEX(Input_ForRateCalc[],MATCH(Calc_Retail_2[[#This Row],[Cost item]:[Cost item]],Input_ForRateCalc[[Cost item]:[Cost item]],0),MATCH($D$5,Inputs!$C$15:$AZ$15,0)),"-")</f>
        <v>43.89198606271777</v>
      </c>
      <c r="I441" s="44" cm="1">
        <f t="array" ref="I441">IFERROR(
IFERROR(INDEX(Calc_CPI_2[[CPI uplift factor]:[CPI uplift factor]],MATCH(Calc_Retail_2[[#This Row],[Cost item]:[Cost item]],Calc_CPI_1[[Cost item]:[Cost item]],0),1),0)+
INDEX(Input_ForRateCalc[],MATCH(Calc_Retail_2[[#This Row],[Cost item]:[Cost item]],Input_ForRateCalc[[Cost item]:[Cost item]],0),MATCH($D$5,Inputs!$C$15:$AZ$15,0)),"-")</f>
        <v>43.89198606271777</v>
      </c>
      <c r="J441" s="44" cm="1">
        <f t="array" ref="J441">IFERROR(
IFERROR(INDEX(Calc_CPI_2[[CPI uplift factor]:[CPI uplift factor]],MATCH(Calc_Retail_2[[#This Row],[Cost item]:[Cost item]],Calc_CPI_1[[Cost item]:[Cost item]],0),1),0)+
INDEX(Input_ForRateCalc[],MATCH(Calc_Retail_2[[#This Row],[Cost item]:[Cost item]],Input_ForRateCalc[[Cost item]:[Cost item]],0),MATCH($D$5,Inputs!$C$15:$AZ$15,0)),"-")</f>
        <v>43.89198606271777</v>
      </c>
      <c r="K441" s="44" cm="1">
        <f t="array" ref="K441">IFERROR(
IFERROR(INDEX(Calc_CPI_2[[CPI uplift factor]:[CPI uplift factor]],MATCH(Calc_Retail_2[[#This Row],[Cost item]:[Cost item]],Calc_CPI_1[[Cost item]:[Cost item]],0),1),0)+
INDEX(Input_ForRateCalc[],MATCH(Calc_Retail_2[[#This Row],[Cost item]:[Cost item]],Input_ForRateCalc[[Cost item]:[Cost item]],0),MATCH($D$5,Inputs!$C$15:$AZ$15,0)),"-")</f>
        <v>43.89198606271777</v>
      </c>
    </row>
    <row r="442" spans="1:16" hidden="1" x14ac:dyDescent="0.25"/>
    <row r="443" spans="1:16" ht="16.5" hidden="1" collapsed="1" thickBot="1" x14ac:dyDescent="0.3">
      <c r="B443" s="161">
        <f>MAX(B$3:B442)+0.01</f>
        <v>5.1099999999999977</v>
      </c>
      <c r="C443" s="23" t="s">
        <v>141</v>
      </c>
      <c r="D443" s="23"/>
      <c r="E443" s="23"/>
      <c r="F443" s="23"/>
      <c r="G443" s="23"/>
      <c r="H443" s="23"/>
      <c r="I443" s="23"/>
      <c r="J443" s="23"/>
      <c r="K443" s="23"/>
    </row>
    <row r="444" spans="1:16" hidden="1" outlineLevel="1" x14ac:dyDescent="0.25"/>
    <row r="445" spans="1:16" ht="15.75" hidden="1" outlineLevel="1" x14ac:dyDescent="0.25">
      <c r="C445" s="32" t="s">
        <v>49</v>
      </c>
      <c r="D445" s="32" t="s">
        <v>108</v>
      </c>
      <c r="E445" s="32" t="s">
        <v>56</v>
      </c>
      <c r="F445" s="32" t="s">
        <v>57</v>
      </c>
      <c r="G445" s="43" t="s">
        <v>59</v>
      </c>
      <c r="H445" s="43" t="s">
        <v>60</v>
      </c>
      <c r="I445" s="43" t="s">
        <v>61</v>
      </c>
      <c r="J445" s="43" t="s">
        <v>62</v>
      </c>
      <c r="K445" s="43" t="s">
        <v>63</v>
      </c>
    </row>
    <row r="446" spans="1:16" hidden="1" outlineLevel="1" x14ac:dyDescent="0.25">
      <c r="C446" s="18" t="s">
        <v>142</v>
      </c>
      <c r="D446" s="18" t="s">
        <v>132</v>
      </c>
      <c r="E446" s="18" t="s">
        <v>65</v>
      </c>
      <c r="F446" s="18" t="s">
        <v>133</v>
      </c>
      <c r="G446" s="44" cm="1">
        <f t="array" ref="G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2.2626563214754314</v>
      </c>
      <c r="H446" s="44" cm="1">
        <f t="array" ref="H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2.2626563214754314</v>
      </c>
      <c r="I446" s="44" cm="1">
        <f t="array" ref="I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2.2626563214754314</v>
      </c>
      <c r="J446" s="44" cm="1">
        <f t="array" ref="J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2.2626563214754314</v>
      </c>
      <c r="K446" s="44" cm="1">
        <f t="array" ref="K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2.2626563214754314</v>
      </c>
      <c r="M446" s="62"/>
      <c r="N446" s="62"/>
      <c r="P446" s="138"/>
    </row>
    <row r="447" spans="1:16" hidden="1" outlineLevel="1" x14ac:dyDescent="0.25">
      <c r="C447" s="18" t="s">
        <v>143</v>
      </c>
      <c r="D447" s="18" t="s">
        <v>132</v>
      </c>
      <c r="E447" s="18" t="s">
        <v>65</v>
      </c>
      <c r="F447" s="18" t="s">
        <v>133</v>
      </c>
      <c r="G447" s="44" cm="1">
        <f t="array" ref="G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H447" s="44" cm="1">
        <f t="array" ref="H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I447" s="44" cm="1">
        <f t="array" ref="I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J447" s="44" cm="1">
        <f t="array" ref="J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K447" s="44" cm="1">
        <f t="array" ref="K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M447" s="62"/>
      <c r="N447" s="62"/>
      <c r="P447" s="138"/>
    </row>
    <row r="448" spans="1:16" hidden="1" outlineLevel="1" x14ac:dyDescent="0.25">
      <c r="C448" s="42" t="s">
        <v>144</v>
      </c>
      <c r="D448" s="18" t="s">
        <v>132</v>
      </c>
      <c r="E448" s="18" t="s">
        <v>145</v>
      </c>
      <c r="F448" s="18" t="s">
        <v>133</v>
      </c>
      <c r="G448" s="44" cm="1">
        <f t="array" ref="G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0.65879999999999994</v>
      </c>
      <c r="H448" s="44" cm="1">
        <f t="array" ref="H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0.65879999999999994</v>
      </c>
      <c r="I448" s="44" cm="1">
        <f t="array" ref="I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0.65879999999999994</v>
      </c>
      <c r="J448" s="44" cm="1">
        <f t="array" ref="J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0.65879999999999994</v>
      </c>
      <c r="K448" s="44" cm="1">
        <f t="array" ref="K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0.65879999999999994</v>
      </c>
      <c r="M448" s="62"/>
      <c r="N448" s="62"/>
      <c r="P448" s="138"/>
    </row>
    <row r="449" spans="1:16" hidden="1" outlineLevel="1" x14ac:dyDescent="0.25">
      <c r="C449" s="18" t="s">
        <v>146</v>
      </c>
      <c r="D449" s="18" t="s">
        <v>132</v>
      </c>
      <c r="E449" s="18" t="s">
        <v>145</v>
      </c>
      <c r="F449" s="18" t="s">
        <v>133</v>
      </c>
      <c r="G449" s="44" cm="1">
        <f t="array" ref="G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1.3081885714285715</v>
      </c>
      <c r="H449" s="44" cm="1">
        <f t="array" ref="H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1.3081885714285715</v>
      </c>
      <c r="I449" s="44" cm="1">
        <f t="array" ref="I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1.3081885714285715</v>
      </c>
      <c r="J449" s="44" cm="1">
        <f t="array" ref="J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1.3081885714285715</v>
      </c>
      <c r="K449" s="44" cm="1">
        <f t="array" ref="K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1.3081885714285715</v>
      </c>
      <c r="M449" s="62"/>
      <c r="N449" s="62"/>
      <c r="P449" s="138"/>
    </row>
    <row r="450" spans="1:16" ht="15.75" hidden="1" outlineLevel="1" collapsed="1" x14ac:dyDescent="0.25">
      <c r="A450" s="1" t="s">
        <v>35</v>
      </c>
      <c r="C450" s="18" t="s">
        <v>209</v>
      </c>
      <c r="D450" s="18" t="s">
        <v>178</v>
      </c>
      <c r="E450" s="18" t="s">
        <v>69</v>
      </c>
      <c r="F450" s="18" t="s">
        <v>133</v>
      </c>
      <c r="G450" s="44" cm="1">
        <f t="array" ref="G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2.8255000000000001E-4</v>
      </c>
      <c r="H450" s="44" cm="1">
        <f t="array" ref="H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2.8255000000000001E-4</v>
      </c>
      <c r="I450" s="44" cm="1">
        <f t="array" ref="I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2.8255000000000001E-4</v>
      </c>
      <c r="J450" s="44" cm="1">
        <f t="array" ref="J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2.8255000000000001E-4</v>
      </c>
      <c r="K450" s="44" cm="1">
        <f t="array" ref="K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2.8255000000000001E-4</v>
      </c>
      <c r="M450" s="62"/>
      <c r="N450" s="62"/>
      <c r="O450" s="62"/>
      <c r="P450" s="138"/>
    </row>
    <row r="451" spans="1:16" hidden="1" outlineLevel="1" x14ac:dyDescent="0.25">
      <c r="C451" s="18" t="s">
        <v>211</v>
      </c>
      <c r="D451" s="18" t="s">
        <v>178</v>
      </c>
      <c r="E451" s="18" t="s">
        <v>69</v>
      </c>
      <c r="F451" s="18" t="s">
        <v>133</v>
      </c>
      <c r="G451" s="44" cm="1">
        <f t="array" ref="G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H451" s="44" cm="1">
        <f t="array" ref="H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I451" s="44" cm="1">
        <f t="array" ref="I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J451" s="44" cm="1">
        <f t="array" ref="J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K451" s="44" cm="1">
        <f t="array" ref="K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M451" s="62"/>
      <c r="N451" s="62"/>
      <c r="O451" s="62"/>
      <c r="P451" s="138"/>
    </row>
    <row r="452" spans="1:16" hidden="1" outlineLevel="1" x14ac:dyDescent="0.25">
      <c r="C452" s="18" t="s">
        <v>213</v>
      </c>
      <c r="D452" s="18" t="s">
        <v>178</v>
      </c>
      <c r="E452" s="18" t="s">
        <v>69</v>
      </c>
      <c r="F452" s="18" t="s">
        <v>133</v>
      </c>
      <c r="G452" s="44" cm="1">
        <f t="array" ref="G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9.9959999999999998E-5</v>
      </c>
      <c r="H452" s="44" cm="1">
        <f t="array" ref="H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9.9959999999999998E-5</v>
      </c>
      <c r="I452" s="44" cm="1">
        <f t="array" ref="I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9.9959999999999998E-5</v>
      </c>
      <c r="J452" s="44" cm="1">
        <f t="array" ref="J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9.9959999999999998E-5</v>
      </c>
      <c r="K452" s="44" cm="1">
        <f t="array" ref="K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9.9959999999999998E-5</v>
      </c>
      <c r="M452" s="62"/>
      <c r="N452" s="62"/>
      <c r="O452" s="62"/>
      <c r="P452" s="138"/>
    </row>
    <row r="453" spans="1:16" hidden="1" outlineLevel="1" x14ac:dyDescent="0.25">
      <c r="C453" s="18" t="s">
        <v>214</v>
      </c>
      <c r="D453" s="18" t="s">
        <v>178</v>
      </c>
      <c r="E453" s="18" t="s">
        <v>69</v>
      </c>
      <c r="F453" s="18" t="s">
        <v>133</v>
      </c>
      <c r="G453" s="44" cm="1">
        <f t="array" ref="G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1.184E-5</v>
      </c>
      <c r="H453" s="44" cm="1">
        <f t="array" ref="H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1.184E-5</v>
      </c>
      <c r="I453" s="44" cm="1">
        <f t="array" ref="I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1.184E-5</v>
      </c>
      <c r="J453" s="44" cm="1">
        <f t="array" ref="J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1.184E-5</v>
      </c>
      <c r="K453" s="44" cm="1">
        <f t="array" ref="K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1.184E-5</v>
      </c>
      <c r="M453" s="62"/>
      <c r="N453" s="62"/>
      <c r="O453" s="62"/>
      <c r="P453" s="138"/>
    </row>
    <row r="454" spans="1:16" hidden="1" outlineLevel="1" x14ac:dyDescent="0.25">
      <c r="C454" s="33" t="s">
        <v>212</v>
      </c>
      <c r="D454" s="33" t="s">
        <v>178</v>
      </c>
      <c r="E454" s="18" t="s">
        <v>69</v>
      </c>
      <c r="F454" s="18" t="s">
        <v>133</v>
      </c>
      <c r="G454" s="44" cm="1">
        <f t="array" ref="G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4.8372136646610019E-4</v>
      </c>
      <c r="H454" s="44" cm="1">
        <f t="array" ref="H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4.8372136646610019E-4</v>
      </c>
      <c r="I454" s="44" cm="1">
        <f t="array" ref="I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4.8372136646610019E-4</v>
      </c>
      <c r="J454" s="44" cm="1">
        <f t="array" ref="J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4.8372136646610019E-4</v>
      </c>
      <c r="K454" s="44" cm="1">
        <f t="array" ref="K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4.8372136646610019E-4</v>
      </c>
      <c r="M454" s="62"/>
      <c r="N454" s="62"/>
      <c r="O454" s="62"/>
      <c r="P454" s="138"/>
    </row>
    <row r="455" spans="1:16" hidden="1" outlineLevel="1" x14ac:dyDescent="0.25">
      <c r="C455" s="18" t="s">
        <v>147</v>
      </c>
      <c r="D455" s="18" t="s">
        <v>132</v>
      </c>
      <c r="E455" s="18" t="s">
        <v>145</v>
      </c>
      <c r="F455" s="18" t="s">
        <v>133</v>
      </c>
      <c r="G455" s="44" cm="1">
        <f t="array" ref="G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4.6100314285714283</v>
      </c>
      <c r="H455" s="44" cm="1">
        <f t="array" ref="H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4.6100314285714283</v>
      </c>
      <c r="I455" s="44" cm="1">
        <f t="array" ref="I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4.6100314285714283</v>
      </c>
      <c r="J455" s="44" cm="1">
        <f t="array" ref="J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4.6100314285714283</v>
      </c>
      <c r="K455" s="44" cm="1">
        <f t="array" ref="K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4.6100314285714283</v>
      </c>
      <c r="M455" s="62"/>
      <c r="N455" s="62"/>
      <c r="O455" s="62"/>
      <c r="P455" s="138"/>
    </row>
    <row r="456" spans="1:16" hidden="1" outlineLevel="1" x14ac:dyDescent="0.25">
      <c r="C456" s="18" t="s">
        <v>148</v>
      </c>
      <c r="D456" s="18" t="s">
        <v>132</v>
      </c>
      <c r="E456" s="18" t="s">
        <v>145</v>
      </c>
      <c r="F456" s="18" t="s">
        <v>133</v>
      </c>
      <c r="G456" s="44" cm="1">
        <f t="array" ref="G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0.19345714285714286</v>
      </c>
      <c r="H456" s="44" cm="1">
        <f t="array" ref="H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0.19345714285714286</v>
      </c>
      <c r="I456" s="44" cm="1">
        <f t="array" ref="I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0.19345714285714286</v>
      </c>
      <c r="J456" s="44" cm="1">
        <f t="array" ref="J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0.19345714285714286</v>
      </c>
      <c r="K456" s="44" cm="1">
        <f t="array" ref="K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0.19345714285714286</v>
      </c>
      <c r="M456" s="62"/>
      <c r="N456" s="62"/>
      <c r="O456" s="62"/>
      <c r="P456" s="138"/>
    </row>
    <row r="457" spans="1:16" hidden="1" outlineLevel="1" x14ac:dyDescent="0.25">
      <c r="C457" s="18" t="s">
        <v>149</v>
      </c>
      <c r="D457" s="18" t="s">
        <v>132</v>
      </c>
      <c r="E457" s="18" t="s">
        <v>145</v>
      </c>
      <c r="F457" s="18" t="s">
        <v>133</v>
      </c>
      <c r="G457" s="44" cm="1">
        <f t="array" ref="G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1.6307914285714284</v>
      </c>
      <c r="H457" s="44" cm="1">
        <f t="array" ref="H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1.6307914285714284</v>
      </c>
      <c r="I457" s="44" cm="1">
        <f t="array" ref="I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1.6307914285714284</v>
      </c>
      <c r="J457" s="44" cm="1">
        <f t="array" ref="J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1.6307914285714284</v>
      </c>
      <c r="K457" s="44" cm="1">
        <f t="array" ref="K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1.6307914285714284</v>
      </c>
      <c r="M457" s="62"/>
      <c r="N457" s="62"/>
      <c r="O457" s="62"/>
      <c r="P457" s="138"/>
    </row>
    <row r="458" spans="1:16" hidden="1" outlineLevel="1" x14ac:dyDescent="0.25">
      <c r="C458" s="18" t="s">
        <v>216</v>
      </c>
      <c r="D458" s="18" t="s">
        <v>178</v>
      </c>
      <c r="E458" s="18" t="s">
        <v>69</v>
      </c>
      <c r="F458" s="18" t="s">
        <v>133</v>
      </c>
      <c r="G458" s="44" cm="1">
        <f t="array" ref="G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6.7748437528737052E-4</v>
      </c>
      <c r="H458" s="44" cm="1">
        <f t="array" ref="H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6.7748437528737052E-4</v>
      </c>
      <c r="I458" s="44" cm="1">
        <f t="array" ref="I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6.7748437528737052E-4</v>
      </c>
      <c r="J458" s="44" cm="1">
        <f t="array" ref="J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6.7748437528737052E-4</v>
      </c>
      <c r="K458" s="44" cm="1">
        <f t="array" ref="K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6.7748437528737052E-4</v>
      </c>
      <c r="M458" s="62"/>
      <c r="N458" s="62"/>
      <c r="O458" s="62"/>
      <c r="P458" s="138"/>
    </row>
    <row r="459" spans="1:16" hidden="1" outlineLevel="1" x14ac:dyDescent="0.25">
      <c r="C459" s="18" t="s">
        <v>217</v>
      </c>
      <c r="D459" s="18" t="s">
        <v>178</v>
      </c>
      <c r="E459" s="18" t="s">
        <v>69</v>
      </c>
      <c r="F459" s="18" t="s">
        <v>133</v>
      </c>
      <c r="G459" s="44" cm="1">
        <f t="array" ref="G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1.2361749867236574E-4</v>
      </c>
      <c r="H459" s="44" cm="1">
        <f t="array" ref="H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1.2361749867236574E-4</v>
      </c>
      <c r="I459" s="44" cm="1">
        <f t="array" ref="I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1.2361749867236574E-4</v>
      </c>
      <c r="J459" s="44" cm="1">
        <f t="array" ref="J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1.2361749867236574E-4</v>
      </c>
      <c r="K459" s="44" cm="1">
        <f t="array" ref="K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1.2361749867236574E-4</v>
      </c>
      <c r="M459" s="62"/>
      <c r="N459" s="62"/>
      <c r="O459" s="62"/>
      <c r="P459" s="138"/>
    </row>
    <row r="460" spans="1:16" hidden="1" outlineLevel="1" x14ac:dyDescent="0.25">
      <c r="C460" s="33" t="s">
        <v>218</v>
      </c>
      <c r="D460" s="33" t="s">
        <v>178</v>
      </c>
      <c r="E460" s="33" t="s">
        <v>69</v>
      </c>
      <c r="F460" s="33" t="s">
        <v>133</v>
      </c>
      <c r="G460" s="51" cm="1">
        <f t="array" ref="G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H460" s="51" cm="1">
        <f t="array" ref="H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I460" s="51" cm="1">
        <f t="array" ref="I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J460" s="51" cm="1">
        <f t="array" ref="J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K460" s="51" cm="1">
        <f t="array" ref="K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item]],0),MATCH($D$266,Inputs!$C$15:$AZ$15,0)))/1000),"-")</f>
        <v>0</v>
      </c>
      <c r="M460" s="62"/>
      <c r="N460" s="62"/>
      <c r="O460" s="62"/>
      <c r="P460" s="138"/>
    </row>
    <row r="461" spans="1:16" hidden="1" x14ac:dyDescent="0.25"/>
    <row r="462" spans="1:16" ht="16.5" hidden="1" collapsed="1" thickBot="1" x14ac:dyDescent="0.3">
      <c r="B462" s="161">
        <f>MAX(B$3:B461)+0.01</f>
        <v>5.1199999999999974</v>
      </c>
      <c r="C462" s="23" t="s">
        <v>81</v>
      </c>
      <c r="D462" s="23"/>
      <c r="E462" s="23"/>
      <c r="F462" s="23"/>
      <c r="G462" s="23"/>
      <c r="H462" s="23"/>
      <c r="I462" s="23"/>
      <c r="J462" s="23"/>
      <c r="K462" s="23"/>
      <c r="N462" s="62"/>
    </row>
    <row r="463" spans="1:16" hidden="1" outlineLevel="1" x14ac:dyDescent="0.25"/>
    <row r="464" spans="1:16" ht="15.75" hidden="1" outlineLevel="1" x14ac:dyDescent="0.25">
      <c r="C464" s="24" t="s">
        <v>382</v>
      </c>
    </row>
    <row r="465" spans="3:11" ht="15.75" hidden="1" outlineLevel="1" x14ac:dyDescent="0.25">
      <c r="C465" s="32" t="s">
        <v>49</v>
      </c>
      <c r="D465" s="32" t="s">
        <v>108</v>
      </c>
      <c r="E465" s="32" t="s">
        <v>56</v>
      </c>
      <c r="F465" s="32" t="s">
        <v>57</v>
      </c>
      <c r="G465" s="43" t="s">
        <v>59</v>
      </c>
      <c r="H465" s="43" t="s">
        <v>60</v>
      </c>
      <c r="I465" s="43" t="s">
        <v>61</v>
      </c>
      <c r="J465" s="43" t="s">
        <v>62</v>
      </c>
      <c r="K465" s="43" t="s">
        <v>63</v>
      </c>
    </row>
    <row r="466" spans="3:11" hidden="1" outlineLevel="1" x14ac:dyDescent="0.25">
      <c r="C466" s="18" t="s">
        <v>64</v>
      </c>
      <c r="D466" s="18" t="s">
        <v>132</v>
      </c>
      <c r="E466" s="18" t="s">
        <v>151</v>
      </c>
      <c r="F466" s="18" t="s">
        <v>66</v>
      </c>
      <c r="G466" s="95" cm="1">
        <f t="array" ref="G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item]],0),MATCH($D$266,Inputs!$C$15:$AZ$15,0)),"-")</f>
        <v>132.87190000000001</v>
      </c>
      <c r="H466" s="95" cm="1">
        <f t="array" ref="H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item]],0),MATCH($D$266,Inputs!$C$15:$AZ$15,0)),"-")</f>
        <v>90.255600000000001</v>
      </c>
      <c r="I466" s="95" cm="1">
        <f t="array" ref="I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item]],0),MATCH($D$266,Inputs!$C$15:$AZ$15,0)),"-")</f>
        <v>96.846999999999994</v>
      </c>
      <c r="J466" s="95" cm="1">
        <f t="array" ref="J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item]],0),MATCH($D$266,Inputs!$C$15:$AZ$15,0)),"-")</f>
        <v>140.36100000000002</v>
      </c>
      <c r="K466" s="95" cm="1">
        <f t="array" ref="K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item]],0),MATCH($D$266,Inputs!$C$15:$AZ$15,0)),"-")</f>
        <v>90.218999999999994</v>
      </c>
    </row>
    <row r="467" spans="3:11" hidden="1" outlineLevel="1" x14ac:dyDescent="0.25">
      <c r="C467" s="18" t="s">
        <v>64</v>
      </c>
      <c r="D467" s="18" t="s">
        <v>132</v>
      </c>
      <c r="E467" s="18" t="s">
        <v>151</v>
      </c>
      <c r="F467" s="18" t="s">
        <v>67</v>
      </c>
      <c r="G467" s="95" cm="1">
        <f t="array" ref="G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item]],0),MATCH($D$266,Inputs!$C$15:$AZ$15,0)),"-")</f>
        <v>132.87190000000001</v>
      </c>
      <c r="H467" s="95" cm="1">
        <f t="array" ref="H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item]],0),MATCH($D$266,Inputs!$C$15:$AZ$15,0)),"-")</f>
        <v>150.42600000000002</v>
      </c>
      <c r="I467" s="95" cm="1">
        <f t="array" ref="I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item]],0),MATCH($D$266,Inputs!$C$15:$AZ$15,0)),"-")</f>
        <v>147.858</v>
      </c>
      <c r="J467" s="95" cm="1">
        <f t="array" ref="J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item]],0),MATCH($D$266,Inputs!$C$15:$AZ$15,0)),"-")</f>
        <v>180.47460000000001</v>
      </c>
      <c r="K467" s="95" cm="1">
        <f t="array" ref="K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item]],0),MATCH($D$266,Inputs!$C$15:$AZ$15,0)),"-")</f>
        <v>140.36100000000002</v>
      </c>
    </row>
    <row r="468" spans="3:11" hidden="1" outlineLevel="1" x14ac:dyDescent="0.25">
      <c r="C468" s="18" t="s">
        <v>72</v>
      </c>
      <c r="D468" s="18" t="s">
        <v>132</v>
      </c>
      <c r="E468" s="18" t="s">
        <v>151</v>
      </c>
      <c r="F468" s="18" t="s">
        <v>66</v>
      </c>
      <c r="G468" s="95" cm="1">
        <f t="array" ref="G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item]],0),MATCH($D$266,Inputs!$C$15:$AZ$15,0)),"-")</f>
        <v>132.87190000000001</v>
      </c>
      <c r="H468" s="95" cm="1">
        <f t="array" ref="H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item]],0),MATCH($D$266,Inputs!$C$15:$AZ$15,0)),"-")</f>
        <v>90.255600000000001</v>
      </c>
      <c r="I468" s="95" cm="1">
        <f t="array" ref="I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item]],0),MATCH($D$266,Inputs!$C$15:$AZ$15,0)),"-")</f>
        <v>96.846999999999994</v>
      </c>
      <c r="J468" s="95" cm="1">
        <f t="array" ref="J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item]],0),MATCH($D$266,Inputs!$C$15:$AZ$15,0)),"-")</f>
        <v>140.36100000000002</v>
      </c>
      <c r="K468" s="95" cm="1">
        <f t="array" ref="K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item]],0),MATCH($D$266,Inputs!$C$15:$AZ$15,0)),"-")</f>
        <v>90.218999999999994</v>
      </c>
    </row>
    <row r="469" spans="3:11" hidden="1" outlineLevel="1" x14ac:dyDescent="0.25">
      <c r="C469" s="18" t="s">
        <v>72</v>
      </c>
      <c r="D469" s="18" t="s">
        <v>132</v>
      </c>
      <c r="E469" s="18" t="s">
        <v>151</v>
      </c>
      <c r="F469" s="18" t="s">
        <v>67</v>
      </c>
      <c r="G469" s="95" cm="1">
        <f t="array" ref="G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item]],0),MATCH($D$266,Inputs!$C$15:$AZ$15,0)),"-")</f>
        <v>132.87190000000001</v>
      </c>
      <c r="H469" s="95" cm="1">
        <f t="array" ref="H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item]],0),MATCH($D$266,Inputs!$C$15:$AZ$15,0)),"-")</f>
        <v>150.42600000000002</v>
      </c>
      <c r="I469" s="95" cm="1">
        <f t="array" ref="I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item]],0),MATCH($D$266,Inputs!$C$15:$AZ$15,0)),"-")</f>
        <v>265.79300000000001</v>
      </c>
      <c r="J469" s="95" cm="1">
        <f t="array" ref="J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item]],0),MATCH($D$266,Inputs!$C$15:$AZ$15,0)),"-")</f>
        <v>180.47460000000001</v>
      </c>
      <c r="K469" s="95" cm="1">
        <f t="array" ref="K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item]],0),MATCH($D$266,Inputs!$C$15:$AZ$15,0)),"-")</f>
        <v>140.36100000000002</v>
      </c>
    </row>
    <row r="470" spans="3:11" hidden="1" outlineLevel="1" x14ac:dyDescent="0.25">
      <c r="C470" s="33" t="s">
        <v>357</v>
      </c>
      <c r="D470" s="33" t="s">
        <v>132</v>
      </c>
      <c r="E470" s="18" t="s">
        <v>151</v>
      </c>
      <c r="F470" s="18" t="s">
        <v>133</v>
      </c>
      <c r="G470" s="95" cm="1">
        <f t="array" ref="G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item]],0),MATCH($D$266,Inputs!$C$15:$AZ$15,0)),"-")</f>
        <v>81.098642274190084</v>
      </c>
      <c r="H470" s="95" cm="1">
        <f t="array" ref="H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item]],0),MATCH($D$266,Inputs!$C$15:$AZ$15,0)),"-")</f>
        <v>69.333895686956055</v>
      </c>
      <c r="I470" s="95" cm="1">
        <f t="array" ref="I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item]],0),MATCH($D$266,Inputs!$C$15:$AZ$15,0)),"-")</f>
        <v>60.012342755043747</v>
      </c>
      <c r="J470" s="95" cm="1">
        <f t="array" ref="J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item]],0),MATCH($D$266,Inputs!$C$15:$AZ$15,0)),"-")</f>
        <v>65.762555105520235</v>
      </c>
      <c r="K470" s="95" cm="1">
        <f t="array" ref="K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item]],0),MATCH($D$266,Inputs!$C$15:$AZ$15,0)),"-")</f>
        <v>46.962287631947568</v>
      </c>
    </row>
    <row r="471" spans="3:11" hidden="1" outlineLevel="1" x14ac:dyDescent="0.25"/>
    <row r="472" spans="3:11" ht="15.75" hidden="1" outlineLevel="1" x14ac:dyDescent="0.25">
      <c r="C472" s="24" t="s">
        <v>383</v>
      </c>
    </row>
    <row r="473" spans="3:11" ht="15.75" hidden="1" outlineLevel="1" x14ac:dyDescent="0.25">
      <c r="C473" s="32" t="s">
        <v>49</v>
      </c>
      <c r="D473" s="32" t="s">
        <v>108</v>
      </c>
      <c r="E473" s="32" t="s">
        <v>56</v>
      </c>
      <c r="F473" s="32" t="s">
        <v>57</v>
      </c>
      <c r="G473" s="43" t="s">
        <v>59</v>
      </c>
      <c r="H473" s="43" t="s">
        <v>60</v>
      </c>
      <c r="I473" s="43" t="s">
        <v>61</v>
      </c>
      <c r="J473" s="43" t="s">
        <v>62</v>
      </c>
      <c r="K473" s="43" t="s">
        <v>63</v>
      </c>
    </row>
    <row r="474" spans="3:11" hidden="1" outlineLevel="1" x14ac:dyDescent="0.25">
      <c r="C474" s="18" t="s">
        <v>68</v>
      </c>
      <c r="D474" s="18" t="s">
        <v>178</v>
      </c>
      <c r="E474" s="18" t="s">
        <v>69</v>
      </c>
      <c r="F474" s="18" t="s">
        <v>66</v>
      </c>
      <c r="G474" s="44" cm="1">
        <f t="array" ref="G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MATCH($D$266,Inputs!$C$15:$AZ$15,0)))/100,"-")</f>
        <v>0.1309807741874299</v>
      </c>
      <c r="H474" s="44" t="str" cm="1">
        <f t="array" ref="H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MATCH($D$266,Inputs!$C$15:$AZ$15,0)))/100,"-")</f>
        <v>-</v>
      </c>
      <c r="I474" s="44" t="str" cm="1">
        <f t="array" ref="I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MATCH($D$266,Inputs!$C$15:$AZ$15,0)))/100,"-")</f>
        <v>-</v>
      </c>
      <c r="J474" s="44" t="str" cm="1">
        <f t="array" ref="J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MATCH($D$266,Inputs!$C$15:$AZ$15,0)))/100,"-")</f>
        <v>-</v>
      </c>
      <c r="K474" s="44" t="str" cm="1">
        <f t="array" ref="K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MATCH($D$266,Inputs!$C$15:$AZ$15,0)))/100,"-")</f>
        <v>-</v>
      </c>
    </row>
    <row r="475" spans="3:11" hidden="1" outlineLevel="1" x14ac:dyDescent="0.25">
      <c r="C475" s="18" t="s">
        <v>70</v>
      </c>
      <c r="D475" s="18" t="s">
        <v>178</v>
      </c>
      <c r="E475" s="18" t="s">
        <v>69</v>
      </c>
      <c r="F475" s="18" t="s">
        <v>66</v>
      </c>
      <c r="G475" s="44" cm="1">
        <f t="array" ref="G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MATCH($D$266,Inputs!$C$15:$AZ$15,0)))/100,"-")</f>
        <v>0.13989069468735993</v>
      </c>
      <c r="H475" s="44" t="str" cm="1">
        <f t="array" ref="H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MATCH($D$266,Inputs!$C$15:$AZ$15,0)))/100,"-")</f>
        <v>-</v>
      </c>
      <c r="I475" s="44" t="str" cm="1">
        <f t="array" ref="I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MATCH($D$266,Inputs!$C$15:$AZ$15,0)))/100,"-")</f>
        <v>-</v>
      </c>
      <c r="J475" s="44" t="str" cm="1">
        <f t="array" ref="J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MATCH($D$266,Inputs!$C$15:$AZ$15,0)))/100,"-")</f>
        <v>-</v>
      </c>
      <c r="K475" s="44" t="str" cm="1">
        <f t="array" ref="K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MATCH($D$266,Inputs!$C$15:$AZ$15,0)))/100,"-")</f>
        <v>-</v>
      </c>
    </row>
    <row r="476" spans="3:11" hidden="1" outlineLevel="1" x14ac:dyDescent="0.25">
      <c r="C476" s="18" t="s">
        <v>71</v>
      </c>
      <c r="D476" s="18" t="s">
        <v>178</v>
      </c>
      <c r="E476" s="18" t="s">
        <v>69</v>
      </c>
      <c r="F476" s="18" t="s">
        <v>66</v>
      </c>
      <c r="G476" s="44" t="str" cm="1">
        <f t="array" ref="G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MATCH($D$266,Inputs!$C$15:$AZ$15,0)))/100,"-")</f>
        <v>-</v>
      </c>
      <c r="H476" s="44" cm="1">
        <f t="array" ref="H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MATCH($D$266,Inputs!$C$15:$AZ$15,0)))/100,"-")</f>
        <v>7.3700000000000002E-2</v>
      </c>
      <c r="I476" s="44" cm="1">
        <f t="array" ref="I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MATCH($D$266,Inputs!$C$15:$AZ$15,0)))/100,"-")</f>
        <v>8.9770000000000003E-2</v>
      </c>
      <c r="J476" s="44" cm="1">
        <f t="array" ref="J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MATCH($D$266,Inputs!$C$15:$AZ$15,0)))/100,"-")</f>
        <v>8.77E-2</v>
      </c>
      <c r="K476" s="44" cm="1">
        <f t="array" ref="K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MATCH($D$266,Inputs!$C$15:$AZ$15,0)))/100,"-")</f>
        <v>8.5400000000000004E-2</v>
      </c>
    </row>
    <row r="477" spans="3:11" hidden="1" outlineLevel="1" x14ac:dyDescent="0.25">
      <c r="C477" s="18" t="s">
        <v>73</v>
      </c>
      <c r="D477" s="18" t="s">
        <v>178</v>
      </c>
      <c r="E477" s="18" t="s">
        <v>69</v>
      </c>
      <c r="F477" s="18" t="s">
        <v>66</v>
      </c>
      <c r="G477" s="44" cm="1">
        <f t="array" ref="G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MATCH($D$266,Inputs!$C$15:$AZ$15,0)))/100,"-")</f>
        <v>0.22405517942110717</v>
      </c>
      <c r="H477" s="44" cm="1">
        <f t="array" ref="H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MATCH($D$266,Inputs!$C$15:$AZ$15,0)))/100,"-")</f>
        <v>0.1467</v>
      </c>
      <c r="I477" s="44" cm="1">
        <f t="array" ref="I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MATCH($D$266,Inputs!$C$15:$AZ$15,0)))/100,"-")</f>
        <v>0.14771999999999999</v>
      </c>
      <c r="J477" s="44" cm="1">
        <f t="array" ref="J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MATCH($D$266,Inputs!$C$15:$AZ$15,0)))/100,"-")</f>
        <v>0.1714</v>
      </c>
      <c r="K477" s="44" cm="1">
        <f t="array" ref="K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MATCH($D$266,Inputs!$C$15:$AZ$15,0)))/100,"-")</f>
        <v>0.1668</v>
      </c>
    </row>
    <row r="478" spans="3:11" hidden="1" outlineLevel="1" x14ac:dyDescent="0.25">
      <c r="C478" s="18" t="s">
        <v>74</v>
      </c>
      <c r="D478" s="18" t="s">
        <v>178</v>
      </c>
      <c r="E478" s="18" t="s">
        <v>69</v>
      </c>
      <c r="F478" s="18" t="s">
        <v>66</v>
      </c>
      <c r="G478" s="44" cm="1">
        <f t="array" ref="G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MATCH($D$266,Inputs!$C$15:$AZ$15,0)))/100,"-")</f>
        <v>4.6393863430805989E-2</v>
      </c>
      <c r="H478" s="44" cm="1">
        <f t="array" ref="H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MATCH($D$266,Inputs!$C$15:$AZ$15,0)))/100,"-")</f>
        <v>3.6699999999999997E-2</v>
      </c>
      <c r="I478" s="44" cm="1">
        <f t="array" ref="I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MATCH($D$266,Inputs!$C$15:$AZ$15,0)))/100,"-")</f>
        <v>4.3120000000000006E-2</v>
      </c>
      <c r="J478" s="44" cm="1">
        <f t="array" ref="J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MATCH($D$266,Inputs!$C$15:$AZ$15,0)))/100,"-")</f>
        <v>4.2900000000000001E-2</v>
      </c>
      <c r="K478" s="44" cm="1">
        <f t="array" ref="K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MATCH($D$266,Inputs!$C$15:$AZ$15,0)))/100,"-")</f>
        <v>4.1599999999999998E-2</v>
      </c>
    </row>
    <row r="479" spans="3:11" hidden="1" outlineLevel="1" x14ac:dyDescent="0.25">
      <c r="C479" s="18" t="s">
        <v>75</v>
      </c>
      <c r="D479" s="18" t="s">
        <v>178</v>
      </c>
      <c r="E479" s="18" t="s">
        <v>69</v>
      </c>
      <c r="F479" s="18" t="s">
        <v>66</v>
      </c>
      <c r="G479" s="44" cm="1">
        <f t="array" ref="G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MATCH($D$266,Inputs!$C$15:$AZ$15,0)))/100,"-")</f>
        <v>4.6393863430805989E-2</v>
      </c>
      <c r="H479" s="44" cm="1">
        <f t="array" ref="H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MATCH($D$266,Inputs!$C$15:$AZ$15,0)))/100,"-")</f>
        <v>2.2099999999999998E-2</v>
      </c>
      <c r="I479" s="44" cm="1">
        <f t="array" ref="I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MATCH($D$266,Inputs!$C$15:$AZ$15,0)))/100,"-")</f>
        <v>3.6950000000000004E-2</v>
      </c>
      <c r="J479" s="44" cm="1">
        <f t="array" ref="J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MATCH($D$266,Inputs!$C$15:$AZ$15,0)))/100,"-")</f>
        <v>2.46E-2</v>
      </c>
      <c r="K479" s="44" cm="1">
        <f t="array" ref="K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MATCH($D$266,Inputs!$C$15:$AZ$15,0)))/100,"-")</f>
        <v>2.4399999999999998E-2</v>
      </c>
    </row>
    <row r="480" spans="3:11" hidden="1" outlineLevel="1" x14ac:dyDescent="0.25">
      <c r="C480" s="18" t="s">
        <v>68</v>
      </c>
      <c r="D480" s="18" t="s">
        <v>178</v>
      </c>
      <c r="E480" s="18" t="s">
        <v>69</v>
      </c>
      <c r="F480" s="18" t="s">
        <v>67</v>
      </c>
      <c r="G480" s="44" cm="1">
        <f t="array" ref="G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MATCH($D$266,Inputs!$C$15:$AZ$15,0)))/100,"-")</f>
        <v>0.18668411930490375</v>
      </c>
      <c r="H480" s="44" t="str" cm="1">
        <f t="array" ref="H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MATCH($D$266,Inputs!$C$15:$AZ$15,0)))/100,"-")</f>
        <v>-</v>
      </c>
      <c r="I480" s="44" t="str" cm="1">
        <f t="array" ref="I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MATCH($D$266,Inputs!$C$15:$AZ$15,0)))/100,"-")</f>
        <v>-</v>
      </c>
      <c r="J480" s="44" t="str" cm="1">
        <f t="array" ref="J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MATCH($D$266,Inputs!$C$15:$AZ$15,0)))/100,"-")</f>
        <v>-</v>
      </c>
      <c r="K480" s="44" t="str" cm="1">
        <f t="array" ref="K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MATCH($D$266,Inputs!$C$15:$AZ$15,0)))/100,"-")</f>
        <v>-</v>
      </c>
    </row>
    <row r="481" spans="1:19" hidden="1" outlineLevel="1" x14ac:dyDescent="0.25">
      <c r="C481" s="18" t="s">
        <v>70</v>
      </c>
      <c r="D481" s="18" t="s">
        <v>178</v>
      </c>
      <c r="E481" s="18" t="s">
        <v>69</v>
      </c>
      <c r="F481" s="18" t="s">
        <v>67</v>
      </c>
      <c r="G481" s="44" cm="1">
        <f t="array" ref="G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MATCH($D$266,Inputs!$C$15:$AZ$15,0)))/100,"-")</f>
        <v>0.20620858559880922</v>
      </c>
      <c r="H481" s="44" t="str" cm="1">
        <f t="array" ref="H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MATCH($D$266,Inputs!$C$15:$AZ$15,0)))/100,"-")</f>
        <v>-</v>
      </c>
      <c r="I481" s="44" t="str" cm="1">
        <f t="array" ref="I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MATCH($D$266,Inputs!$C$15:$AZ$15,0)))/100,"-")</f>
        <v>-</v>
      </c>
      <c r="J481" s="44" t="str" cm="1">
        <f t="array" ref="J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MATCH($D$266,Inputs!$C$15:$AZ$15,0)))/100,"-")</f>
        <v>-</v>
      </c>
      <c r="K481" s="44" t="str" cm="1">
        <f t="array" ref="K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MATCH($D$266,Inputs!$C$15:$AZ$15,0)))/100,"-")</f>
        <v>-</v>
      </c>
    </row>
    <row r="482" spans="1:19" ht="15.75" hidden="1" outlineLevel="1" collapsed="1" x14ac:dyDescent="0.25">
      <c r="A482" s="1" t="s">
        <v>35</v>
      </c>
      <c r="C482" s="18" t="s">
        <v>71</v>
      </c>
      <c r="D482" s="18" t="s">
        <v>178</v>
      </c>
      <c r="E482" s="18" t="s">
        <v>69</v>
      </c>
      <c r="F482" s="18" t="s">
        <v>67</v>
      </c>
      <c r="G482" s="44" t="str" cm="1">
        <f t="array" ref="G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MATCH($D$266,Inputs!$C$15:$AZ$15,0)))/100,"-")</f>
        <v>-</v>
      </c>
      <c r="H482" s="44" cm="1">
        <f t="array" ref="H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MATCH($D$266,Inputs!$C$15:$AZ$15,0)))/100,"-")</f>
        <v>8.1500000000000003E-2</v>
      </c>
      <c r="I482" s="44" cm="1">
        <f t="array" ref="I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MATCH($D$266,Inputs!$C$15:$AZ$15,0)))/100,"-")</f>
        <v>0.11834</v>
      </c>
      <c r="J482" s="44" cm="1">
        <f t="array" ref="J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MATCH($D$266,Inputs!$C$15:$AZ$15,0)))/100,"-")</f>
        <v>9.8100000000000007E-2</v>
      </c>
      <c r="K482" s="44" cm="1">
        <f t="array" ref="K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MATCH($D$266,Inputs!$C$15:$AZ$15,0)))/100,"-")</f>
        <v>9.3900000000000011E-2</v>
      </c>
    </row>
    <row r="483" spans="1:19" hidden="1" outlineLevel="1" x14ac:dyDescent="0.25">
      <c r="C483" s="18" t="s">
        <v>73</v>
      </c>
      <c r="D483" s="18" t="s">
        <v>178</v>
      </c>
      <c r="E483" s="18" t="s">
        <v>69</v>
      </c>
      <c r="F483" s="18" t="s">
        <v>67</v>
      </c>
      <c r="G483" s="44" cm="1">
        <f t="array" ref="G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MATCH($D$266,Inputs!$C$15:$AZ$15,0)))/100,"-")</f>
        <v>0.19642449948699095</v>
      </c>
      <c r="H483" s="44" cm="1">
        <f t="array" ref="H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MATCH($D$266,Inputs!$C$15:$AZ$15,0)))/100,"-")</f>
        <v>0.13269999999999998</v>
      </c>
      <c r="I483" s="44" cm="1">
        <f t="array" ref="I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MATCH($D$266,Inputs!$C$15:$AZ$15,0)))/100,"-")</f>
        <v>0.15096999999999999</v>
      </c>
      <c r="J483" s="44" cm="1">
        <f t="array" ref="J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MATCH($D$266,Inputs!$C$15:$AZ$15,0)))/100,"-")</f>
        <v>0.17460000000000001</v>
      </c>
      <c r="K483" s="44" cm="1">
        <f t="array" ref="K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MATCH($D$266,Inputs!$C$15:$AZ$15,0)))/100,"-")</f>
        <v>0.15410000000000001</v>
      </c>
    </row>
    <row r="484" spans="1:19" hidden="1" outlineLevel="1" x14ac:dyDescent="0.25">
      <c r="C484" s="18" t="s">
        <v>74</v>
      </c>
      <c r="D484" s="33" t="s">
        <v>178</v>
      </c>
      <c r="E484" s="18" t="s">
        <v>69</v>
      </c>
      <c r="F484" s="18" t="s">
        <v>67</v>
      </c>
      <c r="G484" s="44" cm="1">
        <f t="array" ref="G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MATCH($D$266,Inputs!$C$15:$AZ$15,0)))/100,"-")</f>
        <v>4.7425752712530557E-2</v>
      </c>
      <c r="H484" s="44" cm="1">
        <f t="array" ref="H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MATCH($D$266,Inputs!$C$15:$AZ$15,0)))/100,"-")</f>
        <v>2.9500000000000002E-2</v>
      </c>
      <c r="I484" s="44" cm="1">
        <f t="array" ref="I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MATCH($D$266,Inputs!$C$15:$AZ$15,0)))/100,"-")</f>
        <v>3.2259999999999997E-2</v>
      </c>
      <c r="J484" s="44" cm="1">
        <f t="array" ref="J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MATCH($D$266,Inputs!$C$15:$AZ$15,0)))/100,"-")</f>
        <v>3.8800000000000001E-2</v>
      </c>
      <c r="K484" s="44" cm="1">
        <f t="array" ref="K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MATCH($D$266,Inputs!$C$15:$AZ$15,0)))/100,"-")</f>
        <v>3.4299999999999997E-2</v>
      </c>
    </row>
    <row r="485" spans="1:19" hidden="1" x14ac:dyDescent="0.25">
      <c r="N485" s="62"/>
    </row>
    <row r="486" spans="1:19" ht="16.5" hidden="1" collapsed="1" thickBot="1" x14ac:dyDescent="0.3">
      <c r="B486" s="161">
        <f>MAX(B$3:B485)+0.01</f>
        <v>5.1299999999999972</v>
      </c>
      <c r="C486" s="23" t="s">
        <v>176</v>
      </c>
      <c r="D486" s="23"/>
      <c r="E486" s="23"/>
      <c r="F486" s="23"/>
      <c r="G486" s="23"/>
      <c r="H486" s="23"/>
      <c r="I486" s="23"/>
      <c r="J486" s="23"/>
      <c r="K486" s="23"/>
    </row>
    <row r="487" spans="1:19" hidden="1" outlineLevel="1" x14ac:dyDescent="0.25"/>
    <row r="488" spans="1:19" ht="15.75" hidden="1" outlineLevel="1" x14ac:dyDescent="0.25">
      <c r="C488" s="24" t="s">
        <v>384</v>
      </c>
    </row>
    <row r="489" spans="1:19" ht="15.75" hidden="1" outlineLevel="1" x14ac:dyDescent="0.25">
      <c r="C489" s="32" t="s">
        <v>49</v>
      </c>
      <c r="D489" s="32" t="s">
        <v>108</v>
      </c>
      <c r="E489" s="32" t="s">
        <v>56</v>
      </c>
      <c r="F489" s="32" t="s">
        <v>57</v>
      </c>
      <c r="G489" s="43" t="s">
        <v>59</v>
      </c>
      <c r="H489" s="43" t="s">
        <v>60</v>
      </c>
      <c r="I489" s="43" t="s">
        <v>61</v>
      </c>
      <c r="J489" s="43" t="s">
        <v>62</v>
      </c>
      <c r="K489" s="43" t="s">
        <v>63</v>
      </c>
    </row>
    <row r="490" spans="1:19" hidden="1" outlineLevel="1" x14ac:dyDescent="0.25">
      <c r="C490" s="18" t="s">
        <v>385</v>
      </c>
      <c r="D490" s="18" t="s">
        <v>178</v>
      </c>
      <c r="E490" s="18" t="s">
        <v>69</v>
      </c>
      <c r="F490" s="18" t="s">
        <v>66</v>
      </c>
      <c r="G490" s="44" cm="1">
        <f t="array" ref="G490">IFERROR(
(IFERROR(INDEX(Calc_CPI_2[[CPI uplift factor]:[CPI uplift factor]],MATCH(Calc_WholesaleRES_2[[#This Row],[Cost item]:[Cost item]],Calc_CPI_2[[Cost item]:[Cost item]],0),1),0)+
INDEX(Input_ForRateCalc[],MATCH(Calc_WholesaleRES_2[[#This Row],[Cost item]:[Cost item]]&amp;" - "&amp;Calc_WholesaleRES_2[[#Headers],[Ausnet]],Input_ForRateCalc[[Cost item]:[Cost item]],0),MATCH($D$266,Inputs!$C$15:$AZ$15,0)))/1000,"-")</f>
        <v>0.15506744437670936</v>
      </c>
      <c r="H490" s="44" cm="1">
        <f t="array" ref="H490">IFERROR(
(IFERROR(INDEX(Calc_CPI_2[[CPI uplift factor]:[CPI uplift factor]],MATCH(Calc_WholesaleRES_2[[#This Row],[Cost item]:[Cost item]],Calc_CPI_2[[Cost item]:[Cost item]],0),1),0)+
INDEX(Input_ForRateCalc[],MATCH(Calc_WholesaleRES_2[[#This Row],[Cost item]:[Cost item]]&amp;" - "&amp;Calc_WholesaleRES_2[[#Headers],[Citipower]],Input_ForRateCalc[[Cost item]:[Cost item]],0),MATCH($D$266,Inputs!$C$15:$AZ$15,0)))/1000,"-")</f>
        <v>0.1363646130755708</v>
      </c>
      <c r="I490" s="44" cm="1">
        <f t="array" ref="I490">IFERROR(
(IFERROR(INDEX(Calc_CPI_2[[CPI uplift factor]:[CPI uplift factor]],MATCH(Calc_WholesaleRES_2[[#This Row],[Cost item]:[Cost item]],Calc_CPI_2[[Cost item]:[Cost item]],0),1),0)+
INDEX(Input_ForRateCalc[],MATCH(Calc_WholesaleRES_2[[#This Row],[Cost item]:[Cost item]]&amp;" - "&amp;Calc_WholesaleRES_2[[#Headers],[Jemena]],Input_ForRateCalc[[Cost item]:[Cost item]],0),MATCH($D$266,Inputs!$C$15:$AZ$15,0)))/1000,"-")</f>
        <v>0.15223433176569595</v>
      </c>
      <c r="J490" s="44" cm="1">
        <f t="array" ref="J490">IFERROR(
(IFERROR(INDEX(Calc_CPI_2[[CPI uplift factor]:[CPI uplift factor]],MATCH(Calc_WholesaleRES_2[[#This Row],[Cost item]:[Cost item]],Calc_CPI_2[[Cost item]:[Cost item]],0),1),0)+
INDEX(Input_ForRateCalc[],MATCH(Calc_WholesaleRES_2[[#This Row],[Cost item]:[Cost item]]&amp;" - "&amp;Calc_WholesaleRES_2[[#Headers],[Powercor]],Input_ForRateCalc[[Cost item]:[Cost item]],0),MATCH($D$266,Inputs!$C$15:$AZ$15,0)))/1000,"-")</f>
        <v>0.15294289200433886</v>
      </c>
      <c r="K490" s="44" cm="1">
        <f t="array" ref="K490">IFERROR(
(IFERROR(INDEX(Calc_CPI_2[[CPI uplift factor]:[CPI uplift factor]],MATCH(Calc_WholesaleRES_2[[#This Row],[Cost item]:[Cost item]],Calc_CPI_2[[Cost item]:[Cost item]],0),1),0)+
INDEX(Input_ForRateCalc[],MATCH(Calc_WholesaleRES_2[[#This Row],[Cost item]:[Cost item]]&amp;" - "&amp;Calc_WholesaleRES_2[[#Headers],[United Energy]],Input_ForRateCalc[[Cost item]:[Cost item]],0),MATCH($D$266,Inputs!$C$15:$AZ$15,0)))/1000,"-")</f>
        <v>0.14974862262361766</v>
      </c>
      <c r="N490" s="56"/>
      <c r="O490" s="56"/>
      <c r="P490" s="56"/>
      <c r="Q490" s="56"/>
      <c r="R490" s="56"/>
      <c r="S490" s="56"/>
    </row>
    <row r="491" spans="1:19" hidden="1" outlineLevel="1" x14ac:dyDescent="0.25">
      <c r="C491" s="18" t="s">
        <v>386</v>
      </c>
      <c r="D491" s="18" t="s">
        <v>178</v>
      </c>
      <c r="E491" s="18" t="s">
        <v>69</v>
      </c>
      <c r="F491" s="18" t="s">
        <v>66</v>
      </c>
      <c r="G491" s="44" cm="1">
        <f t="array" ref="G491">IFERROR(
(IFERROR(INDEX(Calc_CPI_2[[CPI uplift factor]:[CPI uplift factor]],MATCH(Calc_WholesaleRES_2[[#This Row],[Cost item]:[Cost item]],Calc_CPI_2[[Cost item]:[Cost item]],0),1),0)+
INDEX(Input_ForRateCalc[],MATCH(Calc_WholesaleRES_2[[#This Row],[Cost item]:[Cost item]]&amp;" - "&amp;Calc_WholesaleRES_2[[#Headers],[Ausnet]],Input_ForRateCalc[[Cost item]:[Cost item]],0),MATCH($D$266,Inputs!$C$15:$AZ$15,0)))/1000,"-")</f>
        <v>7.5597283903685198E-4</v>
      </c>
      <c r="H491" s="44" cm="1">
        <f t="array" ref="H491">IFERROR(
(IFERROR(INDEX(Calc_CPI_2[[CPI uplift factor]:[CPI uplift factor]],MATCH(Calc_WholesaleRES_2[[#This Row],[Cost item]:[Cost item]],Calc_CPI_2[[Cost item]:[Cost item]],0),1),0)+
INDEX(Input_ForRateCalc[],MATCH(Calc_WholesaleRES_2[[#This Row],[Cost item]:[Cost item]]&amp;" - "&amp;Calc_WholesaleRES_2[[#Headers],[Citipower]],Input_ForRateCalc[[Cost item]:[Cost item]],0),MATCH($D$266,Inputs!$C$15:$AZ$15,0)))/1000,"-")</f>
        <v>6.3406351167904606E-4</v>
      </c>
      <c r="I491" s="44" cm="1">
        <f t="array" ref="I491">IFERROR(
(IFERROR(INDEX(Calc_CPI_2[[CPI uplift factor]:[CPI uplift factor]],MATCH(Calc_WholesaleRES_2[[#This Row],[Cost item]:[Cost item]],Calc_CPI_2[[Cost item]:[Cost item]],0),1),0)+
INDEX(Input_ForRateCalc[],MATCH(Calc_WholesaleRES_2[[#This Row],[Cost item]:[Cost item]]&amp;" - "&amp;Calc_WholesaleRES_2[[#Headers],[Jemena]],Input_ForRateCalc[[Cost item]:[Cost item]],0),MATCH($D$266,Inputs!$C$15:$AZ$15,0)))/1000,"-")</f>
        <v>7.5975138343267377E-4</v>
      </c>
      <c r="J491" s="44" cm="1">
        <f t="array" ref="J491">IFERROR(
(IFERROR(INDEX(Calc_CPI_2[[CPI uplift factor]:[CPI uplift factor]],MATCH(Calc_WholesaleRES_2[[#This Row],[Cost item]:[Cost item]],Calc_CPI_2[[Cost item]:[Cost item]],0),1),0)+
INDEX(Input_ForRateCalc[],MATCH(Calc_WholesaleRES_2[[#This Row],[Cost item]:[Cost item]]&amp;" - "&amp;Calc_WholesaleRES_2[[#Headers],[Powercor]],Input_ForRateCalc[[Cost item]:[Cost item]],0),MATCH($D$266,Inputs!$C$15:$AZ$15,0)))/1000,"-")</f>
        <v>7.7200647873025953E-4</v>
      </c>
      <c r="K491" s="44" cm="1">
        <f t="array" ref="K491">IFERROR(
(IFERROR(INDEX(Calc_CPI_2[[CPI uplift factor]:[CPI uplift factor]],MATCH(Calc_WholesaleRES_2[[#This Row],[Cost item]:[Cost item]],Calc_CPI_2[[Cost item]:[Cost item]],0),1),0)+
INDEX(Input_ForRateCalc[],MATCH(Calc_WholesaleRES_2[[#This Row],[Cost item]:[Cost item]]&amp;" - "&amp;Calc_WholesaleRES_2[[#Headers],[United Energy]],Input_ForRateCalc[[Cost item]:[Cost item]],0),MATCH($D$266,Inputs!$C$15:$AZ$15,0)))/1000,"-")</f>
        <v>7.2106076586370951E-4</v>
      </c>
    </row>
    <row r="492" spans="1:19" hidden="1" outlineLevel="1" x14ac:dyDescent="0.25">
      <c r="C492" s="33" t="s">
        <v>365</v>
      </c>
      <c r="D492" s="33" t="s">
        <v>178</v>
      </c>
      <c r="E492" s="33" t="s">
        <v>69</v>
      </c>
      <c r="F492" s="18" t="s">
        <v>66</v>
      </c>
      <c r="G492" s="51">
        <f>IFERROR(G490+G491,"-")</f>
        <v>0.15582341721574622</v>
      </c>
      <c r="H492" s="51">
        <f>IFERROR(H490+H491,"-")</f>
        <v>0.13699867658724985</v>
      </c>
      <c r="I492" s="51">
        <f>IFERROR(I490+I491,"-")</f>
        <v>0.15299408314912863</v>
      </c>
      <c r="J492" s="51">
        <f>IFERROR(J490+J491,"-")</f>
        <v>0.15371489848306913</v>
      </c>
      <c r="K492" s="51">
        <f>IFERROR(K490+K491,"-")</f>
        <v>0.15046968338948136</v>
      </c>
    </row>
    <row r="493" spans="1:19" hidden="1" outlineLevel="1" x14ac:dyDescent="0.25"/>
    <row r="494" spans="1:19" ht="15.75" hidden="1" outlineLevel="1" x14ac:dyDescent="0.25">
      <c r="C494" s="24" t="s">
        <v>387</v>
      </c>
    </row>
    <row r="495" spans="1:19" ht="15.75" hidden="1" outlineLevel="1" x14ac:dyDescent="0.25">
      <c r="C495" s="32" t="s">
        <v>49</v>
      </c>
      <c r="D495" s="32" t="s">
        <v>108</v>
      </c>
      <c r="E495" s="32" t="s">
        <v>56</v>
      </c>
      <c r="F495" s="32" t="s">
        <v>57</v>
      </c>
      <c r="G495" s="43" t="s">
        <v>59</v>
      </c>
      <c r="H495" s="43" t="s">
        <v>60</v>
      </c>
      <c r="I495" s="43" t="s">
        <v>61</v>
      </c>
      <c r="J495" s="43" t="s">
        <v>62</v>
      </c>
      <c r="K495" s="43" t="s">
        <v>63</v>
      </c>
    </row>
    <row r="496" spans="1:19" ht="15.75" hidden="1" outlineLevel="1" collapsed="1" x14ac:dyDescent="0.25">
      <c r="A496" s="1" t="s">
        <v>35</v>
      </c>
      <c r="C496" s="18" t="s">
        <v>388</v>
      </c>
      <c r="D496" s="18" t="s">
        <v>178</v>
      </c>
      <c r="E496" s="18" t="s">
        <v>69</v>
      </c>
      <c r="F496" s="18" t="s">
        <v>67</v>
      </c>
      <c r="G496" s="44" cm="1">
        <f t="array" ref="G496">IFERROR(
(IFERROR(INDEX(Calc_CPI_2[[CPI uplift factor]:[CPI uplift factor]],MATCH(Calc_WholesaleSME_2[[#This Row],[Cost item]:[Cost item]],Calc_CPI_2[[Cost item]:[Cost item]],0),1),0)+
INDEX(Input_ForRateCalc[],MATCH(Calc_WholesaleSME_2[[#This Row],[Cost item]:[Cost item]]&amp;" - "&amp;Calc_WholesaleSME_2[[#Headers],[Ausnet]],Input_ForRateCalc[[Cost item]:[Cost item]],0),MATCH($D$266,Inputs!$C$15:$AZ$15,0)))/1000,"-")</f>
        <v>0.12799318301307452</v>
      </c>
      <c r="H496" s="44" cm="1">
        <f t="array" ref="H496">IFERROR(
(IFERROR(INDEX(Calc_CPI_2[[CPI uplift factor]:[CPI uplift factor]],MATCH(Calc_WholesaleSME_2[[#This Row],[Cost item]:[Cost item]],Calc_CPI_2[[Cost item]:[Cost item]],0),1),0)+
INDEX(Input_ForRateCalc[],MATCH(Calc_WholesaleSME_2[[#This Row],[Cost item]:[Cost item]]&amp;" - "&amp;Calc_WholesaleSME_2[[#Headers],[Citipower]],Input_ForRateCalc[[Cost item]:[Cost item]],0),MATCH($D$266,Inputs!$C$15:$AZ$15,0)))/1000,"-")</f>
        <v>0.12581685844288595</v>
      </c>
      <c r="I496" s="44" cm="1">
        <f t="array" ref="I496">IFERROR(
(IFERROR(INDEX(Calc_CPI_2[[CPI uplift factor]:[CPI uplift factor]],MATCH(Calc_WholesaleSME_2[[#This Row],[Cost item]:[Cost item]],Calc_CPI_2[[Cost item]:[Cost item]],0),1),0)+
INDEX(Input_ForRateCalc[],MATCH(Calc_WholesaleSME_2[[#This Row],[Cost item]:[Cost item]]&amp;" - "&amp;Calc_WholesaleSME_2[[#Headers],[Jemena]],Input_ForRateCalc[[Cost item]:[Cost item]],0),MATCH($D$266,Inputs!$C$15:$AZ$15,0)))/1000,"-")</f>
        <v>0.12959099346565389</v>
      </c>
      <c r="J496" s="44" cm="1">
        <f t="array" ref="J496">IFERROR(
(IFERROR(INDEX(Calc_CPI_2[[CPI uplift factor]:[CPI uplift factor]],MATCH(Calc_WholesaleSME_2[[#This Row],[Cost item]:[Cost item]],Calc_CPI_2[[Cost item]:[Cost item]],0),1),0)+
INDEX(Input_ForRateCalc[],MATCH(Calc_WholesaleSME_2[[#This Row],[Cost item]:[Cost item]]&amp;" - "&amp;Calc_WholesaleSME_2[[#Headers],[Powercor]],Input_ForRateCalc[[Cost item]:[Cost item]],0),MATCH($D$266,Inputs!$C$15:$AZ$15,0)))/1000,"-")</f>
        <v>0.12483628413435757</v>
      </c>
      <c r="K496" s="44" cm="1">
        <f t="array" ref="K496">IFERROR(
(IFERROR(INDEX(Calc_CPI_2[[CPI uplift factor]:[CPI uplift factor]],MATCH(Calc_WholesaleSME_2[[#This Row],[Cost item]:[Cost item]],Calc_CPI_2[[Cost item]:[Cost item]],0),1),0)+
INDEX(Input_ForRateCalc[],MATCH(Calc_WholesaleSME_2[[#This Row],[Cost item]:[Cost item]]&amp;" - "&amp;Calc_WholesaleSME_2[[#Headers],[United Energy]],Input_ForRateCalc[[Cost item]:[Cost item]],0),MATCH($D$266,Inputs!$C$15:$AZ$15,0)))/1000,"-")</f>
        <v>0.12974650834657042</v>
      </c>
      <c r="N496" s="56"/>
      <c r="O496" s="56"/>
      <c r="P496" s="56"/>
      <c r="Q496" s="56"/>
      <c r="R496" s="56"/>
    </row>
    <row r="497" spans="2:14" hidden="1" outlineLevel="1" x14ac:dyDescent="0.25">
      <c r="C497" s="18" t="s">
        <v>389</v>
      </c>
      <c r="D497" s="18" t="s">
        <v>178</v>
      </c>
      <c r="E497" s="18" t="s">
        <v>69</v>
      </c>
      <c r="F497" s="18" t="s">
        <v>67</v>
      </c>
      <c r="G497" s="44" cm="1">
        <f t="array" ref="G497">IFERROR(
(IFERROR(INDEX(Calc_CPI_2[[CPI uplift factor]:[CPI uplift factor]],MATCH(Calc_WholesaleSME_2[[#This Row],[Cost item]:[Cost item]],Calc_CPI_2[[Cost item]:[Cost item]],0),1),0)+
INDEX(Input_ForRateCalc[],MATCH(Calc_WholesaleSME_2[[#This Row],[Cost item]:[Cost item]]&amp;" - "&amp;Calc_WholesaleSME_2[[#Headers],[Ausnet]],Input_ForRateCalc[[Cost item]:[Cost item]],0),MATCH($D$266,Inputs!$C$15:$AZ$15,0)))/1000,"-")</f>
        <v>5.6983788306049486E-4</v>
      </c>
      <c r="H497" s="44" cm="1">
        <f t="array" ref="H497">IFERROR(
(IFERROR(INDEX(Calc_CPI_2[[CPI uplift factor]:[CPI uplift factor]],MATCH(Calc_WholesaleSME_2[[#This Row],[Cost item]:[Cost item]],Calc_CPI_2[[Cost item]:[Cost item]],0),1),0)+
INDEX(Input_ForRateCalc[],MATCH(Calc_WholesaleSME_2[[#This Row],[Cost item]:[Cost item]]&amp;" - "&amp;Calc_WholesaleSME_2[[#Headers],[Citipower]],Input_ForRateCalc[[Cost item]:[Cost item]],0),MATCH($D$266,Inputs!$C$15:$AZ$15,0)))/1000,"-")</f>
        <v>6.6754117444073444E-4</v>
      </c>
      <c r="I497" s="44" cm="1">
        <f t="array" ref="I497">IFERROR(
(IFERROR(INDEX(Calc_CPI_2[[CPI uplift factor]:[CPI uplift factor]],MATCH(Calc_WholesaleSME_2[[#This Row],[Cost item]:[Cost item]],Calc_CPI_2[[Cost item]:[Cost item]],0),1),0)+
INDEX(Input_ForRateCalc[],MATCH(Calc_WholesaleSME_2[[#This Row],[Cost item]:[Cost item]]&amp;" - "&amp;Calc_WholesaleSME_2[[#Headers],[Jemena]],Input_ForRateCalc[[Cost item]:[Cost item]],0),MATCH($D$266,Inputs!$C$15:$AZ$15,0)))/1000,"-")</f>
        <v>6.1921571486875523E-4</v>
      </c>
      <c r="J497" s="44" cm="1">
        <f t="array" ref="J497">IFERROR(
(IFERROR(INDEX(Calc_CPI_2[[CPI uplift factor]:[CPI uplift factor]],MATCH(Calc_WholesaleSME_2[[#This Row],[Cost item]:[Cost item]],Calc_CPI_2[[Cost item]:[Cost item]],0),1),0)+
INDEX(Input_ForRateCalc[],MATCH(Calc_WholesaleSME_2[[#This Row],[Cost item]:[Cost item]]&amp;" - "&amp;Calc_WholesaleSME_2[[#Headers],[Powercor]],Input_ForRateCalc[[Cost item]:[Cost item]],0),MATCH($D$266,Inputs!$C$15:$AZ$15,0)))/1000,"-")</f>
        <v>6.4465204102732076E-4</v>
      </c>
      <c r="K497" s="44" cm="1">
        <f t="array" ref="K497">IFERROR(
(IFERROR(INDEX(Calc_CPI_2[[CPI uplift factor]:[CPI uplift factor]],MATCH(Calc_WholesaleSME_2[[#This Row],[Cost item]:[Cost item]],Calc_CPI_2[[Cost item]:[Cost item]],0),1),0)+
INDEX(Input_ForRateCalc[],MATCH(Calc_WholesaleSME_2[[#This Row],[Cost item]:[Cost item]]&amp;" - "&amp;Calc_WholesaleSME_2[[#Headers],[United Energy]],Input_ForRateCalc[[Cost item]:[Cost item]],0),MATCH($D$266,Inputs!$C$15:$AZ$15,0)))/1000,"-")</f>
        <v>6.290345258566153E-4</v>
      </c>
    </row>
    <row r="498" spans="2:14" hidden="1" outlineLevel="1" x14ac:dyDescent="0.25">
      <c r="C498" s="33" t="s">
        <v>365</v>
      </c>
      <c r="D498" s="33" t="s">
        <v>178</v>
      </c>
      <c r="E498" s="33" t="s">
        <v>69</v>
      </c>
      <c r="F498" s="18" t="s">
        <v>67</v>
      </c>
      <c r="G498" s="51">
        <f>IFERROR(G496+G497,"-")</f>
        <v>0.12856302089613503</v>
      </c>
      <c r="H498" s="51">
        <f>IFERROR(H496+H497,"-")</f>
        <v>0.12648439961732669</v>
      </c>
      <c r="I498" s="51">
        <f>IFERROR(I496+I497,"-")</f>
        <v>0.13021020918052265</v>
      </c>
      <c r="J498" s="51">
        <f>IFERROR(J496+J497,"-")</f>
        <v>0.12548093617538489</v>
      </c>
      <c r="K498" s="51">
        <f>IFERROR(K496+K497,"-")</f>
        <v>0.13037554287242703</v>
      </c>
    </row>
    <row r="499" spans="2:14" hidden="1" x14ac:dyDescent="0.25"/>
    <row r="500" spans="2:14" ht="16.5" hidden="1" collapsed="1" thickBot="1" x14ac:dyDescent="0.3">
      <c r="B500" s="161">
        <f>MAX(B$3:B499)+0.01</f>
        <v>5.139999999999997</v>
      </c>
      <c r="C500" s="23" t="s">
        <v>390</v>
      </c>
      <c r="D500" s="23"/>
      <c r="E500" s="23"/>
      <c r="F500" s="23"/>
      <c r="G500" s="23"/>
      <c r="H500" s="23"/>
      <c r="I500" s="23"/>
      <c r="J500" s="23"/>
      <c r="K500" s="23"/>
    </row>
    <row r="501" spans="2:14" hidden="1" outlineLevel="1" x14ac:dyDescent="0.25"/>
    <row r="502" spans="2:14" ht="15.75" hidden="1" outlineLevel="1" x14ac:dyDescent="0.25">
      <c r="C502" s="24" t="s">
        <v>391</v>
      </c>
    </row>
    <row r="503" spans="2:14" ht="15.75" hidden="1" outlineLevel="1" x14ac:dyDescent="0.25">
      <c r="C503" s="32" t="s">
        <v>49</v>
      </c>
      <c r="D503" s="32" t="s">
        <v>108</v>
      </c>
      <c r="E503" s="32" t="s">
        <v>56</v>
      </c>
      <c r="F503" s="32" t="s">
        <v>57</v>
      </c>
      <c r="G503" s="43" t="s">
        <v>59</v>
      </c>
      <c r="H503" s="43" t="s">
        <v>60</v>
      </c>
      <c r="I503" s="43" t="s">
        <v>61</v>
      </c>
      <c r="J503" s="43" t="s">
        <v>62</v>
      </c>
      <c r="K503" s="43" t="s">
        <v>63</v>
      </c>
    </row>
    <row r="504" spans="2:14" hidden="1" outlineLevel="1" x14ac:dyDescent="0.25">
      <c r="C504" s="18" t="s">
        <v>199</v>
      </c>
      <c r="D504" s="18" t="s">
        <v>178</v>
      </c>
      <c r="E504" s="18" t="s">
        <v>200</v>
      </c>
      <c r="F504" s="18" t="s">
        <v>133</v>
      </c>
      <c r="G504" s="44" cm="1">
        <f t="array" ref="G504">IFERROR(
(IFERROR(INDEX(Calc_CPI_2[[CPI uplift factor]:[CPI uplift factor]],MATCH($C504,Calc_CPI_2[[Cost item]:[Cost item]],0),1),0)+
INDEX(Input_ForRateCalc[],MATCH(Calc_EnviroVEU_2[[#This Row],[Cost item]:[Cost item]],Input_ForRateCalc[[Cost item]:[Cost item]],0),MATCH($D$266,Inputs!$C$15:$AZ$15,0))),"-")</f>
        <v>68.562227396360115</v>
      </c>
      <c r="H504" s="44" cm="1">
        <f t="array" ref="H504">IFERROR(
(IFERROR(INDEX(Calc_CPI_2[[CPI uplift factor]:[CPI uplift factor]],MATCH($C504,Calc_CPI_2[[Cost item]:[Cost item]],0),1),0)+
INDEX(Input_ForRateCalc[],MATCH(Calc_EnviroVEU_2[[#This Row],[Cost item]:[Cost item]],Input_ForRateCalc[[Cost item]:[Cost item]],0),MATCH($D$266,Inputs!$C$15:$AZ$15,0))),"-")</f>
        <v>68.562227396360115</v>
      </c>
      <c r="I504" s="44" cm="1">
        <f t="array" ref="I504">IFERROR(
(IFERROR(INDEX(Calc_CPI_2[[CPI uplift factor]:[CPI uplift factor]],MATCH($C504,Calc_CPI_2[[Cost item]:[Cost item]],0),1),0)+
INDEX(Input_ForRateCalc[],MATCH(Calc_EnviroVEU_2[[#This Row],[Cost item]:[Cost item]],Input_ForRateCalc[[Cost item]:[Cost item]],0),MATCH($D$266,Inputs!$C$15:$AZ$15,0))),"-")</f>
        <v>68.562227396360115</v>
      </c>
      <c r="J504" s="44" cm="1">
        <f t="array" ref="J504">IFERROR(
(IFERROR(INDEX(Calc_CPI_2[[CPI uplift factor]:[CPI uplift factor]],MATCH($C504,Calc_CPI_2[[Cost item]:[Cost item]],0),1),0)+
INDEX(Input_ForRateCalc[],MATCH(Calc_EnviroVEU_2[[#This Row],[Cost item]:[Cost item]],Input_ForRateCalc[[Cost item]:[Cost item]],0),MATCH($D$266,Inputs!$C$15:$AZ$15,0))),"-")</f>
        <v>68.562227396360115</v>
      </c>
      <c r="K504" s="44" cm="1">
        <f t="array" ref="K504">IFERROR(
(IFERROR(INDEX(Calc_CPI_2[[CPI uplift factor]:[CPI uplift factor]],MATCH($C504,Calc_CPI_2[[Cost item]:[Cost item]],0),1),0)+
INDEX(Input_ForRateCalc[],MATCH(Calc_EnviroVEU_2[[#This Row],[Cost item]:[Cost item]],Input_ForRateCalc[[Cost item]:[Cost item]],0),MATCH($D$266,Inputs!$C$15:$AZ$15,0))),"-")</f>
        <v>68.562227396360115</v>
      </c>
    </row>
    <row r="505" spans="2:14" hidden="1" outlineLevel="1" x14ac:dyDescent="0.25">
      <c r="C505" s="18" t="s">
        <v>203</v>
      </c>
      <c r="D505" s="18" t="s">
        <v>178</v>
      </c>
      <c r="E505" s="18" t="s">
        <v>204</v>
      </c>
      <c r="F505" s="18" t="s">
        <v>133</v>
      </c>
      <c r="G505" s="44" cm="1">
        <f t="array" ref="G505">IFERROR(
(IFERROR(INDEX(Calc_CPI_2[[CPI uplift factor]:[CPI uplift factor]],MATCH($C505,Calc_CPI_2[[Cost item]:[Cost item]],0),1),0)+
INDEX(Input_ForRateCalc[],MATCH(Calc_EnviroVEU_2[[#This Row],[Cost item]:[Cost item]],Input_ForRateCalc[[Cost item]:[Cost item]],0),MATCH($D$266,Inputs!$C$15:$AZ$15,0))),"-")</f>
        <v>0.16306999999999999</v>
      </c>
      <c r="H505" s="44" cm="1">
        <f t="array" ref="H505">IFERROR(
(IFERROR(INDEX(Calc_CPI_2[[CPI uplift factor]:[CPI uplift factor]],MATCH($C505,Calc_CPI_2[[Cost item]:[Cost item]],0),1),0)+
INDEX(Input_ForRateCalc[],MATCH(Calc_EnviroVEU_2[[#This Row],[Cost item]:[Cost item]],Input_ForRateCalc[[Cost item]:[Cost item]],0),MATCH($D$266,Inputs!$C$15:$AZ$15,0))),"-")</f>
        <v>0.16306999999999999</v>
      </c>
      <c r="I505" s="44" cm="1">
        <f t="array" ref="I505">IFERROR(
(IFERROR(INDEX(Calc_CPI_2[[CPI uplift factor]:[CPI uplift factor]],MATCH($C505,Calc_CPI_2[[Cost item]:[Cost item]],0),1),0)+
INDEX(Input_ForRateCalc[],MATCH(Calc_EnviroVEU_2[[#This Row],[Cost item]:[Cost item]],Input_ForRateCalc[[Cost item]:[Cost item]],0),MATCH($D$266,Inputs!$C$15:$AZ$15,0))),"-")</f>
        <v>0.16306999999999999</v>
      </c>
      <c r="J505" s="44" cm="1">
        <f t="array" ref="J505">IFERROR(
(IFERROR(INDEX(Calc_CPI_2[[CPI uplift factor]:[CPI uplift factor]],MATCH($C505,Calc_CPI_2[[Cost item]:[Cost item]],0),1),0)+
INDEX(Input_ForRateCalc[],MATCH(Calc_EnviroVEU_2[[#This Row],[Cost item]:[Cost item]],Input_ForRateCalc[[Cost item]:[Cost item]],0),MATCH($D$266,Inputs!$C$15:$AZ$15,0))),"-")</f>
        <v>0.16306999999999999</v>
      </c>
      <c r="K505" s="44" cm="1">
        <f t="array" ref="K505">IFERROR(
(IFERROR(INDEX(Calc_CPI_2[[CPI uplift factor]:[CPI uplift factor]],MATCH($C505,Calc_CPI_2[[Cost item]:[Cost item]],0),1),0)+
INDEX(Input_ForRateCalc[],MATCH(Calc_EnviroVEU_2[[#This Row],[Cost item]:[Cost item]],Input_ForRateCalc[[Cost item]:[Cost item]],0),MATCH($D$266,Inputs!$C$15:$AZ$15,0))),"-")</f>
        <v>0.16306999999999999</v>
      </c>
    </row>
    <row r="506" spans="2:14" hidden="1" outlineLevel="1" x14ac:dyDescent="0.25">
      <c r="C506" s="33" t="s">
        <v>392</v>
      </c>
      <c r="D506" s="33" t="s">
        <v>178</v>
      </c>
      <c r="E506" s="33" t="s">
        <v>69</v>
      </c>
      <c r="F506" s="18" t="s">
        <v>133</v>
      </c>
      <c r="G506" s="171">
        <f>IFERROR(
IFERROR(INDEX(Calc_CPI_2[[CPI uplift factor]:[CPI uplift factor]],MATCH($C506,Calc_CPI_2[[Cost item]:[Cost item]],0),1),0)+(G504*G505)/1000,"-")</f>
        <v>1.1180442421524443E-2</v>
      </c>
      <c r="H506" s="44">
        <f>IFERROR(
IFERROR(INDEX(Calc_CPI_2[[CPI uplift factor]:[CPI uplift factor]],MATCH($C506,Calc_CPI_2[[Cost item]:[Cost item]],0),1),0)+(H504*H505)/1000,"-")</f>
        <v>1.1180442421524443E-2</v>
      </c>
      <c r="I506" s="44">
        <f>IFERROR(
IFERROR(INDEX(Calc_CPI_2[[CPI uplift factor]:[CPI uplift factor]],MATCH($C506,Calc_CPI_2[[Cost item]:[Cost item]],0),1),0)+(I504*I505)/1000,"-")</f>
        <v>1.1180442421524443E-2</v>
      </c>
      <c r="J506" s="44">
        <f>IFERROR(
IFERROR(INDEX(Calc_CPI_2[[CPI uplift factor]:[CPI uplift factor]],MATCH($C506,Calc_CPI_2[[Cost item]:[Cost item]],0),1),0)+(J504*J505)/1000,"-")</f>
        <v>1.1180442421524443E-2</v>
      </c>
      <c r="K506" s="44">
        <f>IFERROR(
IFERROR(INDEX(Calc_CPI_2[[CPI uplift factor]:[CPI uplift factor]],MATCH($C506,Calc_CPI_2[[Cost item]:[Cost item]],0),1),0)+(K504*K505)/1000,"-")</f>
        <v>1.1180442421524443E-2</v>
      </c>
      <c r="M506" s="56"/>
    </row>
    <row r="507" spans="2:14" ht="15.75" hidden="1" outlineLevel="1" x14ac:dyDescent="0.25">
      <c r="C507" s="24"/>
    </row>
    <row r="508" spans="2:14" ht="15.75" hidden="1" outlineLevel="1" x14ac:dyDescent="0.25">
      <c r="C508" s="24" t="s">
        <v>393</v>
      </c>
    </row>
    <row r="509" spans="2:14" ht="15.75" hidden="1" outlineLevel="1" x14ac:dyDescent="0.25">
      <c r="C509" s="32" t="s">
        <v>49</v>
      </c>
      <c r="D509" s="32" t="s">
        <v>108</v>
      </c>
      <c r="E509" s="32" t="s">
        <v>56</v>
      </c>
      <c r="F509" s="32" t="s">
        <v>57</v>
      </c>
      <c r="G509" s="43" t="s">
        <v>59</v>
      </c>
      <c r="H509" s="43" t="s">
        <v>60</v>
      </c>
      <c r="I509" s="43" t="s">
        <v>61</v>
      </c>
      <c r="J509" s="43" t="s">
        <v>62</v>
      </c>
      <c r="K509" s="43" t="s">
        <v>63</v>
      </c>
      <c r="N509" s="56"/>
    </row>
    <row r="510" spans="2:14" hidden="1" outlineLevel="1" x14ac:dyDescent="0.25">
      <c r="C510" s="18" t="s">
        <v>201</v>
      </c>
      <c r="D510" s="18" t="s">
        <v>178</v>
      </c>
      <c r="E510" s="18" t="s">
        <v>200</v>
      </c>
      <c r="F510" s="18" t="s">
        <v>133</v>
      </c>
      <c r="G510" s="44" cm="1">
        <f t="array" ref="G510">IFERROR(
(IFERROR(INDEX(Calc_CPI_2[[CPI uplift factor]:[CPI uplift factor]],MATCH($C510,Calc_CPI_2[[Cost item]:[Cost item]],0),1),0)+
INDEX(Input_ForRateCalc[],MATCH(Calc_EnviroLRET_2[[#This Row],[Cost item]:[Cost item]],Input_ForRateCalc[[Cost item]:[Cost item]],0),MATCH($D$266,Inputs!$C$15:$AZ$15,0))),"-")</f>
        <v>54.83</v>
      </c>
      <c r="H510" s="44" cm="1">
        <f t="array" ref="H510">IFERROR(
(IFERROR(INDEX(Calc_CPI_2[[CPI uplift factor]:[CPI uplift factor]],MATCH($C510,Calc_CPI_2[[Cost item]:[Cost item]],0),1),0)+
INDEX(Input_ForRateCalc[],MATCH(Calc_EnviroLRET_2[[#This Row],[Cost item]:[Cost item]],Input_ForRateCalc[[Cost item]:[Cost item]],0),MATCH($D$266,Inputs!$C$15:$AZ$15,0))),"-")</f>
        <v>54.83</v>
      </c>
      <c r="I510" s="44" cm="1">
        <f t="array" ref="I510">IFERROR(
(IFERROR(INDEX(Calc_CPI_2[[CPI uplift factor]:[CPI uplift factor]],MATCH($C510,Calc_CPI_2[[Cost item]:[Cost item]],0),1),0)+
INDEX(Input_ForRateCalc[],MATCH(Calc_EnviroLRET_2[[#This Row],[Cost item]:[Cost item]],Input_ForRateCalc[[Cost item]:[Cost item]],0),MATCH($D$266,Inputs!$C$15:$AZ$15,0))),"-")</f>
        <v>54.83</v>
      </c>
      <c r="J510" s="44" cm="1">
        <f t="array" ref="J510">IFERROR(
(IFERROR(INDEX(Calc_CPI_2[[CPI uplift factor]:[CPI uplift factor]],MATCH($C510,Calc_CPI_2[[Cost item]:[Cost item]],0),1),0)+
INDEX(Input_ForRateCalc[],MATCH(Calc_EnviroLRET_2[[#This Row],[Cost item]:[Cost item]],Input_ForRateCalc[[Cost item]:[Cost item]],0),MATCH($D$266,Inputs!$C$15:$AZ$15,0))),"-")</f>
        <v>54.83</v>
      </c>
      <c r="K510" s="44" cm="1">
        <f t="array" ref="K510">IFERROR(
(IFERROR(INDEX(Calc_CPI_2[[CPI uplift factor]:[CPI uplift factor]],MATCH($C510,Calc_CPI_2[[Cost item]:[Cost item]],0),1),0)+
INDEX(Input_ForRateCalc[],MATCH(Calc_EnviroLRET_2[[#This Row],[Cost item]:[Cost item]],Input_ForRateCalc[[Cost item]:[Cost item]],0),MATCH($D$266,Inputs!$C$15:$AZ$15,0))),"-")</f>
        <v>54.83</v>
      </c>
    </row>
    <row r="511" spans="2:14" hidden="1" outlineLevel="1" x14ac:dyDescent="0.25">
      <c r="C511" s="18" t="s">
        <v>205</v>
      </c>
      <c r="D511" s="18" t="s">
        <v>178</v>
      </c>
      <c r="E511" s="18" t="s">
        <v>204</v>
      </c>
      <c r="F511" s="18" t="s">
        <v>133</v>
      </c>
      <c r="G511" s="44" cm="1">
        <f t="array" ref="G511">IFERROR(
(IFERROR(INDEX(Calc_CPI_2[[CPI uplift factor]:[CPI uplift factor]],MATCH($C511,Calc_CPI_2[[Cost item]:[Cost item]],0),1),0)+
INDEX(Input_ForRateCalc[],MATCH(Calc_EnviroLRET_2[[#This Row],[Cost item]:[Cost item]],Input_ForRateCalc[[Cost item]:[Cost item]],0),MATCH($D$266,Inputs!$C$15:$AZ$15,0))),"-")</f>
        <v>0.18959999999999999</v>
      </c>
      <c r="H511" s="44" cm="1">
        <f t="array" ref="H511">IFERROR(
(IFERROR(INDEX(Calc_CPI_2[[CPI uplift factor]:[CPI uplift factor]],MATCH($C511,Calc_CPI_2[[Cost item]:[Cost item]],0),1),0)+
INDEX(Input_ForRateCalc[],MATCH(Calc_EnviroLRET_2[[#This Row],[Cost item]:[Cost item]],Input_ForRateCalc[[Cost item]:[Cost item]],0),MATCH($D$266,Inputs!$C$15:$AZ$15,0))),"-")</f>
        <v>0.18959999999999999</v>
      </c>
      <c r="I511" s="44" cm="1">
        <f t="array" ref="I511">IFERROR(
(IFERROR(INDEX(Calc_CPI_2[[CPI uplift factor]:[CPI uplift factor]],MATCH($C511,Calc_CPI_2[[Cost item]:[Cost item]],0),1),0)+
INDEX(Input_ForRateCalc[],MATCH(Calc_EnviroLRET_2[[#This Row],[Cost item]:[Cost item]],Input_ForRateCalc[[Cost item]:[Cost item]],0),MATCH($D$266,Inputs!$C$15:$AZ$15,0))),"-")</f>
        <v>0.18959999999999999</v>
      </c>
      <c r="J511" s="44" cm="1">
        <f t="array" ref="J511">IFERROR(
(IFERROR(INDEX(Calc_CPI_2[[CPI uplift factor]:[CPI uplift factor]],MATCH($C511,Calc_CPI_2[[Cost item]:[Cost item]],0),1),0)+
INDEX(Input_ForRateCalc[],MATCH(Calc_EnviroLRET_2[[#This Row],[Cost item]:[Cost item]],Input_ForRateCalc[[Cost item]:[Cost item]],0),MATCH($D$266,Inputs!$C$15:$AZ$15,0))),"-")</f>
        <v>0.18959999999999999</v>
      </c>
      <c r="K511" s="44" cm="1">
        <f t="array" ref="K511">IFERROR(
(IFERROR(INDEX(Calc_CPI_2[[CPI uplift factor]:[CPI uplift factor]],MATCH($C511,Calc_CPI_2[[Cost item]:[Cost item]],0),1),0)+
INDEX(Input_ForRateCalc[],MATCH(Calc_EnviroLRET_2[[#This Row],[Cost item]:[Cost item]],Input_ForRateCalc[[Cost item]:[Cost item]],0),MATCH($D$266,Inputs!$C$15:$AZ$15,0))),"-")</f>
        <v>0.18959999999999999</v>
      </c>
    </row>
    <row r="512" spans="2:14" hidden="1" outlineLevel="1" x14ac:dyDescent="0.25">
      <c r="C512" s="33" t="s">
        <v>394</v>
      </c>
      <c r="D512" s="33" t="s">
        <v>178</v>
      </c>
      <c r="E512" s="33" t="s">
        <v>69</v>
      </c>
      <c r="F512" s="18" t="s">
        <v>133</v>
      </c>
      <c r="G512" s="51">
        <f>IFERROR(
IFERROR(INDEX(Calc_CPI_2[[CPI uplift factor]:[CPI uplift factor]],MATCH($C512,Calc_CPI_2[[Cost item]:[Cost item]],0),1),0)+(G510*G511)/1000,"-")</f>
        <v>1.0395767999999998E-2</v>
      </c>
      <c r="H512" s="51">
        <f>IFERROR(
IFERROR(INDEX(Calc_CPI_2[[CPI uplift factor]:[CPI uplift factor]],MATCH($C512,Calc_CPI_2[[Cost item]:[Cost item]],0),1),0)+(H510*H511)/1000,"-")</f>
        <v>1.0395767999999998E-2</v>
      </c>
      <c r="I512" s="51">
        <f>IFERROR(
IFERROR(INDEX(Calc_CPI_2[[CPI uplift factor]:[CPI uplift factor]],MATCH($C512,Calc_CPI_2[[Cost item]:[Cost item]],0),1),0)+(I510*I511)/1000,"-")</f>
        <v>1.0395767999999998E-2</v>
      </c>
      <c r="J512" s="51">
        <f>IFERROR(
IFERROR(INDEX(Calc_CPI_2[[CPI uplift factor]:[CPI uplift factor]],MATCH($C512,Calc_CPI_2[[Cost item]:[Cost item]],0),1),0)+(J510*J511)/1000,"-")</f>
        <v>1.0395767999999998E-2</v>
      </c>
      <c r="K512" s="51">
        <f>IFERROR(
IFERROR(INDEX(Calc_CPI_2[[CPI uplift factor]:[CPI uplift factor]],MATCH($C512,Calc_CPI_2[[Cost item]:[Cost item]],0),1),0)+(K510*K511)/1000,"-")</f>
        <v>1.0395767999999998E-2</v>
      </c>
    </row>
    <row r="513" spans="3:13" hidden="1" outlineLevel="1" x14ac:dyDescent="0.25">
      <c r="M513" s="56"/>
    </row>
    <row r="514" spans="3:13" ht="15.75" hidden="1" outlineLevel="1" x14ac:dyDescent="0.25">
      <c r="C514" s="24" t="s">
        <v>395</v>
      </c>
    </row>
    <row r="515" spans="3:13" ht="15.75" hidden="1" outlineLevel="1" x14ac:dyDescent="0.25">
      <c r="C515" s="32" t="s">
        <v>49</v>
      </c>
      <c r="D515" s="32" t="s">
        <v>108</v>
      </c>
      <c r="E515" s="32" t="s">
        <v>56</v>
      </c>
      <c r="F515" s="32" t="s">
        <v>57</v>
      </c>
      <c r="G515" s="43" t="s">
        <v>59</v>
      </c>
      <c r="H515" s="43" t="s">
        <v>60</v>
      </c>
      <c r="I515" s="43" t="s">
        <v>61</v>
      </c>
      <c r="J515" s="43" t="s">
        <v>62</v>
      </c>
      <c r="K515" s="43" t="s">
        <v>63</v>
      </c>
    </row>
    <row r="516" spans="3:13" hidden="1" outlineLevel="1" x14ac:dyDescent="0.25">
      <c r="C516" s="18" t="s">
        <v>202</v>
      </c>
      <c r="D516" s="18" t="s">
        <v>178</v>
      </c>
      <c r="E516" s="18" t="s">
        <v>200</v>
      </c>
      <c r="F516" s="18" t="s">
        <v>133</v>
      </c>
      <c r="G516" s="44" cm="1">
        <f t="array" ref="G516">IFERROR(
(IFERROR(INDEX(Calc_CPI_2[[CPI uplift factor]:[CPI uplift factor]],MATCH($C516,Calc_CPI_2[[Cost item]:[Cost item]],0),1),0)+
INDEX(Input_ForRateCalc[],MATCH(Calc_EnviroSRES_2[[#This Row],[Cost item]:[Cost item]],Input_ForRateCalc[[Cost item]:[Cost item]],0),MATCH($D$266,Inputs!$C$15:$AZ$15,0))),"-")</f>
        <v>40</v>
      </c>
      <c r="H516" s="44" cm="1">
        <f t="array" ref="H516">IFERROR(
(IFERROR(INDEX(Calc_CPI_2[[CPI uplift factor]:[CPI uplift factor]],MATCH($C516,Calc_CPI_2[[Cost item]:[Cost item]],0),1),0)+
INDEX(Input_ForRateCalc[],MATCH(Calc_EnviroSRES_2[[#This Row],[Cost item]:[Cost item]],Input_ForRateCalc[[Cost item]:[Cost item]],0),MATCH($D$266,Inputs!$C$15:$AZ$15,0))),"-")</f>
        <v>40</v>
      </c>
      <c r="I516" s="44" cm="1">
        <f t="array" ref="I516">IFERROR(
(IFERROR(INDEX(Calc_CPI_2[[CPI uplift factor]:[CPI uplift factor]],MATCH($C516,Calc_CPI_2[[Cost item]:[Cost item]],0),1),0)+
INDEX(Input_ForRateCalc[],MATCH(Calc_EnviroSRES_2[[#This Row],[Cost item]:[Cost item]],Input_ForRateCalc[[Cost item]:[Cost item]],0),MATCH($D$266,Inputs!$C$15:$AZ$15,0))),"-")</f>
        <v>40</v>
      </c>
      <c r="J516" s="44" cm="1">
        <f t="array" ref="J516">IFERROR(
(IFERROR(INDEX(Calc_CPI_2[[CPI uplift factor]:[CPI uplift factor]],MATCH($C516,Calc_CPI_2[[Cost item]:[Cost item]],0),1),0)+
INDEX(Input_ForRateCalc[],MATCH(Calc_EnviroSRES_2[[#This Row],[Cost item]:[Cost item]],Input_ForRateCalc[[Cost item]:[Cost item]],0),MATCH($D$266,Inputs!$C$15:$AZ$15,0))),"-")</f>
        <v>40</v>
      </c>
      <c r="K516" s="44" cm="1">
        <f t="array" ref="K516">IFERROR(
(IFERROR(INDEX(Calc_CPI_2[[CPI uplift factor]:[CPI uplift factor]],MATCH($C516,Calc_CPI_2[[Cost item]:[Cost item]],0),1),0)+
INDEX(Input_ForRateCalc[],MATCH(Calc_EnviroSRES_2[[#This Row],[Cost item]:[Cost item]],Input_ForRateCalc[[Cost item]:[Cost item]],0),MATCH($D$266,Inputs!$C$15:$AZ$15,0))),"-")</f>
        <v>40</v>
      </c>
    </row>
    <row r="517" spans="3:13" hidden="1" outlineLevel="1" x14ac:dyDescent="0.25">
      <c r="C517" s="18" t="s">
        <v>207</v>
      </c>
      <c r="D517" s="18" t="s">
        <v>178</v>
      </c>
      <c r="E517" s="18" t="s">
        <v>204</v>
      </c>
      <c r="F517" s="18" t="s">
        <v>133</v>
      </c>
      <c r="G517" s="44" cm="1">
        <f t="array" ref="G517">IFERROR(
(IFERROR(INDEX(Calc_CPI_2[[CPI uplift factor]:[CPI uplift factor]],MATCH($C517,Calc_CPI_2[[Cost item]:[Cost item]],0),1),0)+
INDEX(Input_ForRateCalc[],MATCH(Calc_EnviroSRES_2[[#This Row],[Cost item]:[Cost item]],Input_ForRateCalc[[Cost item]:[Cost item]],0),MATCH($D$266,Inputs!$C$15:$AZ$15,0))),"-")</f>
        <v>0.1714</v>
      </c>
      <c r="H517" s="44" cm="1">
        <f t="array" ref="H517">IFERROR(
(IFERROR(INDEX(Calc_CPI_2[[CPI uplift factor]:[CPI uplift factor]],MATCH($C517,Calc_CPI_2[[Cost item]:[Cost item]],0),1),0)+
INDEX(Input_ForRateCalc[],MATCH(Calc_EnviroSRES_2[[#This Row],[Cost item]:[Cost item]],Input_ForRateCalc[[Cost item]:[Cost item]],0),MATCH($D$266,Inputs!$C$15:$AZ$15,0))),"-")</f>
        <v>0.1714</v>
      </c>
      <c r="I517" s="44" cm="1">
        <f t="array" ref="I517">IFERROR(
(IFERROR(INDEX(Calc_CPI_2[[CPI uplift factor]:[CPI uplift factor]],MATCH($C517,Calc_CPI_2[[Cost item]:[Cost item]],0),1),0)+
INDEX(Input_ForRateCalc[],MATCH(Calc_EnviroSRES_2[[#This Row],[Cost item]:[Cost item]],Input_ForRateCalc[[Cost item]:[Cost item]],0),MATCH($D$266,Inputs!$C$15:$AZ$15,0))),"-")</f>
        <v>0.1714</v>
      </c>
      <c r="J517" s="44" cm="1">
        <f t="array" ref="J517">IFERROR(
(IFERROR(INDEX(Calc_CPI_2[[CPI uplift factor]:[CPI uplift factor]],MATCH($C517,Calc_CPI_2[[Cost item]:[Cost item]],0),1),0)+
INDEX(Input_ForRateCalc[],MATCH(Calc_EnviroSRES_2[[#This Row],[Cost item]:[Cost item]],Input_ForRateCalc[[Cost item]:[Cost item]],0),MATCH($D$266,Inputs!$C$15:$AZ$15,0))),"-")</f>
        <v>0.1714</v>
      </c>
      <c r="K517" s="44" cm="1">
        <f t="array" ref="K517">IFERROR(
(IFERROR(INDEX(Calc_CPI_2[[CPI uplift factor]:[CPI uplift factor]],MATCH($C517,Calc_CPI_2[[Cost item]:[Cost item]],0),1),0)+
INDEX(Input_ForRateCalc[],MATCH(Calc_EnviroSRES_2[[#This Row],[Cost item]:[Cost item]],Input_ForRateCalc[[Cost item]:[Cost item]],0),MATCH($D$266,Inputs!$C$15:$AZ$15,0))),"-")</f>
        <v>0.1714</v>
      </c>
    </row>
    <row r="518" spans="3:13" hidden="1" outlineLevel="1" x14ac:dyDescent="0.25">
      <c r="C518" s="33" t="s">
        <v>396</v>
      </c>
      <c r="D518" s="33" t="s">
        <v>178</v>
      </c>
      <c r="E518" s="33" t="s">
        <v>69</v>
      </c>
      <c r="F518" s="18" t="s">
        <v>133</v>
      </c>
      <c r="G518" s="170">
        <f>IFERROR(
IFERROR(INDEX(Calc_CPI_2[[CPI uplift factor]:[CPI uplift factor]],MATCH($C518,Calc_CPI_2[[Cost item]:[Cost item]],0),1),0)+(G516*G517)/1000,"-")</f>
        <v>6.8560000000000001E-3</v>
      </c>
      <c r="H518" s="51">
        <f>IFERROR(
IFERROR(INDEX(Calc_CPI_2[[CPI uplift factor]:[CPI uplift factor]],MATCH($C518,Calc_CPI_2[[Cost item]:[Cost item]],0),1),0)+(H516*H517)/1000,"-")</f>
        <v>6.8560000000000001E-3</v>
      </c>
      <c r="I518" s="51">
        <f>IFERROR(
IFERROR(INDEX(Calc_CPI_2[[CPI uplift factor]:[CPI uplift factor]],MATCH($C518,Calc_CPI_2[[Cost item]:[Cost item]],0),1),0)+(I516*I517)/1000,"-")</f>
        <v>6.8560000000000001E-3</v>
      </c>
      <c r="J518" s="51">
        <f>IFERROR(
IFERROR(INDEX(Calc_CPI_2[[CPI uplift factor]:[CPI uplift factor]],MATCH($C518,Calc_CPI_2[[Cost item]:[Cost item]],0),1),0)+(J516*J517)/1000,"-")</f>
        <v>6.8560000000000001E-3</v>
      </c>
      <c r="K518" s="51">
        <f>IFERROR(
IFERROR(INDEX(Calc_CPI_2[[CPI uplift factor]:[CPI uplift factor]],MATCH($C518,Calc_CPI_2[[Cost item]:[Cost item]],0),1),0)+(K516*K517)/1000,"-")</f>
        <v>6.8560000000000001E-3</v>
      </c>
    </row>
    <row r="519" spans="3:13" hidden="1" outlineLevel="1" x14ac:dyDescent="0.25">
      <c r="M519" s="56"/>
    </row>
    <row r="520" spans="3:13" ht="15.75" hidden="1" outlineLevel="1" x14ac:dyDescent="0.25">
      <c r="C520" s="24" t="s">
        <v>397</v>
      </c>
    </row>
    <row r="521" spans="3:13" ht="15.75" hidden="1" outlineLevel="1" collapsed="1" x14ac:dyDescent="0.25">
      <c r="C521" s="32" t="s">
        <v>49</v>
      </c>
      <c r="D521" s="32" t="s">
        <v>108</v>
      </c>
      <c r="E521" s="32" t="s">
        <v>56</v>
      </c>
      <c r="F521" s="32" t="s">
        <v>57</v>
      </c>
      <c r="G521" s="43" t="s">
        <v>59</v>
      </c>
      <c r="H521" s="43" t="s">
        <v>60</v>
      </c>
      <c r="I521" s="43" t="s">
        <v>61</v>
      </c>
      <c r="J521" s="43" t="s">
        <v>62</v>
      </c>
      <c r="K521" s="43" t="s">
        <v>63</v>
      </c>
    </row>
    <row r="522" spans="3:13" hidden="1" outlineLevel="1" x14ac:dyDescent="0.25">
      <c r="C522" s="33" t="s">
        <v>140</v>
      </c>
      <c r="D522" s="33" t="s">
        <v>132</v>
      </c>
      <c r="E522" s="18" t="s">
        <v>65</v>
      </c>
      <c r="F522" s="18" t="s">
        <v>133</v>
      </c>
      <c r="G522" s="44" cm="1">
        <f t="array" ref="G522">IFERROR(
(IFERROR(INDEX(Calc_CPI_2[[CPI uplift factor]:[CPI uplift factor]],MATCH($C522,Calc_CPI_2[[Cost item]:[Cost item]],0),1),0)+
INDEX(Input_ForRateCalc[],MATCH(Calc_FiT_2[[#This Row],[Cost item]:[Cost item]],Input_ForRateCalc[[Cost item]:[Cost item]],0),MATCH($D$266,Inputs!$C$15:$AZ$15,0))),"-")</f>
        <v>16.945572514842485</v>
      </c>
      <c r="H522" s="44" cm="1">
        <f t="array" ref="H522">IFERROR(
(IFERROR(INDEX(Calc_CPI_2[[CPI uplift factor]:[CPI uplift factor]],MATCH($C522,Calc_CPI_2[[Cost item]:[Cost item]],0),1),0)+
INDEX(Input_ForRateCalc[],MATCH(Calc_FiT_2[[#This Row],[Cost item]:[Cost item]],Input_ForRateCalc[[Cost item]:[Cost item]],0),MATCH($D$266,Inputs!$C$15:$AZ$15,0))),"-")</f>
        <v>16.945572514842485</v>
      </c>
      <c r="I522" s="44" cm="1">
        <f t="array" ref="I522">IFERROR(
(IFERROR(INDEX(Calc_CPI_2[[CPI uplift factor]:[CPI uplift factor]],MATCH($C522,Calc_CPI_2[[Cost item]:[Cost item]],0),1),0)+
INDEX(Input_ForRateCalc[],MATCH(Calc_FiT_2[[#This Row],[Cost item]:[Cost item]],Input_ForRateCalc[[Cost item]:[Cost item]],0),MATCH($D$266,Inputs!$C$15:$AZ$15,0))),"-")</f>
        <v>16.945572514842485</v>
      </c>
      <c r="J522" s="44" cm="1">
        <f t="array" ref="J522">IFERROR(
(IFERROR(INDEX(Calc_CPI_2[[CPI uplift factor]:[CPI uplift factor]],MATCH($C522,Calc_CPI_2[[Cost item]:[Cost item]],0),1),0)+
INDEX(Input_ForRateCalc[],MATCH(Calc_FiT_2[[#This Row],[Cost item]:[Cost item]],Input_ForRateCalc[[Cost item]:[Cost item]],0),MATCH($D$266,Inputs!$C$15:$AZ$15,0))),"-")</f>
        <v>16.945572514842485</v>
      </c>
      <c r="K522" s="44" cm="1">
        <f t="array" ref="K522">IFERROR(
(IFERROR(INDEX(Calc_CPI_2[[CPI uplift factor]:[CPI uplift factor]],MATCH($C522,Calc_CPI_2[[Cost item]:[Cost item]],0),1),0)+
INDEX(Input_ForRateCalc[],MATCH(Calc_FiT_2[[#This Row],[Cost item]:[Cost item]],Input_ForRateCalc[[Cost item]:[Cost item]],0),MATCH($D$266,Inputs!$C$15:$AZ$15,0))),"-")</f>
        <v>16.945572514842485</v>
      </c>
    </row>
    <row r="523" spans="3:13" hidden="1" outlineLevel="1" x14ac:dyDescent="0.25"/>
    <row r="526" spans="3:13" x14ac:dyDescent="0.25">
      <c r="G526" s="62"/>
      <c r="H526" s="62"/>
      <c r="I526" s="62"/>
      <c r="J526" s="62"/>
      <c r="K526" s="62"/>
    </row>
    <row r="527" spans="3:13" x14ac:dyDescent="0.25">
      <c r="G527" s="62"/>
      <c r="H527" s="62"/>
      <c r="I527" s="62"/>
      <c r="J527" s="62"/>
      <c r="K527" s="62"/>
    </row>
    <row r="528" spans="3:13" x14ac:dyDescent="0.25">
      <c r="G528" s="62"/>
      <c r="H528" s="62"/>
      <c r="I528" s="62"/>
      <c r="J528" s="62"/>
      <c r="K528" s="62"/>
    </row>
    <row r="529" spans="4:11" x14ac:dyDescent="0.25">
      <c r="G529" s="62"/>
      <c r="H529" s="62"/>
      <c r="I529" s="62"/>
      <c r="J529" s="62"/>
      <c r="K529" s="62"/>
    </row>
    <row r="530" spans="4:11" x14ac:dyDescent="0.25">
      <c r="G530" s="62"/>
      <c r="H530" s="62"/>
      <c r="I530" s="62"/>
      <c r="J530" s="62"/>
      <c r="K530" s="62"/>
    </row>
    <row r="531" spans="4:11" x14ac:dyDescent="0.25">
      <c r="D531" s="96"/>
      <c r="G531" s="62"/>
      <c r="H531" s="62"/>
      <c r="I531" s="62"/>
      <c r="J531" s="62"/>
      <c r="K531" s="62"/>
    </row>
    <row r="532" spans="4:11" x14ac:dyDescent="0.25">
      <c r="G532" s="62"/>
      <c r="H532" s="62"/>
      <c r="I532" s="62"/>
      <c r="J532" s="62"/>
      <c r="K532" s="62"/>
    </row>
    <row r="533" spans="4:11" x14ac:dyDescent="0.25">
      <c r="G533" s="62"/>
      <c r="H533" s="62"/>
      <c r="I533" s="62"/>
      <c r="J533" s="62"/>
      <c r="K533" s="62"/>
    </row>
    <row r="534" spans="4:11" x14ac:dyDescent="0.25">
      <c r="G534" s="62"/>
      <c r="H534" s="62"/>
      <c r="I534" s="62"/>
      <c r="J534" s="62"/>
      <c r="K534" s="62"/>
    </row>
  </sheetData>
  <sheetProtection algorithmName="SHA-512" hashValue="R3cAwwmSr64ayKpUn5V9GhPcHe2Fn5JDkDHV7MCvfSHSdSBFplkQUjmXVsvHKdTVzQw9XTiJbLoMt5fHbxdmSQ==" saltValue="1ayQ/erVeEBw3+vfy/D+FQ==" spinCount="100000" sheet="1" objects="1" scenarios="1"/>
  <mergeCells count="1">
    <mergeCell ref="A2:A3"/>
  </mergeCells>
  <phoneticPr fontId="30" type="noConversion"/>
  <pageMargins left="0.7" right="0.7" top="0.75" bottom="0.75" header="0.3" footer="0.3"/>
  <pageSetup paperSize="9" orientation="portrait" r:id="rId1"/>
  <headerFooter>
    <oddHeader>&amp;C&amp;B&amp;"Arial"&amp;12&amp;Kff0000​‌OFFICIAL‌​</oddHeader>
  </headerFooter>
  <ignoredErrors>
    <ignoredError sqref="E159 G51:K56 G179:K180 G205:K209 G213:K223 G312:K315 H409:I424 G440:K440 G466:K470 G474:K484 G446:K460 G185:K199 H148:I148 G317:K317 H316:K316 H441:K441 H150:I163 H149" calculatedColumn="1"/>
  </ignoredErrors>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extLst>
    <ext xmlns:x14="http://schemas.microsoft.com/office/spreadsheetml/2009/9/main" uri="{CCE6A557-97BC-4b89-ADB6-D9C93CAAB3DF}">
      <x14:dataValidations xmlns:xm="http://schemas.microsoft.com/office/excel/2006/main" count="3">
        <x14:dataValidation type="list" allowBlank="1" showInputMessage="1" showErrorMessage="1" xr:uid="{C269C7C9-C23E-4503-AA68-2E4DCB6653BB}">
          <x14:formula1>
            <xm:f>'Lookup refs'!$C$8:$C$10</xm:f>
          </x14:formula1>
          <xm:sqref>D179:D180 D148:D154 D229:D231 D213:D224 E224 D173 D82:D87 E238 D235:D238 D261 D24:D30 D58:D65 D167:D169 D67:D72 D89:D94 D96:D101 D103:D110 D112:D117 D119:D124 D127:D132 D74:D79 D440:D441 D490:D492 D474:D485 E485 D255:D257 D343:D348 E499 D496:D499 D41:D47 D522 D466:D472 D285:D291 D319:D326 D409:D415 D312:D317 D428:D430 D328:D333 D350:D355 D357:D362 D364:D371 D373:D378 D380:D385 D388:D393 D335:D340 D134:D139 D395:D400 D205:D211 D32:D39 D271:D283 D293:D300 D302:D308 D51:D56 D243:D247 D249:D253 D434:D436 D175 D516:D518 D510:D514 D185:D199 D10:D22 D504:D508 D446:D460</xm:sqref>
        </x14:dataValidation>
        <x14:dataValidation type="list" allowBlank="1" showInputMessage="1" showErrorMessage="1" xr:uid="{33FF5899-A62D-484E-AA27-47145712B4A0}">
          <x14:formula1>
            <xm:f>'Lookup refs'!$E$8:$E$20</xm:f>
          </x14:formula1>
          <xm:sqref>E261 E395:E400 E167:E169 E173 E179:E180 E229:E231 E67:E72 E185:E199 E24:E30 E380:E385 E213:E223 E235:E237 E74:E79 E82:E87 E89:E94 E96:E101 E103:E110 E112:E117 E58:E65 E119:E124 E41:E47 E319:E326 E522 E388:E393 E428:E430 E440:E441 E490:E492 E328:E333 E10:E22 E285:E291 E466:E472 E127:E132 E474:E484 E312:E317 E496:E498 E134:E139 E335:E340 E343:E348 E350:E355 E357:E362 E364:E371 E373:E378 E510:E514 E516:E518 E243:E247 E249:E253 E255:E257 E205:E211 E32:E39 E271:E283 E293:E300 E302:E308 E51:E56 E434:E436 E175 E504:E508 E446:E460</xm:sqref>
        </x14:dataValidation>
        <x14:dataValidation type="list" allowBlank="1" showInputMessage="1" showErrorMessage="1" xr:uid="{DAD79D20-6C02-417F-980C-C7F87801265D}">
          <x14:formula1>
            <xm:f>'Lookup refs'!$G$8:$G$10</xm:f>
          </x14:formula1>
          <xm:sqref>F185:F199 F167:F169 F173 F179:F180 F213:F223 F261 F229:F231 F24:F30 F235:F237 F328:F333 F364:F371 F74:F79 F58:F65 F82:F87 F103:F110 F89:F94 F119:F124 F127:F132 F112:F117 F67:F72 F96:F101 F10:F22 F428:F430 F255:F257 F440:F441 F474:F484 F522 F490:F492 F41:F47 F285:F291 F496:F498 F466:F470 F134:F139 F357:F362 F312:F317 F335:F340 F319:F326 F343:F348 F373:F378 F350:F355 F388:F393 F380:F385 F395:F400 F205:F209 F32:F39 F271:F283 F293:F300 F302:F308 F51:F56 F243:F245 F249:F251 F434:F436 F175 F516:F518 F510:F512 F504:F506 F446:F460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AA2C-AE0E-470D-92B2-A7ADC3EE59F8}">
  <sheetPr codeName="Sheet11">
    <tabColor theme="4" tint="0.79998168889431442"/>
    <pageSetUpPr autoPageBreaks="0"/>
  </sheetPr>
  <dimension ref="A1:AG235"/>
  <sheetViews>
    <sheetView showGridLines="0" topLeftCell="B1" zoomScale="80" zoomScaleNormal="80" workbookViewId="0">
      <pane xSplit="6" ySplit="17" topLeftCell="N18" activePane="bottomRight" state="frozen"/>
      <selection activeCell="B1" sqref="B1"/>
      <selection pane="topRight" activeCell="H1" sqref="H1"/>
      <selection pane="bottomLeft" activeCell="B18" sqref="B18"/>
      <selection pane="bottomRight" activeCell="D16" sqref="D16"/>
    </sheetView>
  </sheetViews>
  <sheetFormatPr defaultColWidth="9.42578125" defaultRowHeight="15" outlineLevelRow="1" outlineLevelCol="1" x14ac:dyDescent="0.25"/>
  <cols>
    <col min="1" max="1" width="30" hidden="1" customWidth="1" outlineLevel="1"/>
    <col min="2" max="2" width="12.7109375" style="5" customWidth="1" collapsed="1"/>
    <col min="3" max="3" width="24.7109375" customWidth="1"/>
    <col min="4" max="4" width="48.7109375" customWidth="1"/>
    <col min="5" max="5" width="36.140625" customWidth="1"/>
    <col min="6" max="6" width="19.140625" bestFit="1" customWidth="1"/>
    <col min="7" max="7" width="20.42578125" customWidth="1"/>
    <col min="8" max="10" width="24" customWidth="1" outlineLevel="1"/>
    <col min="11" max="20" width="25.5703125" customWidth="1" outlineLevel="1"/>
    <col min="21" max="21" width="15.7109375" customWidth="1"/>
    <col min="22" max="24" width="25.5703125" customWidth="1" outlineLevel="1"/>
    <col min="25" max="25" width="25.5703125" customWidth="1"/>
    <col min="26" max="26" width="34.85546875" customWidth="1"/>
    <col min="27" max="27" width="27.42578125" customWidth="1"/>
    <col min="28" max="29" width="25.5703125" hidden="1" customWidth="1"/>
    <col min="30" max="30" width="11.42578125" customWidth="1"/>
    <col min="31" max="31" width="40.7109375" customWidth="1"/>
    <col min="33" max="33" width="15.28515625" customWidth="1"/>
  </cols>
  <sheetData>
    <row r="1" spans="1:30" ht="15" customHeight="1" x14ac:dyDescent="0.25">
      <c r="A1" s="1" t="s">
        <v>32</v>
      </c>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row>
    <row r="2" spans="1:30" s="3" customFormat="1" ht="26.25" customHeight="1" x14ac:dyDescent="0.25">
      <c r="A2" s="234" t="s">
        <v>93</v>
      </c>
      <c r="B2" s="20"/>
      <c r="C2" s="20" t="str">
        <f>Disclaimer!$B$1</f>
        <v>VDO calculation model</v>
      </c>
      <c r="D2" s="20"/>
      <c r="E2" s="20"/>
      <c r="F2" s="20"/>
      <c r="G2" s="20"/>
      <c r="H2" s="20"/>
      <c r="I2" s="20"/>
      <c r="J2" s="20"/>
      <c r="K2" s="20"/>
      <c r="L2" s="20"/>
      <c r="M2" s="20"/>
      <c r="N2" s="20"/>
      <c r="O2" s="20"/>
      <c r="P2" s="20"/>
      <c r="Q2" s="20"/>
      <c r="R2" s="20"/>
      <c r="S2" s="20"/>
      <c r="T2" s="20"/>
      <c r="U2" s="20"/>
      <c r="V2" s="20"/>
      <c r="W2" s="20"/>
      <c r="X2" s="20"/>
      <c r="Y2" s="20"/>
      <c r="Z2" s="20"/>
      <c r="AA2" s="20"/>
      <c r="AB2" s="20"/>
      <c r="AC2" s="20"/>
      <c r="AD2" s="172"/>
    </row>
    <row r="3" spans="1:30" s="3" customFormat="1" ht="22.5" customHeight="1" x14ac:dyDescent="0.25">
      <c r="A3" s="235"/>
      <c r="B3" s="22">
        <v>6</v>
      </c>
      <c r="C3" s="21" t="s">
        <v>23</v>
      </c>
      <c r="D3" s="21"/>
      <c r="E3" s="21"/>
      <c r="F3" s="21"/>
      <c r="G3" s="21"/>
      <c r="H3" s="21"/>
      <c r="I3" s="21"/>
      <c r="J3" s="21"/>
      <c r="K3" s="21"/>
      <c r="L3" s="21"/>
      <c r="M3" s="21"/>
      <c r="N3" s="21"/>
      <c r="O3" s="21"/>
      <c r="P3" s="21"/>
      <c r="Q3" s="21"/>
      <c r="R3" s="21"/>
      <c r="S3" s="21"/>
      <c r="T3" s="21"/>
      <c r="U3" s="21"/>
      <c r="V3" s="21"/>
      <c r="W3" s="21"/>
      <c r="X3" s="21"/>
      <c r="Y3" s="21"/>
      <c r="Z3" s="21"/>
      <c r="AA3" s="21"/>
      <c r="AB3" s="21"/>
      <c r="AC3" s="21"/>
      <c r="AD3" s="173"/>
    </row>
    <row r="4" spans="1:30" x14ac:dyDescent="0.25">
      <c r="B4"/>
    </row>
    <row r="5" spans="1:30" x14ac:dyDescent="0.25">
      <c r="B5"/>
    </row>
    <row r="6" spans="1:30" ht="16.5" hidden="1" thickBot="1" x14ac:dyDescent="0.3">
      <c r="B6" s="161"/>
      <c r="C6" s="23" t="s">
        <v>94</v>
      </c>
      <c r="D6" s="23"/>
      <c r="E6" s="23"/>
      <c r="F6" s="23"/>
      <c r="G6" s="23"/>
      <c r="H6" s="23"/>
      <c r="I6" s="23"/>
      <c r="J6" s="23"/>
      <c r="K6" s="23"/>
      <c r="L6" s="23"/>
      <c r="M6" s="23"/>
      <c r="N6" s="23"/>
      <c r="O6" s="23"/>
      <c r="P6" s="23"/>
      <c r="Q6" s="23"/>
      <c r="R6" s="23"/>
      <c r="S6" s="23"/>
      <c r="T6" s="23"/>
      <c r="U6" s="23"/>
      <c r="V6" s="23"/>
      <c r="W6" s="23"/>
      <c r="X6" s="23"/>
      <c r="Y6" s="23"/>
      <c r="Z6" s="23"/>
      <c r="AA6" s="23"/>
      <c r="AB6" s="23"/>
      <c r="AC6" s="23"/>
      <c r="AD6" s="26"/>
    </row>
    <row r="7" spans="1:30" hidden="1" x14ac:dyDescent="0.25">
      <c r="B7"/>
    </row>
    <row r="8" spans="1:30" ht="15.75" hidden="1" x14ac:dyDescent="0.25">
      <c r="B8"/>
      <c r="C8" s="83" t="s">
        <v>9</v>
      </c>
      <c r="D8" s="83" t="s">
        <v>95</v>
      </c>
      <c r="E8" s="32" t="s">
        <v>96</v>
      </c>
      <c r="F8" s="83" t="s">
        <v>97</v>
      </c>
      <c r="G8" s="164" t="s">
        <v>98</v>
      </c>
    </row>
    <row r="9" spans="1:30" hidden="1" x14ac:dyDescent="0.25">
      <c r="B9"/>
      <c r="C9" s="41" t="s">
        <v>99</v>
      </c>
      <c r="D9" s="41" t="s">
        <v>100</v>
      </c>
      <c r="E9" s="162" t="s">
        <v>101</v>
      </c>
      <c r="F9" s="11">
        <v>45474</v>
      </c>
      <c r="G9" s="163">
        <v>45838</v>
      </c>
    </row>
    <row r="10" spans="1:30" hidden="1" x14ac:dyDescent="0.25">
      <c r="B10"/>
      <c r="C10" s="41" t="s">
        <v>102</v>
      </c>
      <c r="D10" s="41" t="s">
        <v>100</v>
      </c>
      <c r="E10" s="162" t="s">
        <v>103</v>
      </c>
      <c r="F10" s="11">
        <v>45108</v>
      </c>
      <c r="G10" s="163">
        <v>45473</v>
      </c>
      <c r="Y10" s="167"/>
    </row>
    <row r="11" spans="1:30" hidden="1" x14ac:dyDescent="0.25">
      <c r="B11"/>
    </row>
    <row r="12" spans="1:30" ht="16.5" thickBot="1" x14ac:dyDescent="0.3">
      <c r="A12" s="1" t="s">
        <v>35</v>
      </c>
      <c r="B12" s="161">
        <f>MAX(B$3:B11)+0.01</f>
        <v>6.01</v>
      </c>
      <c r="C12" s="23" t="s">
        <v>104</v>
      </c>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6"/>
    </row>
    <row r="13" spans="1:30" outlineLevel="1" x14ac:dyDescent="0.25"/>
    <row r="14" spans="1:30" ht="15.75" outlineLevel="1" x14ac:dyDescent="0.25">
      <c r="G14" s="29" t="s">
        <v>46</v>
      </c>
      <c r="H14" s="2">
        <v>2021</v>
      </c>
      <c r="I14" s="2">
        <v>2021</v>
      </c>
      <c r="J14" s="2">
        <v>2021</v>
      </c>
      <c r="K14" s="2">
        <v>2021</v>
      </c>
      <c r="L14" s="2">
        <v>2021</v>
      </c>
      <c r="M14" s="2">
        <v>2021</v>
      </c>
      <c r="N14" s="2">
        <v>2022</v>
      </c>
      <c r="O14" s="2">
        <v>2022</v>
      </c>
      <c r="P14" s="2">
        <v>2022</v>
      </c>
      <c r="Q14" s="2">
        <v>2022</v>
      </c>
      <c r="R14" s="2" t="s">
        <v>105</v>
      </c>
      <c r="S14" s="2" t="s">
        <v>105</v>
      </c>
      <c r="T14" s="2" t="s">
        <v>105</v>
      </c>
      <c r="U14" s="2" t="s">
        <v>105</v>
      </c>
      <c r="V14" s="2" t="s">
        <v>106</v>
      </c>
      <c r="W14" s="2" t="s">
        <v>106</v>
      </c>
      <c r="X14" s="2" t="s">
        <v>106</v>
      </c>
      <c r="Y14" s="2" t="s">
        <v>106</v>
      </c>
      <c r="Z14" s="2" t="s">
        <v>1</v>
      </c>
      <c r="AA14" s="2" t="s">
        <v>1</v>
      </c>
      <c r="AB14" s="2" t="s">
        <v>1</v>
      </c>
      <c r="AC14" s="2" t="s">
        <v>1</v>
      </c>
    </row>
    <row r="15" spans="1:30" ht="15.75" outlineLevel="1" x14ac:dyDescent="0.25">
      <c r="G15" s="29" t="s">
        <v>47</v>
      </c>
      <c r="H15" s="60" t="str">
        <f>"VDO "&amp;H14&amp;" - "&amp;IF(LEFT(H17,1)="F","Final",IF(LEFT(H17,1)="D","Draft",IF(LEFT(H17,2)="VD","Variation draft",IF(LEFT(H17,2)="VF","Variation final"))))&amp;" - Input Date"</f>
        <v>VDO 2021 - Final - Input Date</v>
      </c>
      <c r="I15" s="30" t="str">
        <f>"VDO "&amp;I14&amp;" - "&amp;IF(LEFT(I17,1)="F","Final",IF(LEFT(I17,1)="D","Draft",IF(LEFT(I17,2)="VD","Variation draft",IF(LEFT(I17,2)="VF","Variation final"))))</f>
        <v>VDO 2021 - Final</v>
      </c>
      <c r="J15" s="60" t="str">
        <f>"VDO "&amp;J14&amp;" - "&amp;IF(LEFT(J17,1)="F","Final",IF(LEFT(J17,1)="D","Draft",IF(LEFT(J17,2)="VD","Variation draft",IF(LEFT(J17,2)="VF","Variation final"))))&amp;" - Input Date"</f>
        <v>VDO 2021 - Variation draft - Input Date</v>
      </c>
      <c r="K15" s="30" t="str">
        <f>"VDO "&amp;K14&amp;" - "&amp;IF(LEFT(K17,1)="F","Final",IF(LEFT(K17,1)="D","Draft",IF(LEFT(K17,2)="VD","Variation draft",IF(LEFT(K17,2)="VF","Variation final"))))</f>
        <v>VDO 2021 - Variation draft</v>
      </c>
      <c r="L15" s="60" t="str">
        <f>"VDO "&amp;L14&amp;" - "&amp;IF(LEFT(L17,1)="F","Final",IF(LEFT(L17,1)="D","Draft",IF(LEFT(L17,2)="VD","Variation draft",IF(LEFT(L17,2)="VF","Variation final"))))&amp;" - Input Date"</f>
        <v>VDO 2021 - Variation final - Input Date</v>
      </c>
      <c r="M15" s="30" t="str">
        <f>"VDO "&amp;M14&amp;" - "&amp;IF(LEFT(M17,1)="F","Final",IF(LEFT(M17,1)="D","Draft",IF(LEFT(M17,2)="VD","Variation draft",IF(LEFT(M17,2)="VF","Variation final"))))</f>
        <v>VDO 2021 - Variation final</v>
      </c>
      <c r="N15" s="60" t="str">
        <f>"VDO "&amp;N14&amp;" - "&amp;IF(LEFT(N17,1)="F","Final",IF(LEFT(N17,1)="D","Draft",IF(LEFT(N17,2)="VD","Variation draft",IF(LEFT(N17,2)="VF","Variation final"))))&amp;" - Input Date"</f>
        <v>VDO 2022 - Draft - Input Date</v>
      </c>
      <c r="O15" s="30" t="str">
        <f>"VDO "&amp;O14&amp;" - "&amp;IF(LEFT(O17,1)="F","Final",IF(LEFT(O17,1)="D","Draft",IF(LEFT(O17,2)="VD","Variation draft",IF(LEFT(O17,2)="VF","Variation final"))))</f>
        <v>VDO 2022 - Draft</v>
      </c>
      <c r="P15" s="60" t="str">
        <f>"VDO "&amp;P14&amp;" - "&amp;IF(LEFT(P17,1)="F","Final",IF(LEFT(P17,1)="D","Draft",IF(LEFT(P17,2)="VD","Variation draft",IF(LEFT(P17,2)="VF","Variation final"))))&amp;" - Input Date"</f>
        <v>VDO 2022 - Final - Input Date</v>
      </c>
      <c r="Q15" s="30" t="str">
        <f>"VDO "&amp;Q14&amp;" - "&amp;IF(LEFT(Q17,1)="F","Final",IF(LEFT(Q17,1)="D","Draft",IF(LEFT(Q17,2)="VD","Variation draft",IF(LEFT(Q17,2)="VF","Variation final"))))</f>
        <v>VDO 2022 - Final</v>
      </c>
      <c r="R15" s="60" t="str">
        <f>"VDO "&amp;R14&amp;" - "&amp;IF(LEFT(R17,1)="F","Final",IF(LEFT(R17,1)="D","Draft",IF(LEFT(R17,2)="VD","Variation draft",IF(LEFT(R17,2)="VF","Variation final"))))&amp;" - Input Date"</f>
        <v>VDO 2022-23 - Draft - Input Date</v>
      </c>
      <c r="S15" s="30" t="str">
        <f>"VDO "&amp;S14&amp;" - "&amp;IF(LEFT(S17,1)="F","Final",IF(LEFT(S17,1)="D","Draft",IF(LEFT(S17,2)="VD","Variation draft",IF(LEFT(S17,2)="VF","Variation final"))))</f>
        <v>VDO 2022-23 - Draft</v>
      </c>
      <c r="T15" s="60" t="str">
        <f>"VDO "&amp;T14&amp;" - "&amp;IF(LEFT(T17,1)="F","Final",IF(LEFT(T17,1)="D","Draft",IF(LEFT(T17,2)="VD","Variation draft",IF(LEFT(T17,2)="VF","Variation final"))))&amp;" - Input Date"</f>
        <v>VDO 2022-23 - Final - Input Date</v>
      </c>
      <c r="U15" s="30" t="str">
        <f>"VDO "&amp;U14&amp;" - "&amp;IF(LEFT(U17,1)="F","Final",IF(LEFT(U17,1)="D","Draft",IF(LEFT(U17,2)="VD","Variation draft",IF(LEFT(U17,2)="VF","Variation final"))))</f>
        <v>VDO 2022-23 - Final</v>
      </c>
      <c r="V15" s="30" t="str">
        <f>"VDO "&amp;V14&amp;" - "&amp;IF(LEFT(V17,1)="F","Final",IF(LEFT(V17,1)="D","Draft",IF(LEFT(V17,2)="VD","Variation draft",IF(LEFT(V17,2)="VF","Variation final"))))&amp;" - Input Date"</f>
        <v>VDO 2023-24 - Draft - Input Date</v>
      </c>
      <c r="W15" s="30" t="str">
        <f>"VDO "&amp;W14&amp;" - "&amp;IF(LEFT(W17,1)="F","Final",IF(LEFT(W17,1)="D","Draft",IF(LEFT(W17,2)="VD","Variation draft",IF(LEFT(W17,2)="VF","Variation final"))))</f>
        <v>VDO 2023-24 - Draft</v>
      </c>
      <c r="X15" s="30" t="str">
        <f>"VDO "&amp;X14&amp;" - "&amp;IF(LEFT(X17,1)="F","Final",IF(LEFT(X17,1)="D","Draft",IF(LEFT(X17,2)="VD","Variation draft",IF(LEFT(X17,2)="VF","Variation final"))))&amp;" - Input Date"</f>
        <v>VDO 2023-24 - Final - Input Date</v>
      </c>
      <c r="Y15" s="30" t="str">
        <f>"VDO "&amp;Y14&amp;" - "&amp;IF(LEFT(Y17,1)="F","Final",IF(LEFT(Y17,1)="D","Draft",IF(LEFT(Y17,2)="VD","Variation draft",IF(LEFT(Y17,2)="VF","Variation final"))))</f>
        <v>VDO 2023-24 - Final</v>
      </c>
      <c r="Z15" s="30" t="str">
        <f>"VDO "&amp;Z14&amp;" - "&amp;IF(LEFT(Z17,1)="F","Final",IF(LEFT(Z17,1)="D","Draft",IF(LEFT(Z17,2)="VD","Variation draft",IF(LEFT(Z17,2)="VF","Variation final"))))&amp;" - Input Date"</f>
        <v>VDO 2024-25 - Draft - Input Date</v>
      </c>
      <c r="AA15" s="30" t="str">
        <f>"VDO "&amp;AA14&amp;" - "&amp;IF(LEFT(AA17,1)="F","Final",IF(LEFT(AA17,1)="D","Draft",IF(LEFT(AA17,2)="VD","Variation draft",IF(LEFT(AA17,2)="VF","Variation final"))))</f>
        <v>VDO 2024-25 - Draft</v>
      </c>
      <c r="AB15" s="30" t="str">
        <f>"VDO "&amp;AB14&amp;" - "&amp;IF(LEFT(AB17,1)="F","Final",IF(LEFT(AB17,1)="D","Draft",IF(LEFT(AB17,2)="VD","Variation draft",IF(LEFT(AB17,2)="VF","Variation final"))))&amp;" - Input Date"</f>
        <v>VDO 2024-25 - Final - Input Date</v>
      </c>
      <c r="AC15" s="30" t="str">
        <f>"VDO "&amp;AC14&amp;" - "&amp;IF(LEFT(AC17,1)="F","Final",IF(LEFT(AC17,1)="D","Draft",IF(LEFT(AC17,2)="VD","Variation draft",IF(LEFT(AC17,2)="VF","Variation final"))))</f>
        <v>VDO 2024-25 - Final</v>
      </c>
    </row>
    <row r="16" spans="1:30" ht="15.75" outlineLevel="1" x14ac:dyDescent="0.25">
      <c r="C16" s="24" t="s">
        <v>107</v>
      </c>
    </row>
    <row r="17" spans="3:33" ht="15.75" outlineLevel="1" x14ac:dyDescent="0.25">
      <c r="C17" s="31" t="s">
        <v>48</v>
      </c>
      <c r="D17" s="31" t="s">
        <v>49</v>
      </c>
      <c r="E17" s="31" t="s">
        <v>108</v>
      </c>
      <c r="F17" s="31" t="s">
        <v>56</v>
      </c>
      <c r="G17" s="31" t="s">
        <v>57</v>
      </c>
      <c r="H17" s="31" t="s">
        <v>109</v>
      </c>
      <c r="I17" s="31" t="s">
        <v>110</v>
      </c>
      <c r="J17" s="32" t="s">
        <v>111</v>
      </c>
      <c r="K17" s="32" t="s">
        <v>112</v>
      </c>
      <c r="L17" s="32" t="s">
        <v>113</v>
      </c>
      <c r="M17" s="32" t="s">
        <v>114</v>
      </c>
      <c r="N17" s="31" t="s">
        <v>115</v>
      </c>
      <c r="O17" s="31" t="s">
        <v>116</v>
      </c>
      <c r="P17" s="31" t="s">
        <v>117</v>
      </c>
      <c r="Q17" s="31" t="s">
        <v>118</v>
      </c>
      <c r="R17" s="31" t="s">
        <v>119</v>
      </c>
      <c r="S17" s="31" t="s">
        <v>120</v>
      </c>
      <c r="T17" s="31" t="s">
        <v>121</v>
      </c>
      <c r="U17" s="31" t="s">
        <v>122</v>
      </c>
      <c r="V17" s="31" t="s">
        <v>123</v>
      </c>
      <c r="W17" s="31" t="s">
        <v>124</v>
      </c>
      <c r="X17" s="31" t="s">
        <v>125</v>
      </c>
      <c r="Y17" s="31" t="s">
        <v>126</v>
      </c>
      <c r="Z17" s="31" t="s">
        <v>127</v>
      </c>
      <c r="AA17" s="31" t="s">
        <v>128</v>
      </c>
      <c r="AB17" s="31" t="s">
        <v>129</v>
      </c>
      <c r="AC17" s="31" t="s">
        <v>50</v>
      </c>
    </row>
    <row r="18" spans="3:33" outlineLevel="1" x14ac:dyDescent="0.25">
      <c r="C18" s="18" t="s">
        <v>130</v>
      </c>
      <c r="D18" s="18" t="s">
        <v>131</v>
      </c>
      <c r="E18" s="18" t="s">
        <v>132</v>
      </c>
      <c r="F18" s="18" t="s">
        <v>65</v>
      </c>
      <c r="G18" s="18" t="s">
        <v>133</v>
      </c>
      <c r="H18" s="175">
        <v>42916</v>
      </c>
      <c r="I18" s="176">
        <v>121.07</v>
      </c>
      <c r="J18" s="175">
        <v>42916</v>
      </c>
      <c r="K18" s="177">
        <v>121.07</v>
      </c>
      <c r="L18" s="175">
        <v>42916</v>
      </c>
      <c r="M18" s="176">
        <v>121.07</v>
      </c>
      <c r="N18" s="178">
        <v>42916</v>
      </c>
      <c r="O18" s="179">
        <v>121.07</v>
      </c>
      <c r="P18" s="178">
        <v>42916</v>
      </c>
      <c r="Q18" s="179">
        <v>121.07</v>
      </c>
      <c r="R18" s="178">
        <v>42916</v>
      </c>
      <c r="S18" s="179">
        <v>121.07</v>
      </c>
      <c r="T18" s="178">
        <v>42916</v>
      </c>
      <c r="U18" s="179">
        <v>121.07</v>
      </c>
      <c r="V18" s="178">
        <v>44377</v>
      </c>
      <c r="W18" s="179">
        <v>122.19732672802067</v>
      </c>
      <c r="X18" s="178">
        <v>44742</v>
      </c>
      <c r="Y18" s="179">
        <v>125.56</v>
      </c>
      <c r="Z18" s="178">
        <v>45107</v>
      </c>
      <c r="AA18" s="179">
        <v>140.03</v>
      </c>
      <c r="AB18" s="179"/>
      <c r="AC18" s="179"/>
      <c r="AG18" s="137"/>
    </row>
    <row r="19" spans="3:33" outlineLevel="1" x14ac:dyDescent="0.25">
      <c r="C19" s="18" t="s">
        <v>130</v>
      </c>
      <c r="D19" s="18" t="s">
        <v>134</v>
      </c>
      <c r="E19" s="18" t="s">
        <v>132</v>
      </c>
      <c r="F19" s="18" t="s">
        <v>65</v>
      </c>
      <c r="G19" s="18" t="s">
        <v>133</v>
      </c>
      <c r="H19" s="175">
        <v>43646</v>
      </c>
      <c r="I19" s="176">
        <v>10</v>
      </c>
      <c r="J19" s="175">
        <v>43646</v>
      </c>
      <c r="K19" s="177">
        <v>10</v>
      </c>
      <c r="L19" s="175">
        <v>43646</v>
      </c>
      <c r="M19" s="176">
        <v>10</v>
      </c>
      <c r="N19" s="178">
        <v>44561</v>
      </c>
      <c r="O19" s="179">
        <v>10</v>
      </c>
      <c r="P19" s="178">
        <v>44561</v>
      </c>
      <c r="Q19" s="179">
        <v>10</v>
      </c>
      <c r="R19" s="178">
        <v>44742</v>
      </c>
      <c r="S19" s="179">
        <v>10</v>
      </c>
      <c r="T19" s="178">
        <v>44742</v>
      </c>
      <c r="U19" s="179">
        <v>10</v>
      </c>
      <c r="V19" s="178" t="s">
        <v>51</v>
      </c>
      <c r="W19" s="179">
        <v>0</v>
      </c>
      <c r="X19" s="178" t="s">
        <v>51</v>
      </c>
      <c r="Y19" s="179">
        <v>0</v>
      </c>
      <c r="Z19" s="178" t="s">
        <v>51</v>
      </c>
      <c r="AA19" s="179">
        <v>0</v>
      </c>
      <c r="AB19" s="179"/>
      <c r="AC19" s="179"/>
      <c r="AG19" s="137"/>
    </row>
    <row r="20" spans="3:33" outlineLevel="1" x14ac:dyDescent="0.25">
      <c r="C20" s="18" t="s">
        <v>130</v>
      </c>
      <c r="D20" s="18" t="s">
        <v>135</v>
      </c>
      <c r="E20" s="18" t="s">
        <v>132</v>
      </c>
      <c r="F20" s="18" t="s">
        <v>65</v>
      </c>
      <c r="G20" s="18" t="s">
        <v>133</v>
      </c>
      <c r="H20" s="175">
        <v>44196</v>
      </c>
      <c r="I20" s="176">
        <v>0.210145</v>
      </c>
      <c r="J20" s="175">
        <v>44196</v>
      </c>
      <c r="K20" s="177">
        <v>0.210145</v>
      </c>
      <c r="L20" s="175">
        <v>44196</v>
      </c>
      <c r="M20" s="176">
        <v>0.210145</v>
      </c>
      <c r="N20" s="178">
        <v>44561</v>
      </c>
      <c r="O20" s="179">
        <v>0.84057999999999999</v>
      </c>
      <c r="P20" s="178">
        <v>44561</v>
      </c>
      <c r="Q20" s="179">
        <v>0.84057999999999999</v>
      </c>
      <c r="R20" s="178">
        <v>44742</v>
      </c>
      <c r="S20" s="179">
        <v>0.84057999999999999</v>
      </c>
      <c r="T20" s="178">
        <v>44742</v>
      </c>
      <c r="U20" s="179">
        <v>0.84057999999999999</v>
      </c>
      <c r="V20" s="178" t="s">
        <v>51</v>
      </c>
      <c r="W20" s="179">
        <v>0</v>
      </c>
      <c r="X20" s="178" t="s">
        <v>51</v>
      </c>
      <c r="Y20" s="179">
        <v>0</v>
      </c>
      <c r="Z20" s="178" t="s">
        <v>51</v>
      </c>
      <c r="AA20" s="179">
        <v>0</v>
      </c>
      <c r="AB20" s="179"/>
      <c r="AC20" s="179"/>
      <c r="AG20" s="137"/>
    </row>
    <row r="21" spans="3:33" outlineLevel="1" x14ac:dyDescent="0.25">
      <c r="C21" s="18" t="s">
        <v>130</v>
      </c>
      <c r="D21" s="18" t="s">
        <v>136</v>
      </c>
      <c r="E21" s="18" t="s">
        <v>132</v>
      </c>
      <c r="F21" s="18" t="s">
        <v>65</v>
      </c>
      <c r="G21" s="18" t="s">
        <v>133</v>
      </c>
      <c r="H21" s="175">
        <v>44196</v>
      </c>
      <c r="I21" s="176">
        <v>6</v>
      </c>
      <c r="J21" s="175">
        <v>44196</v>
      </c>
      <c r="K21" s="177">
        <v>6</v>
      </c>
      <c r="L21" s="175">
        <v>44196</v>
      </c>
      <c r="M21" s="176">
        <v>6</v>
      </c>
      <c r="N21" s="178">
        <v>44561</v>
      </c>
      <c r="O21" s="179">
        <v>6</v>
      </c>
      <c r="P21" s="178">
        <v>44561</v>
      </c>
      <c r="Q21" s="179">
        <v>0</v>
      </c>
      <c r="R21" s="178">
        <v>44742</v>
      </c>
      <c r="S21" s="179">
        <v>0</v>
      </c>
      <c r="T21" s="178">
        <v>44742</v>
      </c>
      <c r="U21" s="179">
        <v>0</v>
      </c>
      <c r="V21" s="178" t="s">
        <v>51</v>
      </c>
      <c r="W21" s="179">
        <v>0</v>
      </c>
      <c r="X21" s="178" t="s">
        <v>51</v>
      </c>
      <c r="Y21" s="179">
        <v>0</v>
      </c>
      <c r="Z21" s="178" t="s">
        <v>51</v>
      </c>
      <c r="AA21" s="179">
        <v>0</v>
      </c>
      <c r="AB21" s="179"/>
      <c r="AC21" s="179"/>
      <c r="AG21" s="137"/>
    </row>
    <row r="22" spans="3:33" outlineLevel="1" x14ac:dyDescent="0.25">
      <c r="C22" s="18" t="s">
        <v>130</v>
      </c>
      <c r="D22" s="18" t="s">
        <v>137</v>
      </c>
      <c r="E22" s="18" t="s">
        <v>132</v>
      </c>
      <c r="F22" s="180" t="s">
        <v>65</v>
      </c>
      <c r="G22" s="180" t="s">
        <v>133</v>
      </c>
      <c r="H22" s="175"/>
      <c r="I22" s="176"/>
      <c r="J22" s="176"/>
      <c r="K22" s="177"/>
      <c r="L22" s="178"/>
      <c r="M22" s="181"/>
      <c r="N22" s="178"/>
      <c r="O22" s="179"/>
      <c r="P22" s="178"/>
      <c r="Q22" s="182"/>
      <c r="R22" s="178">
        <v>44742</v>
      </c>
      <c r="S22" s="179">
        <v>0</v>
      </c>
      <c r="T22" s="178">
        <v>44742</v>
      </c>
      <c r="U22" s="179">
        <v>0</v>
      </c>
      <c r="V22" s="178" t="s">
        <v>51</v>
      </c>
      <c r="W22" s="179">
        <v>0</v>
      </c>
      <c r="X22" s="178" t="s">
        <v>51</v>
      </c>
      <c r="Y22" s="179">
        <v>0</v>
      </c>
      <c r="Z22" s="178" t="s">
        <v>51</v>
      </c>
      <c r="AA22" s="179">
        <v>0</v>
      </c>
      <c r="AB22" s="179"/>
      <c r="AC22" s="179"/>
      <c r="AG22" s="137"/>
    </row>
    <row r="23" spans="3:33" outlineLevel="1" x14ac:dyDescent="0.25">
      <c r="C23" s="18" t="s">
        <v>130</v>
      </c>
      <c r="D23" s="18" t="s">
        <v>138</v>
      </c>
      <c r="E23" s="18" t="s">
        <v>132</v>
      </c>
      <c r="F23" s="18" t="s">
        <v>65</v>
      </c>
      <c r="G23" s="18" t="s">
        <v>133</v>
      </c>
      <c r="H23" s="175">
        <v>43646</v>
      </c>
      <c r="I23" s="176">
        <v>38</v>
      </c>
      <c r="J23" s="175">
        <v>43646</v>
      </c>
      <c r="K23" s="177">
        <v>38</v>
      </c>
      <c r="L23" s="175">
        <v>43646</v>
      </c>
      <c r="M23" s="176">
        <v>38</v>
      </c>
      <c r="N23" s="178">
        <v>43646</v>
      </c>
      <c r="O23" s="179">
        <v>38</v>
      </c>
      <c r="P23" s="178">
        <v>43646</v>
      </c>
      <c r="Q23" s="179">
        <v>38</v>
      </c>
      <c r="R23" s="178">
        <v>43646</v>
      </c>
      <c r="S23" s="179">
        <v>38</v>
      </c>
      <c r="T23" s="178">
        <v>43646</v>
      </c>
      <c r="U23" s="179">
        <v>38</v>
      </c>
      <c r="V23" s="178">
        <v>43646</v>
      </c>
      <c r="W23" s="179">
        <v>38</v>
      </c>
      <c r="X23" s="178">
        <v>43646</v>
      </c>
      <c r="Y23" s="179">
        <v>38</v>
      </c>
      <c r="Z23" s="178">
        <v>43646</v>
      </c>
      <c r="AA23" s="179">
        <v>38</v>
      </c>
      <c r="AB23" s="179"/>
      <c r="AC23" s="179"/>
      <c r="AG23" s="137"/>
    </row>
    <row r="24" spans="3:33" outlineLevel="1" x14ac:dyDescent="0.25">
      <c r="C24" s="18" t="s">
        <v>139</v>
      </c>
      <c r="D24" s="42" t="s">
        <v>140</v>
      </c>
      <c r="E24" s="18" t="s">
        <v>132</v>
      </c>
      <c r="F24" s="18" t="s">
        <v>65</v>
      </c>
      <c r="G24" s="18" t="s">
        <v>133</v>
      </c>
      <c r="H24" s="175">
        <v>44012</v>
      </c>
      <c r="I24" s="176">
        <v>10.681187545882992</v>
      </c>
      <c r="J24" s="175">
        <v>44012</v>
      </c>
      <c r="K24" s="177">
        <v>10.681187545882992</v>
      </c>
      <c r="L24" s="175">
        <v>44012</v>
      </c>
      <c r="M24" s="176">
        <v>10.681187545882992</v>
      </c>
      <c r="N24" s="178"/>
      <c r="O24" s="179">
        <v>13.337762647243332</v>
      </c>
      <c r="P24" s="178">
        <v>44377</v>
      </c>
      <c r="Q24" s="183">
        <v>13.3378215450212</v>
      </c>
      <c r="R24" s="178">
        <v>44742</v>
      </c>
      <c r="S24" s="183">
        <v>13.337821545021233</v>
      </c>
      <c r="T24" s="178">
        <v>44742</v>
      </c>
      <c r="U24" s="179">
        <v>16.3753204944286</v>
      </c>
      <c r="V24" s="178">
        <v>44742</v>
      </c>
      <c r="W24" s="179">
        <v>16.798654107055601</v>
      </c>
      <c r="X24" s="178">
        <v>44742</v>
      </c>
      <c r="Y24" s="179">
        <v>16.945572514842485</v>
      </c>
      <c r="Z24" s="178">
        <v>45473</v>
      </c>
      <c r="AA24" s="179">
        <v>17.695706209818297</v>
      </c>
      <c r="AB24" s="179"/>
      <c r="AC24" s="179"/>
      <c r="AG24" s="137"/>
    </row>
    <row r="25" spans="3:33" outlineLevel="1" x14ac:dyDescent="0.25">
      <c r="C25" s="18" t="s">
        <v>141</v>
      </c>
      <c r="D25" s="18" t="s">
        <v>142</v>
      </c>
      <c r="E25" s="18" t="s">
        <v>132</v>
      </c>
      <c r="F25" s="18" t="s">
        <v>65</v>
      </c>
      <c r="G25" s="18" t="s">
        <v>133</v>
      </c>
      <c r="H25" s="175">
        <v>43646</v>
      </c>
      <c r="I25" s="176">
        <v>1.6735247135296942</v>
      </c>
      <c r="J25" s="175">
        <v>43646</v>
      </c>
      <c r="K25" s="177">
        <v>1.6735247135296942</v>
      </c>
      <c r="L25" s="175">
        <v>43646</v>
      </c>
      <c r="M25" s="176">
        <v>1.6735247135296942</v>
      </c>
      <c r="N25" s="178">
        <v>43646</v>
      </c>
      <c r="O25" s="179">
        <v>1.6735247135296942</v>
      </c>
      <c r="P25" s="178">
        <v>44012</v>
      </c>
      <c r="Q25" s="179">
        <v>2.0603588195421731</v>
      </c>
      <c r="R25" s="178">
        <v>44012</v>
      </c>
      <c r="S25" s="179">
        <v>2.0603588195421731</v>
      </c>
      <c r="T25" s="178">
        <v>44012</v>
      </c>
      <c r="U25" s="179">
        <v>2.0603588195421731</v>
      </c>
      <c r="V25" s="178">
        <v>44742</v>
      </c>
      <c r="W25" s="179">
        <v>2.1517417959129101</v>
      </c>
      <c r="X25" s="178">
        <v>44742</v>
      </c>
      <c r="Y25" s="179">
        <v>2.1517417959129101</v>
      </c>
      <c r="Z25" s="178">
        <v>45107</v>
      </c>
      <c r="AA25" s="179">
        <v>2.2332000000000001</v>
      </c>
      <c r="AB25" s="179"/>
      <c r="AC25" s="179"/>
      <c r="AG25" s="137"/>
    </row>
    <row r="26" spans="3:33" outlineLevel="1" x14ac:dyDescent="0.25">
      <c r="C26" s="18" t="s">
        <v>141</v>
      </c>
      <c r="D26" s="42" t="s">
        <v>143</v>
      </c>
      <c r="E26" s="18" t="s">
        <v>132</v>
      </c>
      <c r="F26" s="18" t="s">
        <v>65</v>
      </c>
      <c r="G26" s="18" t="s">
        <v>133</v>
      </c>
      <c r="H26" s="175">
        <v>44196</v>
      </c>
      <c r="I26" s="176">
        <v>2.46</v>
      </c>
      <c r="J26" s="175">
        <v>44196</v>
      </c>
      <c r="K26" s="177">
        <v>2.46</v>
      </c>
      <c r="L26" s="175">
        <v>44196</v>
      </c>
      <c r="M26" s="176">
        <v>2.46</v>
      </c>
      <c r="N26" s="178">
        <v>44196</v>
      </c>
      <c r="O26" s="179">
        <v>0</v>
      </c>
      <c r="P26" s="178">
        <v>44196</v>
      </c>
      <c r="Q26" s="179">
        <v>0</v>
      </c>
      <c r="R26" s="178">
        <v>44742</v>
      </c>
      <c r="S26" s="179">
        <v>0</v>
      </c>
      <c r="T26" s="178">
        <v>44742</v>
      </c>
      <c r="U26" s="179">
        <v>0</v>
      </c>
      <c r="V26" s="178">
        <v>44926</v>
      </c>
      <c r="W26" s="179">
        <v>0</v>
      </c>
      <c r="X26" s="178">
        <v>44926</v>
      </c>
      <c r="Y26" s="179">
        <v>0</v>
      </c>
      <c r="Z26" s="178">
        <v>45473</v>
      </c>
      <c r="AA26" s="179">
        <v>0</v>
      </c>
      <c r="AB26" s="179"/>
      <c r="AC26" s="179"/>
      <c r="AG26" s="137"/>
    </row>
    <row r="27" spans="3:33" outlineLevel="1" x14ac:dyDescent="0.25">
      <c r="C27" s="18" t="s">
        <v>141</v>
      </c>
      <c r="D27" s="42" t="s">
        <v>144</v>
      </c>
      <c r="E27" s="18" t="s">
        <v>132</v>
      </c>
      <c r="F27" s="18" t="s">
        <v>145</v>
      </c>
      <c r="G27" s="18" t="s">
        <v>133</v>
      </c>
      <c r="H27" s="175">
        <v>44012</v>
      </c>
      <c r="I27" s="176">
        <v>1.1849999999999999E-2</v>
      </c>
      <c r="J27" s="175">
        <v>44012</v>
      </c>
      <c r="K27" s="177">
        <v>1.1849999999999999E-2</v>
      </c>
      <c r="L27" s="175">
        <v>44012</v>
      </c>
      <c r="M27" s="176">
        <v>1.1849999999999999E-2</v>
      </c>
      <c r="N27" s="178">
        <v>44377</v>
      </c>
      <c r="O27" s="179">
        <v>1.1849999999999999E-2</v>
      </c>
      <c r="P27" s="178">
        <v>44377</v>
      </c>
      <c r="Q27" s="182">
        <v>1.1849999999999999E-2</v>
      </c>
      <c r="R27" s="178">
        <v>44377</v>
      </c>
      <c r="S27" s="182">
        <v>1.1849999999999999E-2</v>
      </c>
      <c r="T27" s="178">
        <v>44742</v>
      </c>
      <c r="U27" s="179">
        <v>1.1039999999999999E-2</v>
      </c>
      <c r="V27" s="178">
        <v>45107</v>
      </c>
      <c r="W27" s="179">
        <v>1.154E-2</v>
      </c>
      <c r="X27" s="178">
        <v>45107</v>
      </c>
      <c r="Y27" s="179">
        <v>1.26E-2</v>
      </c>
      <c r="Z27" s="178">
        <v>45473</v>
      </c>
      <c r="AA27" s="179">
        <v>1.26E-2</v>
      </c>
      <c r="AB27" s="179"/>
      <c r="AC27" s="179"/>
      <c r="AG27" s="137"/>
    </row>
    <row r="28" spans="3:33" outlineLevel="1" x14ac:dyDescent="0.25">
      <c r="C28" s="18" t="s">
        <v>141</v>
      </c>
      <c r="D28" s="42" t="s">
        <v>146</v>
      </c>
      <c r="E28" s="18" t="s">
        <v>132</v>
      </c>
      <c r="F28" s="18" t="s">
        <v>145</v>
      </c>
      <c r="G28" s="18" t="s">
        <v>133</v>
      </c>
      <c r="H28" s="175">
        <v>44012</v>
      </c>
      <c r="I28" s="176">
        <v>2.5499999999999998E-2</v>
      </c>
      <c r="J28" s="175">
        <v>44012</v>
      </c>
      <c r="K28" s="177">
        <v>2.5499999999999998E-2</v>
      </c>
      <c r="L28" s="175">
        <v>44012</v>
      </c>
      <c r="M28" s="176">
        <v>2.5499999999999998E-2</v>
      </c>
      <c r="N28" s="178">
        <v>44377</v>
      </c>
      <c r="O28" s="179">
        <v>2.5919999999999999E-2</v>
      </c>
      <c r="P28" s="178">
        <v>44377</v>
      </c>
      <c r="Q28" s="184">
        <v>2.5919999999999999E-2</v>
      </c>
      <c r="R28" s="178">
        <v>44377</v>
      </c>
      <c r="S28" s="184">
        <v>2.5919999999999999E-2</v>
      </c>
      <c r="T28" s="178">
        <v>44742</v>
      </c>
      <c r="U28" s="179">
        <v>2.526382695438063E-2</v>
      </c>
      <c r="V28" s="178">
        <v>45107</v>
      </c>
      <c r="W28" s="179">
        <v>2.6323550000000001E-2</v>
      </c>
      <c r="X28" s="178">
        <v>45107</v>
      </c>
      <c r="Y28" s="179">
        <v>2.5020000000000001E-2</v>
      </c>
      <c r="Z28" s="178">
        <v>45473</v>
      </c>
      <c r="AA28" s="179">
        <v>2.92E-2</v>
      </c>
      <c r="AB28" s="179"/>
      <c r="AC28" s="179"/>
      <c r="AG28" s="137"/>
    </row>
    <row r="29" spans="3:33" outlineLevel="1" x14ac:dyDescent="0.25">
      <c r="C29" s="42" t="s">
        <v>141</v>
      </c>
      <c r="D29" s="42" t="s">
        <v>147</v>
      </c>
      <c r="E29" s="18" t="s">
        <v>132</v>
      </c>
      <c r="F29" s="42" t="s">
        <v>145</v>
      </c>
      <c r="G29" s="42" t="s">
        <v>133</v>
      </c>
      <c r="H29" s="175"/>
      <c r="I29" s="176"/>
      <c r="J29" s="175"/>
      <c r="K29" s="177"/>
      <c r="L29" s="175"/>
      <c r="M29" s="176"/>
      <c r="N29" s="178"/>
      <c r="O29" s="179"/>
      <c r="P29" s="178"/>
      <c r="Q29" s="184"/>
      <c r="R29" s="178"/>
      <c r="S29" s="184"/>
      <c r="T29" s="178">
        <v>44742</v>
      </c>
      <c r="U29" s="179">
        <v>0</v>
      </c>
      <c r="V29" s="178">
        <v>45107</v>
      </c>
      <c r="W29" s="179">
        <v>0</v>
      </c>
      <c r="X29" s="178">
        <v>45107</v>
      </c>
      <c r="Y29" s="179">
        <v>8.8169999999999998E-2</v>
      </c>
      <c r="Z29" s="178">
        <v>45473</v>
      </c>
      <c r="AA29" s="179">
        <v>9.2100000000000001E-2</v>
      </c>
      <c r="AB29" s="179"/>
      <c r="AC29" s="179"/>
      <c r="AG29" s="137"/>
    </row>
    <row r="30" spans="3:33" outlineLevel="1" x14ac:dyDescent="0.25">
      <c r="C30" s="42" t="s">
        <v>141</v>
      </c>
      <c r="D30" s="42" t="s">
        <v>148</v>
      </c>
      <c r="E30" s="18" t="s">
        <v>132</v>
      </c>
      <c r="F30" s="42" t="s">
        <v>145</v>
      </c>
      <c r="G30" s="42" t="s">
        <v>133</v>
      </c>
      <c r="H30" s="175"/>
      <c r="I30" s="176"/>
      <c r="J30" s="175"/>
      <c r="K30" s="177"/>
      <c r="L30" s="175"/>
      <c r="M30" s="176"/>
      <c r="N30" s="178"/>
      <c r="O30" s="179"/>
      <c r="P30" s="178"/>
      <c r="Q30" s="184"/>
      <c r="R30" s="178"/>
      <c r="S30" s="184"/>
      <c r="T30" s="178">
        <v>44742</v>
      </c>
      <c r="U30" s="179">
        <v>0</v>
      </c>
      <c r="V30" s="178">
        <v>45107</v>
      </c>
      <c r="W30" s="179">
        <v>0</v>
      </c>
      <c r="X30" s="178">
        <v>45107</v>
      </c>
      <c r="Y30" s="179">
        <v>3.7000000000000002E-3</v>
      </c>
      <c r="Z30" s="178">
        <v>45473</v>
      </c>
      <c r="AA30" s="179">
        <v>3.7000000000000002E-3</v>
      </c>
      <c r="AB30" s="179"/>
      <c r="AC30" s="179"/>
      <c r="AG30" s="137"/>
    </row>
    <row r="31" spans="3:33" outlineLevel="1" x14ac:dyDescent="0.25">
      <c r="C31" s="42" t="s">
        <v>141</v>
      </c>
      <c r="D31" s="18" t="s">
        <v>149</v>
      </c>
      <c r="E31" s="18" t="s">
        <v>132</v>
      </c>
      <c r="F31" s="42" t="s">
        <v>145</v>
      </c>
      <c r="G31" s="42" t="s">
        <v>133</v>
      </c>
      <c r="H31" s="175"/>
      <c r="I31" s="176"/>
      <c r="J31" s="175"/>
      <c r="K31" s="177"/>
      <c r="L31" s="175"/>
      <c r="M31" s="176"/>
      <c r="N31" s="178"/>
      <c r="O31" s="179"/>
      <c r="P31" s="178"/>
      <c r="Q31" s="184"/>
      <c r="R31" s="178"/>
      <c r="S31" s="184"/>
      <c r="T31" s="178">
        <v>44742</v>
      </c>
      <c r="U31" s="179">
        <v>0</v>
      </c>
      <c r="V31" s="178">
        <v>45107</v>
      </c>
      <c r="W31" s="179">
        <v>0</v>
      </c>
      <c r="X31" s="178">
        <v>45107</v>
      </c>
      <c r="Y31" s="179">
        <v>3.1189999999999999E-2</v>
      </c>
      <c r="Z31" s="178">
        <v>45473</v>
      </c>
      <c r="AA31" s="179">
        <v>3.1189999999999999E-2</v>
      </c>
      <c r="AB31" s="179"/>
      <c r="AC31" s="179"/>
      <c r="AG31" s="137"/>
    </row>
    <row r="32" spans="3:33" outlineLevel="1" x14ac:dyDescent="0.25">
      <c r="C32" s="18" t="s">
        <v>81</v>
      </c>
      <c r="D32" s="18" t="s">
        <v>150</v>
      </c>
      <c r="E32" s="18" t="s">
        <v>132</v>
      </c>
      <c r="F32" s="18" t="s">
        <v>151</v>
      </c>
      <c r="G32" s="18" t="s">
        <v>133</v>
      </c>
      <c r="H32" s="175">
        <v>44196</v>
      </c>
      <c r="I32" s="176">
        <v>59.6</v>
      </c>
      <c r="J32" s="178">
        <v>44377</v>
      </c>
      <c r="K32" s="179">
        <v>63.7</v>
      </c>
      <c r="L32" s="178">
        <v>44377</v>
      </c>
      <c r="M32" s="179">
        <v>63.7</v>
      </c>
      <c r="N32" s="178">
        <v>44377</v>
      </c>
      <c r="O32" s="179">
        <v>63.7</v>
      </c>
      <c r="P32" s="178">
        <v>44377</v>
      </c>
      <c r="Q32" s="179">
        <v>63.7</v>
      </c>
      <c r="R32" s="178">
        <v>44377</v>
      </c>
      <c r="S32" s="183">
        <v>72.901836379042152</v>
      </c>
      <c r="T32" s="178">
        <v>44377</v>
      </c>
      <c r="U32" s="179">
        <v>73.687691673983423</v>
      </c>
      <c r="V32" s="178">
        <v>44742</v>
      </c>
      <c r="W32" s="179">
        <v>79.458799999999997</v>
      </c>
      <c r="X32" s="178">
        <v>45107</v>
      </c>
      <c r="Y32" s="179">
        <v>81.098642274190084</v>
      </c>
      <c r="Z32" s="178">
        <v>45473</v>
      </c>
      <c r="AA32" s="179">
        <v>84.384749338817059</v>
      </c>
      <c r="AB32" s="179"/>
      <c r="AC32" s="179"/>
      <c r="AE32" s="157"/>
      <c r="AG32" s="137"/>
    </row>
    <row r="33" spans="3:33" outlineLevel="1" x14ac:dyDescent="0.25">
      <c r="C33" s="18" t="s">
        <v>81</v>
      </c>
      <c r="D33" s="18" t="s">
        <v>152</v>
      </c>
      <c r="E33" s="18" t="s">
        <v>132</v>
      </c>
      <c r="F33" s="18" t="s">
        <v>151</v>
      </c>
      <c r="G33" s="18" t="s">
        <v>133</v>
      </c>
      <c r="H33" s="175">
        <v>44196</v>
      </c>
      <c r="I33" s="176">
        <v>65.8</v>
      </c>
      <c r="J33" s="178">
        <v>44377</v>
      </c>
      <c r="K33" s="179">
        <v>59.4</v>
      </c>
      <c r="L33" s="178">
        <v>44377</v>
      </c>
      <c r="M33" s="179">
        <v>59.4</v>
      </c>
      <c r="N33" s="178">
        <v>44377</v>
      </c>
      <c r="O33" s="179">
        <v>59.4</v>
      </c>
      <c r="P33" s="178">
        <v>44377</v>
      </c>
      <c r="Q33" s="179">
        <v>59.4</v>
      </c>
      <c r="R33" s="178">
        <v>44377</v>
      </c>
      <c r="S33" s="183">
        <v>62.513688088390346</v>
      </c>
      <c r="T33" s="178">
        <v>44377</v>
      </c>
      <c r="U33" s="179">
        <v>65.843069177343665</v>
      </c>
      <c r="V33" s="178">
        <v>44742</v>
      </c>
      <c r="W33" s="179">
        <v>70.999799999999993</v>
      </c>
      <c r="X33" s="178">
        <v>45107</v>
      </c>
      <c r="Y33" s="179">
        <v>69.333895686956055</v>
      </c>
      <c r="Z33" s="178">
        <v>45473</v>
      </c>
      <c r="AA33" s="179">
        <v>72.143296658981029</v>
      </c>
      <c r="AB33" s="179"/>
      <c r="AC33" s="179"/>
      <c r="AE33" s="157"/>
      <c r="AG33" s="137"/>
    </row>
    <row r="34" spans="3:33" outlineLevel="1" x14ac:dyDescent="0.25">
      <c r="C34" s="18" t="s">
        <v>81</v>
      </c>
      <c r="D34" s="18" t="s">
        <v>153</v>
      </c>
      <c r="E34" s="18" t="s">
        <v>132</v>
      </c>
      <c r="F34" s="18" t="s">
        <v>151</v>
      </c>
      <c r="G34" s="18" t="s">
        <v>133</v>
      </c>
      <c r="H34" s="175">
        <v>44196</v>
      </c>
      <c r="I34" s="176">
        <v>66.28</v>
      </c>
      <c r="J34" s="178">
        <v>44377</v>
      </c>
      <c r="K34" s="179">
        <v>54.19</v>
      </c>
      <c r="L34" s="178">
        <v>44377</v>
      </c>
      <c r="M34" s="179">
        <v>54.19</v>
      </c>
      <c r="N34" s="178">
        <v>44377</v>
      </c>
      <c r="O34" s="179">
        <v>54.19</v>
      </c>
      <c r="P34" s="178">
        <v>44377</v>
      </c>
      <c r="Q34" s="179">
        <v>54.19</v>
      </c>
      <c r="R34" s="178">
        <v>44377</v>
      </c>
      <c r="S34" s="183">
        <v>55.822653689249755</v>
      </c>
      <c r="T34" s="178">
        <v>44377</v>
      </c>
      <c r="U34" s="179">
        <v>64.709012434113291</v>
      </c>
      <c r="V34" s="178">
        <v>44742</v>
      </c>
      <c r="W34" s="179">
        <v>69.776899999999998</v>
      </c>
      <c r="X34" s="178">
        <v>45107</v>
      </c>
      <c r="Y34" s="179">
        <v>60.012342755043747</v>
      </c>
      <c r="Z34" s="178">
        <v>45473</v>
      </c>
      <c r="AA34" s="179">
        <v>62.444035542518748</v>
      </c>
      <c r="AB34" s="179"/>
      <c r="AC34" s="179"/>
      <c r="AE34" s="157"/>
      <c r="AG34" s="137"/>
    </row>
    <row r="35" spans="3:33" outlineLevel="1" x14ac:dyDescent="0.25">
      <c r="C35" s="18" t="s">
        <v>81</v>
      </c>
      <c r="D35" s="18" t="s">
        <v>154</v>
      </c>
      <c r="E35" s="18" t="s">
        <v>132</v>
      </c>
      <c r="F35" s="18" t="s">
        <v>151</v>
      </c>
      <c r="G35" s="18" t="s">
        <v>133</v>
      </c>
      <c r="H35" s="175">
        <v>44196</v>
      </c>
      <c r="I35" s="176">
        <v>65.5</v>
      </c>
      <c r="J35" s="178">
        <v>44377</v>
      </c>
      <c r="K35" s="179">
        <v>58</v>
      </c>
      <c r="L35" s="178">
        <v>44377</v>
      </c>
      <c r="M35" s="179">
        <v>58</v>
      </c>
      <c r="N35" s="178">
        <v>44377</v>
      </c>
      <c r="O35" s="179">
        <v>58</v>
      </c>
      <c r="P35" s="178">
        <v>44377</v>
      </c>
      <c r="Q35" s="179">
        <v>58</v>
      </c>
      <c r="R35" s="178">
        <v>44377</v>
      </c>
      <c r="S35" s="183">
        <v>59.390794631454334</v>
      </c>
      <c r="T35" s="178">
        <v>44377</v>
      </c>
      <c r="U35" s="179">
        <v>62.150631405968483</v>
      </c>
      <c r="V35" s="178">
        <v>44742</v>
      </c>
      <c r="W35" s="179">
        <v>67.018199999999993</v>
      </c>
      <c r="X35" s="178">
        <v>45107</v>
      </c>
      <c r="Y35" s="179">
        <v>65.762555105520235</v>
      </c>
      <c r="Z35" s="178">
        <v>45473</v>
      </c>
      <c r="AA35" s="179">
        <v>68.427245794046655</v>
      </c>
      <c r="AB35" s="179"/>
      <c r="AC35" s="179"/>
      <c r="AE35" s="157"/>
      <c r="AG35" s="137"/>
    </row>
    <row r="36" spans="3:33" outlineLevel="1" x14ac:dyDescent="0.25">
      <c r="C36" s="18" t="s">
        <v>81</v>
      </c>
      <c r="D36" s="18" t="s">
        <v>155</v>
      </c>
      <c r="E36" s="18" t="s">
        <v>132</v>
      </c>
      <c r="F36" s="18" t="s">
        <v>151</v>
      </c>
      <c r="G36" s="18" t="s">
        <v>133</v>
      </c>
      <c r="H36" s="175">
        <v>44196</v>
      </c>
      <c r="I36" s="176">
        <v>48.82</v>
      </c>
      <c r="J36" s="178">
        <v>44377</v>
      </c>
      <c r="K36" s="179">
        <v>42.92</v>
      </c>
      <c r="L36" s="178">
        <v>44377</v>
      </c>
      <c r="M36" s="179">
        <v>42.92</v>
      </c>
      <c r="N36" s="178">
        <v>44377</v>
      </c>
      <c r="O36" s="179">
        <v>42.92</v>
      </c>
      <c r="P36" s="178">
        <v>44377</v>
      </c>
      <c r="Q36" s="179">
        <v>42.92</v>
      </c>
      <c r="R36" s="178">
        <v>44377</v>
      </c>
      <c r="S36" s="183">
        <v>43.808058038216856</v>
      </c>
      <c r="T36" s="178">
        <v>44377</v>
      </c>
      <c r="U36" s="179">
        <v>43.604260842124496</v>
      </c>
      <c r="V36" s="178">
        <v>44742</v>
      </c>
      <c r="W36" s="179">
        <v>47.019300000000001</v>
      </c>
      <c r="X36" s="178">
        <v>45107</v>
      </c>
      <c r="Y36" s="179">
        <v>46.962287631947568</v>
      </c>
      <c r="Z36" s="178">
        <v>45473</v>
      </c>
      <c r="AA36" s="179">
        <v>48.865193782171744</v>
      </c>
      <c r="AB36" s="179"/>
      <c r="AC36" s="179"/>
      <c r="AE36" s="157"/>
      <c r="AG36" s="137"/>
    </row>
    <row r="37" spans="3:33" outlineLevel="1" x14ac:dyDescent="0.25">
      <c r="C37" s="18" t="s">
        <v>81</v>
      </c>
      <c r="D37" s="18" t="s">
        <v>156</v>
      </c>
      <c r="E37" s="18" t="s">
        <v>132</v>
      </c>
      <c r="F37" s="18" t="s">
        <v>151</v>
      </c>
      <c r="G37" s="18" t="s">
        <v>66</v>
      </c>
      <c r="H37" s="175">
        <v>44196</v>
      </c>
      <c r="I37" s="176">
        <v>106</v>
      </c>
      <c r="J37" s="178">
        <v>44377</v>
      </c>
      <c r="K37" s="179">
        <v>111.11</v>
      </c>
      <c r="L37" s="178">
        <v>44377</v>
      </c>
      <c r="M37" s="179">
        <v>111.11</v>
      </c>
      <c r="N37" s="178">
        <v>44377</v>
      </c>
      <c r="O37" s="179">
        <v>111.11</v>
      </c>
      <c r="P37" s="178">
        <v>44377</v>
      </c>
      <c r="Q37" s="179">
        <v>111.11</v>
      </c>
      <c r="R37" s="178">
        <v>44377</v>
      </c>
      <c r="S37" s="179">
        <v>111.11</v>
      </c>
      <c r="T37" s="178">
        <v>44742</v>
      </c>
      <c r="U37" s="179">
        <v>125.072</v>
      </c>
      <c r="V37" s="178">
        <v>44742</v>
      </c>
      <c r="W37" s="179">
        <v>143.56729999999999</v>
      </c>
      <c r="X37" s="178">
        <v>45107</v>
      </c>
      <c r="Y37" s="179">
        <v>132.87190000000001</v>
      </c>
      <c r="Z37" s="178">
        <v>45473</v>
      </c>
      <c r="AA37" s="179">
        <v>141.1585</v>
      </c>
      <c r="AB37" s="179"/>
      <c r="AC37" s="179"/>
      <c r="AE37" s="157"/>
      <c r="AG37" s="137"/>
    </row>
    <row r="38" spans="3:33" outlineLevel="1" x14ac:dyDescent="0.25">
      <c r="C38" s="18" t="s">
        <v>81</v>
      </c>
      <c r="D38" s="18" t="s">
        <v>157</v>
      </c>
      <c r="E38" s="18" t="s">
        <v>132</v>
      </c>
      <c r="F38" s="18" t="s">
        <v>151</v>
      </c>
      <c r="G38" s="18" t="s">
        <v>66</v>
      </c>
      <c r="H38" s="175">
        <v>44196</v>
      </c>
      <c r="I38" s="176">
        <v>90</v>
      </c>
      <c r="J38" s="178">
        <v>44377</v>
      </c>
      <c r="K38" s="179">
        <v>90.009</v>
      </c>
      <c r="L38" s="178">
        <v>44377</v>
      </c>
      <c r="M38" s="179">
        <v>90.009</v>
      </c>
      <c r="N38" s="178">
        <v>44377</v>
      </c>
      <c r="O38" s="179">
        <v>90.009</v>
      </c>
      <c r="P38" s="178">
        <v>44377</v>
      </c>
      <c r="Q38" s="179">
        <v>90.009</v>
      </c>
      <c r="R38" s="178">
        <v>44377</v>
      </c>
      <c r="S38" s="179">
        <v>90.009</v>
      </c>
      <c r="T38" s="178">
        <v>44742</v>
      </c>
      <c r="U38" s="179">
        <v>90.009</v>
      </c>
      <c r="V38" s="178">
        <v>44742</v>
      </c>
      <c r="W38" s="179">
        <v>97.058300000000003</v>
      </c>
      <c r="X38" s="178">
        <v>45107</v>
      </c>
      <c r="Y38" s="179">
        <v>90.255600000000001</v>
      </c>
      <c r="Z38" s="178">
        <v>45473</v>
      </c>
      <c r="AA38" s="179">
        <v>90.009</v>
      </c>
      <c r="AB38" s="179"/>
      <c r="AC38" s="179"/>
      <c r="AE38" s="157"/>
      <c r="AG38" s="137"/>
    </row>
    <row r="39" spans="3:33" outlineLevel="1" x14ac:dyDescent="0.25">
      <c r="C39" s="18" t="s">
        <v>81</v>
      </c>
      <c r="D39" s="18" t="s">
        <v>158</v>
      </c>
      <c r="E39" s="18" t="s">
        <v>132</v>
      </c>
      <c r="F39" s="18" t="s">
        <v>151</v>
      </c>
      <c r="G39" s="18" t="s">
        <v>66</v>
      </c>
      <c r="H39" s="175">
        <v>44196</v>
      </c>
      <c r="I39" s="176">
        <v>69.03</v>
      </c>
      <c r="J39" s="178">
        <v>44377</v>
      </c>
      <c r="K39" s="179">
        <v>82.195999999999998</v>
      </c>
      <c r="L39" s="178">
        <v>44377</v>
      </c>
      <c r="M39" s="179">
        <v>82.195999999999998</v>
      </c>
      <c r="N39" s="178">
        <v>44377</v>
      </c>
      <c r="O39" s="179">
        <v>82.195999999999998</v>
      </c>
      <c r="P39" s="178">
        <v>44377</v>
      </c>
      <c r="Q39" s="179">
        <v>82.195999999999998</v>
      </c>
      <c r="R39" s="178">
        <v>44377</v>
      </c>
      <c r="S39" s="179">
        <v>82.195999999999998</v>
      </c>
      <c r="T39" s="178">
        <v>44742</v>
      </c>
      <c r="U39" s="179">
        <v>89.69</v>
      </c>
      <c r="V39" s="178">
        <v>44742</v>
      </c>
      <c r="W39" s="179">
        <v>105.053</v>
      </c>
      <c r="X39" s="178">
        <v>45107</v>
      </c>
      <c r="Y39" s="179">
        <v>96.846999999999994</v>
      </c>
      <c r="Z39" s="178">
        <v>45473</v>
      </c>
      <c r="AA39" s="179">
        <v>111.59090799999998</v>
      </c>
      <c r="AB39" s="179"/>
      <c r="AC39" s="179"/>
      <c r="AE39" s="157"/>
      <c r="AG39" s="137"/>
    </row>
    <row r="40" spans="3:33" outlineLevel="1" x14ac:dyDescent="0.25">
      <c r="C40" s="18" t="s">
        <v>81</v>
      </c>
      <c r="D40" s="18" t="s">
        <v>159</v>
      </c>
      <c r="E40" s="18" t="s">
        <v>132</v>
      </c>
      <c r="F40" s="18" t="s">
        <v>151</v>
      </c>
      <c r="G40" s="18" t="s">
        <v>66</v>
      </c>
      <c r="H40" s="175">
        <v>44196</v>
      </c>
      <c r="I40" s="176">
        <v>140</v>
      </c>
      <c r="J40" s="178">
        <v>44377</v>
      </c>
      <c r="K40" s="179">
        <v>139.97749999999999</v>
      </c>
      <c r="L40" s="178">
        <v>44377</v>
      </c>
      <c r="M40" s="179">
        <v>139.97749999999999</v>
      </c>
      <c r="N40" s="178">
        <v>44377</v>
      </c>
      <c r="O40" s="179">
        <v>139.97749999999999</v>
      </c>
      <c r="P40" s="178">
        <v>44377</v>
      </c>
      <c r="Q40" s="179">
        <v>139.97749999999999</v>
      </c>
      <c r="R40" s="178">
        <v>44377</v>
      </c>
      <c r="S40" s="179">
        <v>139.97749999999999</v>
      </c>
      <c r="T40" s="178">
        <v>44742</v>
      </c>
      <c r="U40" s="179">
        <v>139.97749999999999</v>
      </c>
      <c r="V40" s="178">
        <v>44742</v>
      </c>
      <c r="W40" s="179">
        <v>150.94030000000001</v>
      </c>
      <c r="X40" s="178">
        <v>45107</v>
      </c>
      <c r="Y40" s="179">
        <v>140.36100000000002</v>
      </c>
      <c r="Z40" s="178">
        <v>45473</v>
      </c>
      <c r="AA40" s="179">
        <v>139.97749999999999</v>
      </c>
      <c r="AB40" s="179"/>
      <c r="AC40" s="179"/>
      <c r="AE40" s="157"/>
      <c r="AG40" s="137"/>
    </row>
    <row r="41" spans="3:33" outlineLevel="1" x14ac:dyDescent="0.25">
      <c r="C41" s="18" t="s">
        <v>81</v>
      </c>
      <c r="D41" s="18" t="s">
        <v>160</v>
      </c>
      <c r="E41" s="18" t="s">
        <v>132</v>
      </c>
      <c r="F41" s="18" t="s">
        <v>151</v>
      </c>
      <c r="G41" s="18" t="s">
        <v>66</v>
      </c>
      <c r="H41" s="175">
        <v>44196</v>
      </c>
      <c r="I41" s="176">
        <v>59.859999999999992</v>
      </c>
      <c r="J41" s="178">
        <v>44377</v>
      </c>
      <c r="K41" s="179">
        <v>80.007999999999996</v>
      </c>
      <c r="L41" s="178">
        <v>44377</v>
      </c>
      <c r="M41" s="179">
        <v>80.007999999999996</v>
      </c>
      <c r="N41" s="178">
        <v>44377</v>
      </c>
      <c r="O41" s="179">
        <v>80.007999999999996</v>
      </c>
      <c r="P41" s="178">
        <v>44377</v>
      </c>
      <c r="Q41" s="179">
        <v>80.007999999999996</v>
      </c>
      <c r="R41" s="178">
        <v>44377</v>
      </c>
      <c r="S41" s="179">
        <v>80.007999999999996</v>
      </c>
      <c r="T41" s="178">
        <v>44742</v>
      </c>
      <c r="U41" s="179">
        <v>85.008499999999998</v>
      </c>
      <c r="V41" s="178">
        <v>44742</v>
      </c>
      <c r="W41" s="179">
        <v>96.782799999999995</v>
      </c>
      <c r="X41" s="178">
        <v>45107</v>
      </c>
      <c r="Y41" s="179">
        <v>90.218999999999994</v>
      </c>
      <c r="Z41" s="178">
        <v>45473</v>
      </c>
      <c r="AA41" s="179">
        <v>89.972499999999997</v>
      </c>
      <c r="AB41" s="179"/>
      <c r="AC41" s="179"/>
      <c r="AE41" s="157"/>
      <c r="AG41" s="137"/>
    </row>
    <row r="42" spans="3:33" outlineLevel="1" x14ac:dyDescent="0.25">
      <c r="C42" s="18" t="s">
        <v>81</v>
      </c>
      <c r="D42" s="42" t="s">
        <v>161</v>
      </c>
      <c r="E42" s="18" t="s">
        <v>132</v>
      </c>
      <c r="F42" s="18" t="s">
        <v>151</v>
      </c>
      <c r="G42" s="18" t="s">
        <v>67</v>
      </c>
      <c r="H42" s="175">
        <v>44196</v>
      </c>
      <c r="I42" s="176">
        <v>106</v>
      </c>
      <c r="J42" s="178">
        <v>44377</v>
      </c>
      <c r="K42" s="179">
        <v>111.11</v>
      </c>
      <c r="L42" s="178">
        <v>44377</v>
      </c>
      <c r="M42" s="179">
        <v>111.11</v>
      </c>
      <c r="N42" s="178">
        <v>44377</v>
      </c>
      <c r="O42" s="179">
        <v>111.11</v>
      </c>
      <c r="P42" s="178">
        <v>44377</v>
      </c>
      <c r="Q42" s="179">
        <v>111.11</v>
      </c>
      <c r="R42" s="178">
        <v>44377</v>
      </c>
      <c r="S42" s="179">
        <v>111.11</v>
      </c>
      <c r="T42" s="178">
        <v>44742</v>
      </c>
      <c r="U42" s="179">
        <v>125.072</v>
      </c>
      <c r="V42" s="178">
        <v>44742</v>
      </c>
      <c r="W42" s="179">
        <v>143.56729999999999</v>
      </c>
      <c r="X42" s="178">
        <v>45107</v>
      </c>
      <c r="Y42" s="179">
        <v>132.87190000000001</v>
      </c>
      <c r="Z42" s="178">
        <v>45473</v>
      </c>
      <c r="AA42" s="179">
        <v>141.1585</v>
      </c>
      <c r="AB42" s="179"/>
      <c r="AC42" s="179"/>
      <c r="AE42" s="157"/>
      <c r="AG42" s="137"/>
    </row>
    <row r="43" spans="3:33" outlineLevel="1" x14ac:dyDescent="0.25">
      <c r="C43" s="18" t="s">
        <v>81</v>
      </c>
      <c r="D43" s="18" t="s">
        <v>162</v>
      </c>
      <c r="E43" s="18" t="s">
        <v>132</v>
      </c>
      <c r="F43" s="18" t="s">
        <v>151</v>
      </c>
      <c r="G43" s="18" t="s">
        <v>67</v>
      </c>
      <c r="H43" s="175">
        <v>44196</v>
      </c>
      <c r="I43" s="176">
        <v>160</v>
      </c>
      <c r="J43" s="178">
        <v>44377</v>
      </c>
      <c r="K43" s="179">
        <v>160.01599999999999</v>
      </c>
      <c r="L43" s="178">
        <v>44377</v>
      </c>
      <c r="M43" s="179">
        <v>160.01599999999999</v>
      </c>
      <c r="N43" s="178">
        <v>44377</v>
      </c>
      <c r="O43" s="179">
        <v>160.01599999999999</v>
      </c>
      <c r="P43" s="178">
        <v>44377</v>
      </c>
      <c r="Q43" s="179">
        <v>160.01599999999999</v>
      </c>
      <c r="R43" s="178">
        <v>44377</v>
      </c>
      <c r="S43" s="179">
        <v>160.01599999999999</v>
      </c>
      <c r="T43" s="178">
        <v>44742</v>
      </c>
      <c r="U43" s="179">
        <v>160.01599999999999</v>
      </c>
      <c r="V43" s="178">
        <v>44742</v>
      </c>
      <c r="W43" s="179">
        <v>172.54820000000001</v>
      </c>
      <c r="X43" s="178">
        <v>45107</v>
      </c>
      <c r="Y43" s="179">
        <v>150.42600000000002</v>
      </c>
      <c r="Z43" s="178">
        <v>45473</v>
      </c>
      <c r="AA43" s="179">
        <v>150.01499999999999</v>
      </c>
      <c r="AB43" s="179"/>
      <c r="AC43" s="179"/>
      <c r="AE43" s="157"/>
      <c r="AG43" s="137"/>
    </row>
    <row r="44" spans="3:33" outlineLevel="1" x14ac:dyDescent="0.25">
      <c r="C44" s="18" t="s">
        <v>81</v>
      </c>
      <c r="D44" s="18" t="s">
        <v>163</v>
      </c>
      <c r="E44" s="18" t="s">
        <v>132</v>
      </c>
      <c r="F44" s="18" t="s">
        <v>151</v>
      </c>
      <c r="G44" s="18" t="s">
        <v>67</v>
      </c>
      <c r="H44" s="175">
        <v>44196</v>
      </c>
      <c r="I44" s="176">
        <v>118.741</v>
      </c>
      <c r="J44" s="178">
        <v>44377</v>
      </c>
      <c r="K44" s="179">
        <v>134.46600000000001</v>
      </c>
      <c r="L44" s="178">
        <v>44377</v>
      </c>
      <c r="M44" s="179">
        <v>134.46600000000001</v>
      </c>
      <c r="N44" s="178">
        <v>44377</v>
      </c>
      <c r="O44" s="179">
        <v>134.46600000000001</v>
      </c>
      <c r="P44" s="178">
        <v>44377</v>
      </c>
      <c r="Q44" s="179">
        <v>134.46600000000001</v>
      </c>
      <c r="R44" s="178">
        <v>44377</v>
      </c>
      <c r="S44" s="179">
        <v>134.46600000000001</v>
      </c>
      <c r="T44" s="178">
        <v>44742</v>
      </c>
      <c r="U44" s="179">
        <v>136.95400000000001</v>
      </c>
      <c r="V44" s="178">
        <v>44742</v>
      </c>
      <c r="W44" s="179">
        <v>150.54509999999999</v>
      </c>
      <c r="X44" s="178">
        <v>45107</v>
      </c>
      <c r="Y44" s="179">
        <v>147.858</v>
      </c>
      <c r="Z44" s="178">
        <v>45473</v>
      </c>
      <c r="AA44" s="179">
        <v>170.39664509999997</v>
      </c>
      <c r="AB44" s="179"/>
      <c r="AC44" s="179"/>
      <c r="AE44" s="157"/>
      <c r="AG44" s="137"/>
    </row>
    <row r="45" spans="3:33" outlineLevel="1" x14ac:dyDescent="0.25">
      <c r="C45" s="18" t="s">
        <v>81</v>
      </c>
      <c r="D45" s="18" t="s">
        <v>164</v>
      </c>
      <c r="E45" s="18" t="s">
        <v>132</v>
      </c>
      <c r="F45" s="18" t="s">
        <v>151</v>
      </c>
      <c r="G45" s="18" t="s">
        <v>67</v>
      </c>
      <c r="H45" s="175">
        <v>44196</v>
      </c>
      <c r="I45" s="176">
        <v>180</v>
      </c>
      <c r="J45" s="178">
        <v>44377</v>
      </c>
      <c r="K45" s="179">
        <v>179.98150000000001</v>
      </c>
      <c r="L45" s="178">
        <v>44377</v>
      </c>
      <c r="M45" s="179">
        <v>179.98150000000001</v>
      </c>
      <c r="N45" s="178">
        <v>44377</v>
      </c>
      <c r="O45" s="179">
        <v>179.98150000000001</v>
      </c>
      <c r="P45" s="178">
        <v>44377</v>
      </c>
      <c r="Q45" s="179">
        <v>179.98150000000001</v>
      </c>
      <c r="R45" s="178">
        <v>44377</v>
      </c>
      <c r="S45" s="179">
        <v>179.98150000000001</v>
      </c>
      <c r="T45" s="178">
        <v>44742</v>
      </c>
      <c r="U45" s="179">
        <v>179.98150000000001</v>
      </c>
      <c r="V45" s="178">
        <v>44742</v>
      </c>
      <c r="W45" s="179">
        <v>194.07730000000001</v>
      </c>
      <c r="X45" s="178">
        <v>45107</v>
      </c>
      <c r="Y45" s="179">
        <v>180.47460000000001</v>
      </c>
      <c r="Z45" s="178">
        <v>45473</v>
      </c>
      <c r="AA45" s="179">
        <v>179.98150000000001</v>
      </c>
      <c r="AB45" s="179"/>
      <c r="AC45" s="179"/>
      <c r="AE45" s="157"/>
      <c r="AG45" s="137"/>
    </row>
    <row r="46" spans="3:33" outlineLevel="1" x14ac:dyDescent="0.25">
      <c r="C46" s="18" t="s">
        <v>81</v>
      </c>
      <c r="D46" s="18" t="s">
        <v>165</v>
      </c>
      <c r="E46" s="18" t="s">
        <v>132</v>
      </c>
      <c r="F46" s="18" t="s">
        <v>151</v>
      </c>
      <c r="G46" s="18" t="s">
        <v>67</v>
      </c>
      <c r="H46" s="175">
        <v>44196</v>
      </c>
      <c r="I46" s="176">
        <v>79.861999999999995</v>
      </c>
      <c r="J46" s="178">
        <v>44377</v>
      </c>
      <c r="K46" s="179">
        <v>120.01199999999999</v>
      </c>
      <c r="L46" s="178">
        <v>44377</v>
      </c>
      <c r="M46" s="179">
        <v>120.01199999999999</v>
      </c>
      <c r="N46" s="178">
        <v>44377</v>
      </c>
      <c r="O46" s="179">
        <v>120.01199999999999</v>
      </c>
      <c r="P46" s="178">
        <v>44377</v>
      </c>
      <c r="Q46" s="179">
        <v>120.01199999999999</v>
      </c>
      <c r="R46" s="178">
        <v>44377</v>
      </c>
      <c r="S46" s="179">
        <v>120.01199999999999</v>
      </c>
      <c r="T46" s="178">
        <v>44742</v>
      </c>
      <c r="U46" s="179">
        <v>130.01300000000001</v>
      </c>
      <c r="V46" s="178">
        <v>44742</v>
      </c>
      <c r="W46" s="179">
        <v>145.19390000000001</v>
      </c>
      <c r="X46" s="178">
        <v>45107</v>
      </c>
      <c r="Y46" s="179">
        <v>140.36100000000002</v>
      </c>
      <c r="Z46" s="178">
        <v>45473</v>
      </c>
      <c r="AA46" s="179">
        <v>150.01499999999999</v>
      </c>
      <c r="AB46" s="179"/>
      <c r="AC46" s="179"/>
      <c r="AE46" s="157"/>
      <c r="AG46" s="137"/>
    </row>
    <row r="47" spans="3:33" outlineLevel="1" x14ac:dyDescent="0.25">
      <c r="C47" s="18" t="s">
        <v>81</v>
      </c>
      <c r="D47" s="18" t="s">
        <v>166</v>
      </c>
      <c r="E47" s="18" t="s">
        <v>132</v>
      </c>
      <c r="F47" s="18" t="s">
        <v>151</v>
      </c>
      <c r="G47" s="18" t="s">
        <v>66</v>
      </c>
      <c r="H47" s="175" t="s">
        <v>51</v>
      </c>
      <c r="I47" s="175" t="s">
        <v>51</v>
      </c>
      <c r="J47" s="178">
        <v>44377</v>
      </c>
      <c r="K47" s="179">
        <v>111.11</v>
      </c>
      <c r="L47" s="178">
        <v>44377</v>
      </c>
      <c r="M47" s="179">
        <v>111.11</v>
      </c>
      <c r="N47" s="178">
        <v>44377</v>
      </c>
      <c r="O47" s="179">
        <v>111.11</v>
      </c>
      <c r="P47" s="178">
        <v>44377</v>
      </c>
      <c r="Q47" s="179">
        <v>111.11</v>
      </c>
      <c r="R47" s="178">
        <v>44377</v>
      </c>
      <c r="S47" s="179">
        <v>111.11</v>
      </c>
      <c r="T47" s="178">
        <v>44742</v>
      </c>
      <c r="U47" s="179">
        <v>125.072</v>
      </c>
      <c r="V47" s="178">
        <v>44742</v>
      </c>
      <c r="W47" s="179">
        <v>143.56729999999999</v>
      </c>
      <c r="X47" s="178">
        <v>45107</v>
      </c>
      <c r="Y47" s="179">
        <v>132.87190000000001</v>
      </c>
      <c r="Z47" s="178">
        <v>45473</v>
      </c>
      <c r="AA47" s="179">
        <v>141.1585</v>
      </c>
      <c r="AB47" s="179"/>
      <c r="AC47" s="179"/>
      <c r="AE47" s="157"/>
      <c r="AG47" s="137"/>
    </row>
    <row r="48" spans="3:33" outlineLevel="1" x14ac:dyDescent="0.25">
      <c r="C48" s="18" t="s">
        <v>81</v>
      </c>
      <c r="D48" s="18" t="s">
        <v>167</v>
      </c>
      <c r="E48" s="18" t="s">
        <v>132</v>
      </c>
      <c r="F48" s="18" t="s">
        <v>151</v>
      </c>
      <c r="G48" s="18" t="s">
        <v>66</v>
      </c>
      <c r="H48" s="175" t="s">
        <v>51</v>
      </c>
      <c r="I48" s="175" t="s">
        <v>51</v>
      </c>
      <c r="J48" s="178">
        <v>44377</v>
      </c>
      <c r="K48" s="179">
        <v>90.009</v>
      </c>
      <c r="L48" s="178">
        <v>44377</v>
      </c>
      <c r="M48" s="179">
        <v>90.009</v>
      </c>
      <c r="N48" s="178">
        <v>44377</v>
      </c>
      <c r="O48" s="179">
        <v>90.009</v>
      </c>
      <c r="P48" s="178">
        <v>44377</v>
      </c>
      <c r="Q48" s="179">
        <v>90.009</v>
      </c>
      <c r="R48" s="178">
        <v>44377</v>
      </c>
      <c r="S48" s="179">
        <v>90.009</v>
      </c>
      <c r="T48" s="178">
        <v>44377</v>
      </c>
      <c r="U48" s="179">
        <v>90.009</v>
      </c>
      <c r="V48" s="178">
        <v>44742</v>
      </c>
      <c r="W48" s="179">
        <v>97.058300000000003</v>
      </c>
      <c r="X48" s="178">
        <v>45107</v>
      </c>
      <c r="Y48" s="179">
        <v>90.255600000000001</v>
      </c>
      <c r="Z48" s="178">
        <v>45473</v>
      </c>
      <c r="AA48" s="179">
        <v>90.009</v>
      </c>
      <c r="AB48" s="179"/>
      <c r="AC48" s="179"/>
      <c r="AE48" s="157"/>
      <c r="AG48" s="137"/>
    </row>
    <row r="49" spans="3:33" outlineLevel="1" x14ac:dyDescent="0.25">
      <c r="C49" s="18" t="s">
        <v>81</v>
      </c>
      <c r="D49" s="18" t="s">
        <v>168</v>
      </c>
      <c r="E49" s="18" t="s">
        <v>132</v>
      </c>
      <c r="F49" s="18" t="s">
        <v>151</v>
      </c>
      <c r="G49" s="18" t="s">
        <v>66</v>
      </c>
      <c r="H49" s="175" t="s">
        <v>51</v>
      </c>
      <c r="I49" s="175" t="s">
        <v>51</v>
      </c>
      <c r="J49" s="178">
        <v>44377</v>
      </c>
      <c r="K49" s="179">
        <v>82.195999999999998</v>
      </c>
      <c r="L49" s="178">
        <v>44377</v>
      </c>
      <c r="M49" s="179">
        <v>82.195999999999998</v>
      </c>
      <c r="N49" s="178">
        <v>44377</v>
      </c>
      <c r="O49" s="179">
        <v>82.195999999999998</v>
      </c>
      <c r="P49" s="178">
        <v>44377</v>
      </c>
      <c r="Q49" s="179">
        <v>82.195999999999998</v>
      </c>
      <c r="R49" s="178">
        <v>44377</v>
      </c>
      <c r="S49" s="179">
        <v>82.195999999999998</v>
      </c>
      <c r="T49" s="178">
        <v>44377</v>
      </c>
      <c r="U49" s="179">
        <v>89.69</v>
      </c>
      <c r="V49" s="178">
        <v>44742</v>
      </c>
      <c r="W49" s="179">
        <v>105.053</v>
      </c>
      <c r="X49" s="178">
        <v>45107</v>
      </c>
      <c r="Y49" s="179">
        <v>96.846999999999994</v>
      </c>
      <c r="Z49" s="178">
        <v>45473</v>
      </c>
      <c r="AA49" s="179">
        <v>111.59090799999998</v>
      </c>
      <c r="AB49" s="179"/>
      <c r="AC49" s="179"/>
      <c r="AE49" s="157"/>
      <c r="AG49" s="137"/>
    </row>
    <row r="50" spans="3:33" outlineLevel="1" x14ac:dyDescent="0.25">
      <c r="C50" s="18" t="s">
        <v>81</v>
      </c>
      <c r="D50" s="18" t="s">
        <v>169</v>
      </c>
      <c r="E50" s="18" t="s">
        <v>132</v>
      </c>
      <c r="F50" s="18" t="s">
        <v>151</v>
      </c>
      <c r="G50" s="18" t="s">
        <v>66</v>
      </c>
      <c r="H50" s="175" t="s">
        <v>51</v>
      </c>
      <c r="I50" s="175" t="s">
        <v>51</v>
      </c>
      <c r="J50" s="178">
        <v>44377</v>
      </c>
      <c r="K50" s="179">
        <v>139.97749999999999</v>
      </c>
      <c r="L50" s="178">
        <v>44377</v>
      </c>
      <c r="M50" s="179">
        <v>139.97749999999999</v>
      </c>
      <c r="N50" s="178">
        <v>44377</v>
      </c>
      <c r="O50" s="179">
        <v>139.97749999999999</v>
      </c>
      <c r="P50" s="178">
        <v>44377</v>
      </c>
      <c r="Q50" s="179">
        <v>139.97749999999999</v>
      </c>
      <c r="R50" s="178">
        <v>44377</v>
      </c>
      <c r="S50" s="179">
        <v>139.97749999999999</v>
      </c>
      <c r="T50" s="178">
        <v>44377</v>
      </c>
      <c r="U50" s="179">
        <v>139.97749999999999</v>
      </c>
      <c r="V50" s="178">
        <v>44742</v>
      </c>
      <c r="W50" s="179">
        <v>150.94030000000001</v>
      </c>
      <c r="X50" s="178">
        <v>45107</v>
      </c>
      <c r="Y50" s="179">
        <v>140.36100000000002</v>
      </c>
      <c r="Z50" s="178">
        <v>45473</v>
      </c>
      <c r="AA50" s="179">
        <v>139.97749999999999</v>
      </c>
      <c r="AB50" s="179"/>
      <c r="AC50" s="179"/>
      <c r="AE50" s="157"/>
      <c r="AG50" s="137"/>
    </row>
    <row r="51" spans="3:33" outlineLevel="1" x14ac:dyDescent="0.25">
      <c r="C51" s="18" t="s">
        <v>81</v>
      </c>
      <c r="D51" s="18" t="s">
        <v>170</v>
      </c>
      <c r="E51" s="18" t="s">
        <v>132</v>
      </c>
      <c r="F51" s="18" t="s">
        <v>151</v>
      </c>
      <c r="G51" s="18" t="s">
        <v>66</v>
      </c>
      <c r="H51" s="175" t="s">
        <v>51</v>
      </c>
      <c r="I51" s="175" t="s">
        <v>51</v>
      </c>
      <c r="J51" s="178">
        <v>44377</v>
      </c>
      <c r="K51" s="179">
        <v>80.007999999999996</v>
      </c>
      <c r="L51" s="178">
        <v>44377</v>
      </c>
      <c r="M51" s="179">
        <v>80.007999999999996</v>
      </c>
      <c r="N51" s="178">
        <v>44377</v>
      </c>
      <c r="O51" s="179">
        <v>80.007999999999996</v>
      </c>
      <c r="P51" s="178">
        <v>44377</v>
      </c>
      <c r="Q51" s="179">
        <v>80.007999999999996</v>
      </c>
      <c r="R51" s="178">
        <v>44377</v>
      </c>
      <c r="S51" s="179">
        <v>80.007999999999996</v>
      </c>
      <c r="T51" s="178">
        <v>44377</v>
      </c>
      <c r="U51" s="179">
        <v>85.008499999999998</v>
      </c>
      <c r="V51" s="178">
        <v>44742</v>
      </c>
      <c r="W51" s="179">
        <v>96.782799999999995</v>
      </c>
      <c r="X51" s="178">
        <v>45107</v>
      </c>
      <c r="Y51" s="179">
        <v>90.218999999999994</v>
      </c>
      <c r="Z51" s="178">
        <v>45473</v>
      </c>
      <c r="AA51" s="179">
        <v>89.972499999999997</v>
      </c>
      <c r="AB51" s="179"/>
      <c r="AC51" s="179"/>
      <c r="AE51" s="157"/>
      <c r="AG51" s="137"/>
    </row>
    <row r="52" spans="3:33" outlineLevel="1" x14ac:dyDescent="0.25">
      <c r="C52" s="18" t="s">
        <v>81</v>
      </c>
      <c r="D52" s="42" t="s">
        <v>171</v>
      </c>
      <c r="E52" s="18" t="s">
        <v>132</v>
      </c>
      <c r="F52" s="18" t="s">
        <v>151</v>
      </c>
      <c r="G52" s="18" t="s">
        <v>67</v>
      </c>
      <c r="H52" s="175" t="s">
        <v>51</v>
      </c>
      <c r="I52" s="175" t="s">
        <v>51</v>
      </c>
      <c r="J52" s="178">
        <v>44377</v>
      </c>
      <c r="K52" s="179">
        <v>111.11</v>
      </c>
      <c r="L52" s="178">
        <v>44377</v>
      </c>
      <c r="M52" s="179">
        <v>111.11</v>
      </c>
      <c r="N52" s="178">
        <v>44377</v>
      </c>
      <c r="O52" s="179">
        <v>111.11</v>
      </c>
      <c r="P52" s="178">
        <v>44377</v>
      </c>
      <c r="Q52" s="179">
        <v>111.11</v>
      </c>
      <c r="R52" s="178">
        <v>44377</v>
      </c>
      <c r="S52" s="179">
        <v>111.11</v>
      </c>
      <c r="T52" s="178">
        <v>44377</v>
      </c>
      <c r="U52" s="179">
        <v>125.072</v>
      </c>
      <c r="V52" s="178">
        <v>44742</v>
      </c>
      <c r="W52" s="179">
        <v>143.56729999999999</v>
      </c>
      <c r="X52" s="178">
        <v>45107</v>
      </c>
      <c r="Y52" s="179">
        <v>132.87190000000001</v>
      </c>
      <c r="Z52" s="178">
        <v>45473</v>
      </c>
      <c r="AA52" s="179">
        <v>141.1585</v>
      </c>
      <c r="AB52" s="179"/>
      <c r="AC52" s="179"/>
      <c r="AE52" s="157"/>
      <c r="AG52" s="137"/>
    </row>
    <row r="53" spans="3:33" outlineLevel="1" x14ac:dyDescent="0.25">
      <c r="C53" s="18" t="s">
        <v>81</v>
      </c>
      <c r="D53" s="18" t="s">
        <v>172</v>
      </c>
      <c r="E53" s="18" t="s">
        <v>132</v>
      </c>
      <c r="F53" s="18" t="s">
        <v>151</v>
      </c>
      <c r="G53" s="18" t="s">
        <v>67</v>
      </c>
      <c r="H53" s="175" t="s">
        <v>51</v>
      </c>
      <c r="I53" s="175" t="s">
        <v>51</v>
      </c>
      <c r="J53" s="178">
        <v>44377</v>
      </c>
      <c r="K53" s="179">
        <v>160.01599999999999</v>
      </c>
      <c r="L53" s="178">
        <v>44377</v>
      </c>
      <c r="M53" s="179">
        <v>160.01599999999999</v>
      </c>
      <c r="N53" s="178">
        <v>44377</v>
      </c>
      <c r="O53" s="179">
        <v>160.01599999999999</v>
      </c>
      <c r="P53" s="178">
        <v>44377</v>
      </c>
      <c r="Q53" s="179">
        <v>160.01599999999999</v>
      </c>
      <c r="R53" s="178">
        <v>44377</v>
      </c>
      <c r="S53" s="179">
        <v>160.01599999999999</v>
      </c>
      <c r="T53" s="178">
        <v>44377</v>
      </c>
      <c r="U53" s="179">
        <v>160.01599999999999</v>
      </c>
      <c r="V53" s="178">
        <v>44742</v>
      </c>
      <c r="W53" s="179">
        <v>172.54820000000001</v>
      </c>
      <c r="X53" s="178">
        <v>45107</v>
      </c>
      <c r="Y53" s="179">
        <v>150.42600000000002</v>
      </c>
      <c r="Z53" s="178">
        <v>45473</v>
      </c>
      <c r="AA53" s="179">
        <v>150.01499999999999</v>
      </c>
      <c r="AB53" s="179"/>
      <c r="AC53" s="179"/>
      <c r="AE53" s="157"/>
      <c r="AG53" s="137"/>
    </row>
    <row r="54" spans="3:33" outlineLevel="1" x14ac:dyDescent="0.25">
      <c r="C54" s="18" t="s">
        <v>81</v>
      </c>
      <c r="D54" s="18" t="s">
        <v>173</v>
      </c>
      <c r="E54" s="18" t="s">
        <v>132</v>
      </c>
      <c r="F54" s="18" t="s">
        <v>151</v>
      </c>
      <c r="G54" s="18" t="s">
        <v>67</v>
      </c>
      <c r="H54" s="175" t="s">
        <v>51</v>
      </c>
      <c r="I54" s="175" t="s">
        <v>51</v>
      </c>
      <c r="J54" s="178">
        <v>44377</v>
      </c>
      <c r="K54" s="179">
        <v>242.124</v>
      </c>
      <c r="L54" s="178">
        <v>44377</v>
      </c>
      <c r="M54" s="179">
        <v>242.124</v>
      </c>
      <c r="N54" s="178">
        <v>44377</v>
      </c>
      <c r="O54" s="179">
        <v>242.124</v>
      </c>
      <c r="P54" s="178">
        <v>44377</v>
      </c>
      <c r="Q54" s="179">
        <v>242.124</v>
      </c>
      <c r="R54" s="178">
        <v>44377</v>
      </c>
      <c r="S54" s="179">
        <v>242.124</v>
      </c>
      <c r="T54" s="178">
        <v>44377</v>
      </c>
      <c r="U54" s="179">
        <v>244.18</v>
      </c>
      <c r="V54" s="178">
        <v>44742</v>
      </c>
      <c r="W54" s="179">
        <v>267.34640000000002</v>
      </c>
      <c r="X54" s="178">
        <v>45107</v>
      </c>
      <c r="Y54" s="179">
        <v>265.79300000000001</v>
      </c>
      <c r="Z54" s="178">
        <v>45473</v>
      </c>
      <c r="AA54" s="179">
        <v>303.69970000000001</v>
      </c>
      <c r="AB54" s="179"/>
      <c r="AC54" s="179"/>
      <c r="AE54" s="157"/>
      <c r="AG54" s="137"/>
    </row>
    <row r="55" spans="3:33" outlineLevel="1" x14ac:dyDescent="0.25">
      <c r="C55" s="18" t="s">
        <v>81</v>
      </c>
      <c r="D55" s="18" t="s">
        <v>174</v>
      </c>
      <c r="E55" s="18" t="s">
        <v>132</v>
      </c>
      <c r="F55" s="18" t="s">
        <v>151</v>
      </c>
      <c r="G55" s="18" t="s">
        <v>67</v>
      </c>
      <c r="H55" s="175" t="s">
        <v>51</v>
      </c>
      <c r="I55" s="175" t="s">
        <v>51</v>
      </c>
      <c r="J55" s="178">
        <v>44377</v>
      </c>
      <c r="K55" s="179">
        <v>179.98150000000001</v>
      </c>
      <c r="L55" s="178">
        <v>44377</v>
      </c>
      <c r="M55" s="179">
        <v>179.98150000000001</v>
      </c>
      <c r="N55" s="178">
        <v>44377</v>
      </c>
      <c r="O55" s="179">
        <v>179.98150000000001</v>
      </c>
      <c r="P55" s="178">
        <v>44377</v>
      </c>
      <c r="Q55" s="179">
        <v>179.98150000000001</v>
      </c>
      <c r="R55" s="178">
        <v>44377</v>
      </c>
      <c r="S55" s="179">
        <v>179.98150000000001</v>
      </c>
      <c r="T55" s="178">
        <v>44377</v>
      </c>
      <c r="U55" s="179">
        <v>179.98150000000001</v>
      </c>
      <c r="V55" s="178">
        <v>44742</v>
      </c>
      <c r="W55" s="179">
        <v>194.07730000000001</v>
      </c>
      <c r="X55" s="178">
        <v>45107</v>
      </c>
      <c r="Y55" s="179">
        <v>180.47460000000001</v>
      </c>
      <c r="Z55" s="178">
        <v>45473</v>
      </c>
      <c r="AA55" s="179">
        <v>179.98150000000001</v>
      </c>
      <c r="AB55" s="179"/>
      <c r="AC55" s="179"/>
      <c r="AE55" s="157"/>
      <c r="AG55" s="137"/>
    </row>
    <row r="56" spans="3:33" outlineLevel="1" x14ac:dyDescent="0.25">
      <c r="C56" s="18" t="s">
        <v>81</v>
      </c>
      <c r="D56" s="18" t="s">
        <v>175</v>
      </c>
      <c r="E56" s="18" t="s">
        <v>132</v>
      </c>
      <c r="F56" s="18" t="s">
        <v>151</v>
      </c>
      <c r="G56" s="18" t="s">
        <v>67</v>
      </c>
      <c r="H56" s="175" t="s">
        <v>51</v>
      </c>
      <c r="I56" s="175" t="s">
        <v>51</v>
      </c>
      <c r="J56" s="178">
        <v>44377</v>
      </c>
      <c r="K56" s="179">
        <v>120.01199999999999</v>
      </c>
      <c r="L56" s="178">
        <v>44377</v>
      </c>
      <c r="M56" s="179">
        <v>120.01199999999999</v>
      </c>
      <c r="N56" s="178">
        <v>44377</v>
      </c>
      <c r="O56" s="179">
        <v>120.01199999999999</v>
      </c>
      <c r="P56" s="178">
        <v>44377</v>
      </c>
      <c r="Q56" s="179">
        <v>120.01199999999999</v>
      </c>
      <c r="R56" s="178">
        <v>44377</v>
      </c>
      <c r="S56" s="179">
        <v>120.01199999999999</v>
      </c>
      <c r="T56" s="178">
        <v>44377</v>
      </c>
      <c r="U56" s="179">
        <v>130.01300000000001</v>
      </c>
      <c r="V56" s="178">
        <v>44742</v>
      </c>
      <c r="W56" s="179">
        <v>145.19390000000001</v>
      </c>
      <c r="X56" s="178">
        <v>45107</v>
      </c>
      <c r="Y56" s="179">
        <v>140.36100000000002</v>
      </c>
      <c r="Z56" s="178">
        <v>45473</v>
      </c>
      <c r="AA56" s="179">
        <v>150.01499999999999</v>
      </c>
      <c r="AB56" s="179"/>
      <c r="AC56" s="179"/>
      <c r="AE56" s="157"/>
      <c r="AG56" s="137"/>
    </row>
    <row r="57" spans="3:33" ht="15.75" customHeight="1" outlineLevel="1" x14ac:dyDescent="0.25">
      <c r="C57" s="18" t="s">
        <v>176</v>
      </c>
      <c r="D57" s="18" t="s">
        <v>177</v>
      </c>
      <c r="E57" s="18" t="s">
        <v>178</v>
      </c>
      <c r="F57" s="18" t="s">
        <v>179</v>
      </c>
      <c r="G57" s="18" t="s">
        <v>66</v>
      </c>
      <c r="H57" s="175">
        <v>44196</v>
      </c>
      <c r="I57" s="176">
        <v>94.02</v>
      </c>
      <c r="J57" s="175">
        <v>44196</v>
      </c>
      <c r="K57" s="177">
        <v>94.02</v>
      </c>
      <c r="L57" s="175">
        <v>44196</v>
      </c>
      <c r="M57" s="176">
        <v>94.02</v>
      </c>
      <c r="N57" s="178">
        <v>44561</v>
      </c>
      <c r="O57" s="179">
        <v>70.94</v>
      </c>
      <c r="P57" s="178">
        <v>44926</v>
      </c>
      <c r="Q57" s="179">
        <v>71.42</v>
      </c>
      <c r="R57" s="178">
        <v>44742</v>
      </c>
      <c r="S57" s="179">
        <v>76.81</v>
      </c>
      <c r="T57" s="178">
        <v>44742</v>
      </c>
      <c r="U57" s="179">
        <v>81.459999999999994</v>
      </c>
      <c r="V57" s="178">
        <v>45107</v>
      </c>
      <c r="W57" s="179">
        <v>160.58000000000001</v>
      </c>
      <c r="X57" s="178">
        <v>45107</v>
      </c>
      <c r="Y57" s="179">
        <v>155.06744437670935</v>
      </c>
      <c r="Z57" s="178">
        <v>45473</v>
      </c>
      <c r="AA57" s="179">
        <v>121.13</v>
      </c>
      <c r="AB57" s="179"/>
      <c r="AC57" s="179"/>
      <c r="AE57" s="157"/>
      <c r="AG57" s="137"/>
    </row>
    <row r="58" spans="3:33" ht="15.75" customHeight="1" outlineLevel="1" x14ac:dyDescent="0.25">
      <c r="C58" s="18" t="s">
        <v>176</v>
      </c>
      <c r="D58" s="18" t="s">
        <v>180</v>
      </c>
      <c r="E58" s="18" t="s">
        <v>178</v>
      </c>
      <c r="F58" s="18" t="s">
        <v>179</v>
      </c>
      <c r="G58" s="18" t="s">
        <v>66</v>
      </c>
      <c r="H58" s="175">
        <v>44196</v>
      </c>
      <c r="I58" s="176">
        <v>88.84</v>
      </c>
      <c r="J58" s="175">
        <v>44196</v>
      </c>
      <c r="K58" s="177">
        <v>88.84</v>
      </c>
      <c r="L58" s="175">
        <v>44196</v>
      </c>
      <c r="M58" s="176">
        <v>88.84</v>
      </c>
      <c r="N58" s="178">
        <v>44561</v>
      </c>
      <c r="O58" s="179">
        <v>67.239999999999995</v>
      </c>
      <c r="P58" s="178">
        <v>44926</v>
      </c>
      <c r="Q58" s="179">
        <v>67.8</v>
      </c>
      <c r="R58" s="178">
        <v>44742</v>
      </c>
      <c r="S58" s="179">
        <v>70.64</v>
      </c>
      <c r="T58" s="178">
        <v>44742</v>
      </c>
      <c r="U58" s="179">
        <v>76.56</v>
      </c>
      <c r="V58" s="178">
        <v>45107</v>
      </c>
      <c r="W58" s="179">
        <v>146.4</v>
      </c>
      <c r="X58" s="178">
        <v>45107</v>
      </c>
      <c r="Y58" s="179">
        <v>136.36461307557079</v>
      </c>
      <c r="Z58" s="178">
        <v>45473</v>
      </c>
      <c r="AA58" s="179">
        <v>105.35</v>
      </c>
      <c r="AB58" s="179"/>
      <c r="AC58" s="179"/>
      <c r="AE58" s="157"/>
      <c r="AG58" s="137"/>
    </row>
    <row r="59" spans="3:33" ht="15.75" customHeight="1" outlineLevel="1" x14ac:dyDescent="0.25">
      <c r="C59" s="18" t="s">
        <v>176</v>
      </c>
      <c r="D59" s="18" t="s">
        <v>181</v>
      </c>
      <c r="E59" s="18" t="s">
        <v>178</v>
      </c>
      <c r="F59" s="18" t="s">
        <v>179</v>
      </c>
      <c r="G59" s="18" t="s">
        <v>66</v>
      </c>
      <c r="H59" s="175">
        <v>44196</v>
      </c>
      <c r="I59" s="176">
        <v>97.8</v>
      </c>
      <c r="J59" s="175">
        <v>44196</v>
      </c>
      <c r="K59" s="177">
        <v>97.8</v>
      </c>
      <c r="L59" s="175">
        <v>44196</v>
      </c>
      <c r="M59" s="176">
        <v>97.8</v>
      </c>
      <c r="N59" s="178">
        <v>44561</v>
      </c>
      <c r="O59" s="179">
        <v>73.25</v>
      </c>
      <c r="P59" s="178">
        <v>44926</v>
      </c>
      <c r="Q59" s="179">
        <v>73.680000000000007</v>
      </c>
      <c r="R59" s="178">
        <v>44742</v>
      </c>
      <c r="S59" s="179">
        <v>77.59</v>
      </c>
      <c r="T59" s="178">
        <v>44742</v>
      </c>
      <c r="U59" s="179">
        <v>81.819999999999993</v>
      </c>
      <c r="V59" s="178">
        <v>45107</v>
      </c>
      <c r="W59" s="179">
        <v>160.86000000000001</v>
      </c>
      <c r="X59" s="178">
        <v>45107</v>
      </c>
      <c r="Y59" s="179">
        <v>152.23433176569594</v>
      </c>
      <c r="Z59" s="178">
        <v>45473</v>
      </c>
      <c r="AA59" s="179">
        <v>118.9</v>
      </c>
      <c r="AB59" s="179"/>
      <c r="AC59" s="179"/>
      <c r="AE59" s="157"/>
      <c r="AG59" s="137"/>
    </row>
    <row r="60" spans="3:33" ht="15.75" customHeight="1" outlineLevel="1" x14ac:dyDescent="0.25">
      <c r="C60" s="18" t="s">
        <v>176</v>
      </c>
      <c r="D60" s="18" t="s">
        <v>182</v>
      </c>
      <c r="E60" s="18" t="s">
        <v>178</v>
      </c>
      <c r="F60" s="18" t="s">
        <v>179</v>
      </c>
      <c r="G60" s="18" t="s">
        <v>66</v>
      </c>
      <c r="H60" s="175">
        <v>44196</v>
      </c>
      <c r="I60" s="176">
        <v>92.03</v>
      </c>
      <c r="J60" s="175">
        <v>44196</v>
      </c>
      <c r="K60" s="177">
        <v>92.03</v>
      </c>
      <c r="L60" s="175">
        <v>44196</v>
      </c>
      <c r="M60" s="176">
        <v>92.03</v>
      </c>
      <c r="N60" s="178">
        <v>44561</v>
      </c>
      <c r="O60" s="179">
        <v>69.23</v>
      </c>
      <c r="P60" s="178">
        <v>44926</v>
      </c>
      <c r="Q60" s="179">
        <v>69.78</v>
      </c>
      <c r="R60" s="178">
        <v>44742</v>
      </c>
      <c r="S60" s="179">
        <v>75.069999999999993</v>
      </c>
      <c r="T60" s="178">
        <v>44742</v>
      </c>
      <c r="U60" s="179">
        <v>80.25</v>
      </c>
      <c r="V60" s="178">
        <v>45107</v>
      </c>
      <c r="W60" s="179">
        <v>158.29</v>
      </c>
      <c r="X60" s="178">
        <v>45107</v>
      </c>
      <c r="Y60" s="179">
        <v>152.94289200433886</v>
      </c>
      <c r="Z60" s="178">
        <v>45473</v>
      </c>
      <c r="AA60" s="179">
        <v>120.35</v>
      </c>
      <c r="AB60" s="179"/>
      <c r="AC60" s="179"/>
      <c r="AE60" s="157"/>
      <c r="AG60" s="137"/>
    </row>
    <row r="61" spans="3:33" ht="15.75" customHeight="1" outlineLevel="1" x14ac:dyDescent="0.25">
      <c r="C61" s="18" t="s">
        <v>176</v>
      </c>
      <c r="D61" s="18" t="s">
        <v>183</v>
      </c>
      <c r="E61" s="18" t="s">
        <v>178</v>
      </c>
      <c r="F61" s="18" t="s">
        <v>179</v>
      </c>
      <c r="G61" s="18" t="s">
        <v>66</v>
      </c>
      <c r="H61" s="175">
        <v>44196</v>
      </c>
      <c r="I61" s="176">
        <v>98.18</v>
      </c>
      <c r="J61" s="175">
        <v>44196</v>
      </c>
      <c r="K61" s="177">
        <v>98.18</v>
      </c>
      <c r="L61" s="175">
        <v>44196</v>
      </c>
      <c r="M61" s="176">
        <v>98.18</v>
      </c>
      <c r="N61" s="178">
        <v>44561</v>
      </c>
      <c r="O61" s="179">
        <v>73.75</v>
      </c>
      <c r="P61" s="178">
        <v>44926</v>
      </c>
      <c r="Q61" s="179">
        <v>74.19</v>
      </c>
      <c r="R61" s="178">
        <v>44742</v>
      </c>
      <c r="S61" s="179">
        <v>76.900000000000006</v>
      </c>
      <c r="T61" s="178">
        <v>44742</v>
      </c>
      <c r="U61" s="179">
        <v>81.03</v>
      </c>
      <c r="V61" s="178">
        <v>45107</v>
      </c>
      <c r="W61" s="179">
        <v>158.96</v>
      </c>
      <c r="X61" s="178">
        <v>45107</v>
      </c>
      <c r="Y61" s="179">
        <v>149.74862262361765</v>
      </c>
      <c r="Z61" s="178">
        <v>45473</v>
      </c>
      <c r="AA61" s="179">
        <v>116.51</v>
      </c>
      <c r="AB61" s="179"/>
      <c r="AC61" s="179"/>
      <c r="AE61" s="157"/>
      <c r="AG61" s="137"/>
    </row>
    <row r="62" spans="3:33" ht="15.75" customHeight="1" outlineLevel="1" x14ac:dyDescent="0.25">
      <c r="C62" s="18" t="s">
        <v>176</v>
      </c>
      <c r="D62" s="18" t="s">
        <v>184</v>
      </c>
      <c r="E62" s="18" t="s">
        <v>178</v>
      </c>
      <c r="F62" s="18" t="s">
        <v>179</v>
      </c>
      <c r="G62" s="18" t="s">
        <v>66</v>
      </c>
      <c r="H62" s="175">
        <v>44196</v>
      </c>
      <c r="I62" s="176">
        <v>0.48</v>
      </c>
      <c r="J62" s="175">
        <v>44196</v>
      </c>
      <c r="K62" s="177">
        <v>0.48</v>
      </c>
      <c r="L62" s="175">
        <v>44196</v>
      </c>
      <c r="M62" s="176">
        <v>0.48</v>
      </c>
      <c r="N62" s="178">
        <v>44561</v>
      </c>
      <c r="O62" s="179">
        <v>0.3</v>
      </c>
      <c r="P62" s="178">
        <v>44926</v>
      </c>
      <c r="Q62" s="179">
        <v>0.27</v>
      </c>
      <c r="R62" s="178">
        <v>44742</v>
      </c>
      <c r="S62" s="179">
        <v>0.27</v>
      </c>
      <c r="T62" s="178">
        <v>44742</v>
      </c>
      <c r="U62" s="179">
        <v>0.38</v>
      </c>
      <c r="V62" s="178">
        <v>45107</v>
      </c>
      <c r="W62" s="179">
        <v>0.43</v>
      </c>
      <c r="X62" s="178">
        <v>45107</v>
      </c>
      <c r="Y62" s="179">
        <v>0.75597283903685197</v>
      </c>
      <c r="Z62" s="178">
        <v>45473</v>
      </c>
      <c r="AA62" s="179">
        <v>0.28999999999999998</v>
      </c>
      <c r="AB62" s="179"/>
      <c r="AC62" s="179"/>
      <c r="AE62" s="157"/>
      <c r="AG62" s="137"/>
    </row>
    <row r="63" spans="3:33" ht="15.75" customHeight="1" outlineLevel="1" x14ac:dyDescent="0.25">
      <c r="C63" s="18" t="s">
        <v>176</v>
      </c>
      <c r="D63" s="18" t="s">
        <v>185</v>
      </c>
      <c r="E63" s="18" t="s">
        <v>178</v>
      </c>
      <c r="F63" s="18" t="s">
        <v>179</v>
      </c>
      <c r="G63" s="18" t="s">
        <v>66</v>
      </c>
      <c r="H63" s="175">
        <v>44196</v>
      </c>
      <c r="I63" s="176">
        <v>0.47</v>
      </c>
      <c r="J63" s="175">
        <v>44196</v>
      </c>
      <c r="K63" s="177">
        <v>0.47</v>
      </c>
      <c r="L63" s="175">
        <v>44196</v>
      </c>
      <c r="M63" s="176">
        <v>0.47</v>
      </c>
      <c r="N63" s="178">
        <v>44561</v>
      </c>
      <c r="O63" s="179">
        <v>0.3</v>
      </c>
      <c r="P63" s="178">
        <v>44926</v>
      </c>
      <c r="Q63" s="179">
        <v>0.28000000000000003</v>
      </c>
      <c r="R63" s="178">
        <v>44742</v>
      </c>
      <c r="S63" s="179">
        <v>0.31</v>
      </c>
      <c r="T63" s="178">
        <v>44742</v>
      </c>
      <c r="U63" s="179">
        <v>0.4</v>
      </c>
      <c r="V63" s="178">
        <v>45107</v>
      </c>
      <c r="W63" s="179">
        <v>0.36</v>
      </c>
      <c r="X63" s="178">
        <v>45107</v>
      </c>
      <c r="Y63" s="179">
        <v>0.63406351167904607</v>
      </c>
      <c r="Z63" s="178">
        <v>45473</v>
      </c>
      <c r="AA63" s="179">
        <v>0.24</v>
      </c>
      <c r="AB63" s="179"/>
      <c r="AC63" s="179"/>
      <c r="AE63" s="157"/>
      <c r="AG63" s="137"/>
    </row>
    <row r="64" spans="3:33" ht="15.75" customHeight="1" outlineLevel="1" x14ac:dyDescent="0.25">
      <c r="C64" s="18" t="s">
        <v>176</v>
      </c>
      <c r="D64" s="18" t="s">
        <v>186</v>
      </c>
      <c r="E64" s="18" t="s">
        <v>178</v>
      </c>
      <c r="F64" s="18" t="s">
        <v>179</v>
      </c>
      <c r="G64" s="18" t="s">
        <v>66</v>
      </c>
      <c r="H64" s="175">
        <v>44196</v>
      </c>
      <c r="I64" s="176">
        <v>0.45</v>
      </c>
      <c r="J64" s="175">
        <v>44196</v>
      </c>
      <c r="K64" s="177">
        <v>0.45</v>
      </c>
      <c r="L64" s="175">
        <v>44196</v>
      </c>
      <c r="M64" s="176">
        <v>0.45</v>
      </c>
      <c r="N64" s="178">
        <v>44561</v>
      </c>
      <c r="O64" s="179">
        <v>0.3</v>
      </c>
      <c r="P64" s="178">
        <v>44926</v>
      </c>
      <c r="Q64" s="179">
        <v>0.27</v>
      </c>
      <c r="R64" s="178">
        <v>44742</v>
      </c>
      <c r="S64" s="179">
        <v>0.25</v>
      </c>
      <c r="T64" s="178">
        <v>44742</v>
      </c>
      <c r="U64" s="179">
        <v>0.39</v>
      </c>
      <c r="V64" s="178">
        <v>45107</v>
      </c>
      <c r="W64" s="179">
        <v>0.42</v>
      </c>
      <c r="X64" s="178">
        <v>45107</v>
      </c>
      <c r="Y64" s="179">
        <v>0.75975138343267379</v>
      </c>
      <c r="Z64" s="178">
        <v>45473</v>
      </c>
      <c r="AA64" s="179">
        <v>0.3</v>
      </c>
      <c r="AB64" s="179"/>
      <c r="AC64" s="179"/>
      <c r="AE64" s="157"/>
      <c r="AG64" s="137"/>
    </row>
    <row r="65" spans="3:33" ht="15.75" customHeight="1" outlineLevel="1" x14ac:dyDescent="0.25">
      <c r="C65" s="18" t="s">
        <v>176</v>
      </c>
      <c r="D65" s="18" t="s">
        <v>187</v>
      </c>
      <c r="E65" s="18" t="s">
        <v>178</v>
      </c>
      <c r="F65" s="18" t="s">
        <v>179</v>
      </c>
      <c r="G65" s="18" t="s">
        <v>66</v>
      </c>
      <c r="H65" s="175">
        <v>44196</v>
      </c>
      <c r="I65" s="176">
        <v>0.42</v>
      </c>
      <c r="J65" s="175">
        <v>44196</v>
      </c>
      <c r="K65" s="177">
        <v>0.42</v>
      </c>
      <c r="L65" s="175">
        <v>44196</v>
      </c>
      <c r="M65" s="176">
        <v>0.42</v>
      </c>
      <c r="N65" s="178">
        <v>44561</v>
      </c>
      <c r="O65" s="179">
        <v>0.3</v>
      </c>
      <c r="P65" s="178">
        <v>44926</v>
      </c>
      <c r="Q65" s="179">
        <v>0.28000000000000003</v>
      </c>
      <c r="R65" s="178">
        <v>44742</v>
      </c>
      <c r="S65" s="179">
        <v>0.32</v>
      </c>
      <c r="T65" s="178">
        <v>44742</v>
      </c>
      <c r="U65" s="179">
        <v>0.46</v>
      </c>
      <c r="V65" s="178">
        <v>45107</v>
      </c>
      <c r="W65" s="179">
        <v>0.39</v>
      </c>
      <c r="X65" s="178">
        <v>45107</v>
      </c>
      <c r="Y65" s="179">
        <v>0.77200647873025952</v>
      </c>
      <c r="Z65" s="178">
        <v>45473</v>
      </c>
      <c r="AA65" s="179">
        <v>0.33</v>
      </c>
      <c r="AB65" s="179"/>
      <c r="AC65" s="179"/>
      <c r="AE65" s="157"/>
      <c r="AG65" s="137"/>
    </row>
    <row r="66" spans="3:33" ht="15.75" customHeight="1" outlineLevel="1" x14ac:dyDescent="0.25">
      <c r="C66" s="18" t="s">
        <v>176</v>
      </c>
      <c r="D66" s="18" t="s">
        <v>188</v>
      </c>
      <c r="E66" s="18" t="s">
        <v>178</v>
      </c>
      <c r="F66" s="18" t="s">
        <v>179</v>
      </c>
      <c r="G66" s="18" t="s">
        <v>66</v>
      </c>
      <c r="H66" s="175">
        <v>44196</v>
      </c>
      <c r="I66" s="176">
        <v>0.49</v>
      </c>
      <c r="J66" s="175">
        <v>44196</v>
      </c>
      <c r="K66" s="177">
        <v>0.49</v>
      </c>
      <c r="L66" s="175">
        <v>44196</v>
      </c>
      <c r="M66" s="176">
        <v>0.49</v>
      </c>
      <c r="N66" s="178">
        <v>44561</v>
      </c>
      <c r="O66" s="179">
        <v>0.33</v>
      </c>
      <c r="P66" s="178">
        <v>44926</v>
      </c>
      <c r="Q66" s="179">
        <v>0.3</v>
      </c>
      <c r="R66" s="178">
        <v>44742</v>
      </c>
      <c r="S66" s="179">
        <v>0.31</v>
      </c>
      <c r="T66" s="178">
        <v>44742</v>
      </c>
      <c r="U66" s="179">
        <v>0.48</v>
      </c>
      <c r="V66" s="178">
        <v>45107</v>
      </c>
      <c r="W66" s="179">
        <v>0.38</v>
      </c>
      <c r="X66" s="178">
        <v>45107</v>
      </c>
      <c r="Y66" s="179">
        <v>0.72106076586370949</v>
      </c>
      <c r="Z66" s="178">
        <v>45473</v>
      </c>
      <c r="AA66" s="179">
        <v>0.28999999999999998</v>
      </c>
      <c r="AB66" s="179"/>
      <c r="AC66" s="179"/>
      <c r="AE66" s="133"/>
      <c r="AG66" s="137"/>
    </row>
    <row r="67" spans="3:33" ht="15.75" customHeight="1" outlineLevel="1" x14ac:dyDescent="0.25">
      <c r="C67" s="18" t="s">
        <v>176</v>
      </c>
      <c r="D67" s="18" t="s">
        <v>189</v>
      </c>
      <c r="E67" s="18" t="s">
        <v>178</v>
      </c>
      <c r="F67" s="18" t="s">
        <v>179</v>
      </c>
      <c r="G67" s="18" t="s">
        <v>67</v>
      </c>
      <c r="H67" s="175">
        <v>44196</v>
      </c>
      <c r="I67" s="176">
        <v>82.28</v>
      </c>
      <c r="J67" s="175">
        <v>44196</v>
      </c>
      <c r="K67" s="177">
        <v>82.28</v>
      </c>
      <c r="L67" s="175">
        <v>44196</v>
      </c>
      <c r="M67" s="176">
        <v>82.28</v>
      </c>
      <c r="N67" s="178">
        <v>44561</v>
      </c>
      <c r="O67" s="179">
        <v>62.64</v>
      </c>
      <c r="P67" s="178">
        <v>44926</v>
      </c>
      <c r="Q67" s="179">
        <v>62.76</v>
      </c>
      <c r="R67" s="178">
        <v>44742</v>
      </c>
      <c r="S67" s="179">
        <v>64.87</v>
      </c>
      <c r="T67" s="178">
        <v>44742</v>
      </c>
      <c r="U67" s="179">
        <v>70.17</v>
      </c>
      <c r="V67" s="178">
        <v>45107</v>
      </c>
      <c r="W67" s="179">
        <v>130.16</v>
      </c>
      <c r="X67" s="178">
        <v>45107</v>
      </c>
      <c r="Y67" s="179">
        <v>127.99318301307451</v>
      </c>
      <c r="Z67" s="178">
        <v>45473</v>
      </c>
      <c r="AA67" s="179">
        <v>98</v>
      </c>
      <c r="AB67" s="179"/>
      <c r="AC67" s="179"/>
      <c r="AE67" s="133"/>
      <c r="AG67" s="137"/>
    </row>
    <row r="68" spans="3:33" ht="15.75" customHeight="1" outlineLevel="1" x14ac:dyDescent="0.25">
      <c r="C68" s="18" t="s">
        <v>176</v>
      </c>
      <c r="D68" s="18" t="s">
        <v>190</v>
      </c>
      <c r="E68" s="18" t="s">
        <v>178</v>
      </c>
      <c r="F68" s="18" t="s">
        <v>179</v>
      </c>
      <c r="G68" s="18" t="s">
        <v>67</v>
      </c>
      <c r="H68" s="175">
        <v>44196</v>
      </c>
      <c r="I68" s="176">
        <v>85.08</v>
      </c>
      <c r="J68" s="175">
        <v>44196</v>
      </c>
      <c r="K68" s="177">
        <v>85.08</v>
      </c>
      <c r="L68" s="175">
        <v>44196</v>
      </c>
      <c r="M68" s="176">
        <v>85.08</v>
      </c>
      <c r="N68" s="178">
        <v>44561</v>
      </c>
      <c r="O68" s="179">
        <v>63.9</v>
      </c>
      <c r="P68" s="178">
        <v>44926</v>
      </c>
      <c r="Q68" s="179">
        <v>63.89</v>
      </c>
      <c r="R68" s="178">
        <v>44742</v>
      </c>
      <c r="S68" s="179">
        <v>66.540000000000006</v>
      </c>
      <c r="T68" s="178">
        <v>44742</v>
      </c>
      <c r="U68" s="179">
        <v>70.16</v>
      </c>
      <c r="V68" s="178">
        <v>45107</v>
      </c>
      <c r="W68" s="179">
        <v>128.35</v>
      </c>
      <c r="X68" s="178">
        <v>45107</v>
      </c>
      <c r="Y68" s="179">
        <v>125.81685844288594</v>
      </c>
      <c r="Z68" s="178">
        <v>45473</v>
      </c>
      <c r="AA68" s="179">
        <v>94.73</v>
      </c>
      <c r="AB68" s="179"/>
      <c r="AC68" s="179"/>
      <c r="AE68" s="133"/>
      <c r="AG68" s="137"/>
    </row>
    <row r="69" spans="3:33" outlineLevel="1" x14ac:dyDescent="0.25">
      <c r="C69" s="18" t="s">
        <v>176</v>
      </c>
      <c r="D69" s="18" t="s">
        <v>191</v>
      </c>
      <c r="E69" s="18" t="s">
        <v>178</v>
      </c>
      <c r="F69" s="18" t="s">
        <v>179</v>
      </c>
      <c r="G69" s="18" t="s">
        <v>67</v>
      </c>
      <c r="H69" s="175">
        <v>44196</v>
      </c>
      <c r="I69" s="176">
        <v>84.51</v>
      </c>
      <c r="J69" s="175">
        <v>44196</v>
      </c>
      <c r="K69" s="177">
        <v>84.51</v>
      </c>
      <c r="L69" s="175">
        <v>44196</v>
      </c>
      <c r="M69" s="176">
        <v>84.51</v>
      </c>
      <c r="N69" s="178">
        <v>44561</v>
      </c>
      <c r="O69" s="179">
        <v>63.96</v>
      </c>
      <c r="P69" s="178">
        <v>44926</v>
      </c>
      <c r="Q69" s="179">
        <v>63.96</v>
      </c>
      <c r="R69" s="178">
        <v>44742</v>
      </c>
      <c r="S69" s="179">
        <v>65.7</v>
      </c>
      <c r="T69" s="178">
        <v>44742</v>
      </c>
      <c r="U69" s="179">
        <v>68.78</v>
      </c>
      <c r="V69" s="178">
        <v>45107</v>
      </c>
      <c r="W69" s="179">
        <v>131.53</v>
      </c>
      <c r="X69" s="178">
        <v>45107</v>
      </c>
      <c r="Y69" s="179">
        <v>129.5909934656539</v>
      </c>
      <c r="Z69" s="178">
        <v>45473</v>
      </c>
      <c r="AA69" s="179">
        <v>100.36</v>
      </c>
      <c r="AB69" s="179"/>
      <c r="AC69" s="179"/>
      <c r="AG69" s="137"/>
    </row>
    <row r="70" spans="3:33" outlineLevel="1" x14ac:dyDescent="0.25">
      <c r="C70" s="18" t="s">
        <v>176</v>
      </c>
      <c r="D70" s="18" t="s">
        <v>192</v>
      </c>
      <c r="E70" s="18" t="s">
        <v>178</v>
      </c>
      <c r="F70" s="18" t="s">
        <v>179</v>
      </c>
      <c r="G70" s="18" t="s">
        <v>67</v>
      </c>
      <c r="H70" s="175">
        <v>44196</v>
      </c>
      <c r="I70" s="176">
        <v>80.11</v>
      </c>
      <c r="J70" s="175">
        <v>44196</v>
      </c>
      <c r="K70" s="177">
        <v>80.11</v>
      </c>
      <c r="L70" s="175">
        <v>44196</v>
      </c>
      <c r="M70" s="176">
        <v>80.11</v>
      </c>
      <c r="N70" s="178">
        <v>44561</v>
      </c>
      <c r="O70" s="179">
        <v>60.92</v>
      </c>
      <c r="P70" s="178">
        <v>44926</v>
      </c>
      <c r="Q70" s="179">
        <v>61.05</v>
      </c>
      <c r="R70" s="178">
        <v>44742</v>
      </c>
      <c r="S70" s="179">
        <v>63.68</v>
      </c>
      <c r="T70" s="178">
        <v>44742</v>
      </c>
      <c r="U70" s="179">
        <v>69.63</v>
      </c>
      <c r="V70" s="178">
        <v>45107</v>
      </c>
      <c r="W70" s="179">
        <v>126.71</v>
      </c>
      <c r="X70" s="178">
        <v>45107</v>
      </c>
      <c r="Y70" s="179">
        <v>124.83628413435757</v>
      </c>
      <c r="Z70" s="178">
        <v>45473</v>
      </c>
      <c r="AA70" s="179">
        <v>96.18</v>
      </c>
      <c r="AB70" s="179"/>
      <c r="AC70" s="179"/>
      <c r="AG70" s="137"/>
    </row>
    <row r="71" spans="3:33" outlineLevel="1" x14ac:dyDescent="0.25">
      <c r="C71" s="18" t="s">
        <v>176</v>
      </c>
      <c r="D71" s="18" t="s">
        <v>193</v>
      </c>
      <c r="E71" s="18" t="s">
        <v>178</v>
      </c>
      <c r="F71" s="18" t="s">
        <v>179</v>
      </c>
      <c r="G71" s="18" t="s">
        <v>67</v>
      </c>
      <c r="H71" s="175">
        <v>44196</v>
      </c>
      <c r="I71" s="176">
        <v>86.63</v>
      </c>
      <c r="J71" s="175">
        <v>44196</v>
      </c>
      <c r="K71" s="177">
        <v>86.63</v>
      </c>
      <c r="L71" s="175">
        <v>44196</v>
      </c>
      <c r="M71" s="176">
        <v>86.63</v>
      </c>
      <c r="N71" s="178">
        <v>44561</v>
      </c>
      <c r="O71" s="179">
        <v>65.260000000000005</v>
      </c>
      <c r="P71" s="178">
        <v>44926</v>
      </c>
      <c r="Q71" s="179">
        <v>65.22</v>
      </c>
      <c r="R71" s="178">
        <v>44742</v>
      </c>
      <c r="S71" s="179">
        <v>66.55</v>
      </c>
      <c r="T71" s="178">
        <v>44742</v>
      </c>
      <c r="U71" s="179">
        <v>68.95</v>
      </c>
      <c r="V71" s="178">
        <v>45107</v>
      </c>
      <c r="W71" s="179">
        <v>131.87</v>
      </c>
      <c r="X71" s="178">
        <v>45107</v>
      </c>
      <c r="Y71" s="179">
        <v>129.74650834657041</v>
      </c>
      <c r="Z71" s="178">
        <v>45473</v>
      </c>
      <c r="AA71" s="179">
        <v>99.62</v>
      </c>
      <c r="AB71" s="179"/>
      <c r="AC71" s="179"/>
      <c r="AE71" s="133"/>
      <c r="AG71" s="137"/>
    </row>
    <row r="72" spans="3:33" outlineLevel="1" x14ac:dyDescent="0.25">
      <c r="C72" s="18" t="s">
        <v>176</v>
      </c>
      <c r="D72" s="18" t="s">
        <v>194</v>
      </c>
      <c r="E72" s="18" t="s">
        <v>178</v>
      </c>
      <c r="F72" s="18" t="s">
        <v>179</v>
      </c>
      <c r="G72" s="18" t="s">
        <v>67</v>
      </c>
      <c r="H72" s="175">
        <v>44196</v>
      </c>
      <c r="I72" s="176">
        <v>0.34</v>
      </c>
      <c r="J72" s="175">
        <v>44196</v>
      </c>
      <c r="K72" s="177">
        <v>0.34</v>
      </c>
      <c r="L72" s="175">
        <v>44196</v>
      </c>
      <c r="M72" s="176">
        <v>0.34</v>
      </c>
      <c r="N72" s="178">
        <v>44561</v>
      </c>
      <c r="O72" s="179">
        <v>0.24</v>
      </c>
      <c r="P72" s="178">
        <v>44926</v>
      </c>
      <c r="Q72" s="179">
        <v>0.23</v>
      </c>
      <c r="R72" s="178">
        <v>44742</v>
      </c>
      <c r="S72" s="179">
        <v>0.32</v>
      </c>
      <c r="T72" s="178">
        <v>44742</v>
      </c>
      <c r="U72" s="179">
        <v>0.44</v>
      </c>
      <c r="V72" s="178">
        <v>45107</v>
      </c>
      <c r="W72" s="179">
        <v>0.46</v>
      </c>
      <c r="X72" s="178">
        <v>45107</v>
      </c>
      <c r="Y72" s="179">
        <v>0.56983788306049488</v>
      </c>
      <c r="Z72" s="178">
        <v>45473</v>
      </c>
      <c r="AA72" s="179">
        <v>0.25</v>
      </c>
      <c r="AB72" s="179"/>
      <c r="AC72" s="179"/>
      <c r="AE72" s="133"/>
      <c r="AG72" s="137"/>
    </row>
    <row r="73" spans="3:33" outlineLevel="1" x14ac:dyDescent="0.25">
      <c r="C73" s="18" t="s">
        <v>176</v>
      </c>
      <c r="D73" s="18" t="s">
        <v>195</v>
      </c>
      <c r="E73" s="18" t="s">
        <v>178</v>
      </c>
      <c r="F73" s="18" t="s">
        <v>179</v>
      </c>
      <c r="G73" s="18" t="s">
        <v>67</v>
      </c>
      <c r="H73" s="175">
        <v>44196</v>
      </c>
      <c r="I73" s="176">
        <v>0.4</v>
      </c>
      <c r="J73" s="175">
        <v>44196</v>
      </c>
      <c r="K73" s="177">
        <v>0.4</v>
      </c>
      <c r="L73" s="175">
        <v>44196</v>
      </c>
      <c r="M73" s="176">
        <v>0.4</v>
      </c>
      <c r="N73" s="178">
        <v>44561</v>
      </c>
      <c r="O73" s="179">
        <v>0.23</v>
      </c>
      <c r="P73" s="178">
        <v>44926</v>
      </c>
      <c r="Q73" s="179">
        <v>0.22</v>
      </c>
      <c r="R73" s="178">
        <v>44742</v>
      </c>
      <c r="S73" s="179">
        <v>0.44</v>
      </c>
      <c r="T73" s="178">
        <v>44742</v>
      </c>
      <c r="U73" s="179">
        <v>0.5</v>
      </c>
      <c r="V73" s="178">
        <v>45107</v>
      </c>
      <c r="W73" s="179">
        <v>0.49</v>
      </c>
      <c r="X73" s="178">
        <v>45107</v>
      </c>
      <c r="Y73" s="179">
        <v>0.66754117444073446</v>
      </c>
      <c r="Z73" s="178">
        <v>45473</v>
      </c>
      <c r="AA73" s="179">
        <v>0.27</v>
      </c>
      <c r="AB73" s="179"/>
      <c r="AC73" s="179"/>
      <c r="AE73" s="133"/>
      <c r="AG73" s="137"/>
    </row>
    <row r="74" spans="3:33" outlineLevel="1" x14ac:dyDescent="0.25">
      <c r="C74" s="18" t="s">
        <v>176</v>
      </c>
      <c r="D74" s="18" t="s">
        <v>196</v>
      </c>
      <c r="E74" s="18" t="s">
        <v>178</v>
      </c>
      <c r="F74" s="18" t="s">
        <v>179</v>
      </c>
      <c r="G74" s="18" t="s">
        <v>67</v>
      </c>
      <c r="H74" s="175">
        <v>44196</v>
      </c>
      <c r="I74" s="176">
        <v>0.36</v>
      </c>
      <c r="J74" s="175">
        <v>44196</v>
      </c>
      <c r="K74" s="177">
        <v>0.36</v>
      </c>
      <c r="L74" s="175">
        <v>44196</v>
      </c>
      <c r="M74" s="176">
        <v>0.36</v>
      </c>
      <c r="N74" s="178">
        <v>44561</v>
      </c>
      <c r="O74" s="179">
        <v>0.23</v>
      </c>
      <c r="P74" s="178">
        <v>44926</v>
      </c>
      <c r="Q74" s="179">
        <v>0.22</v>
      </c>
      <c r="R74" s="178">
        <v>44742</v>
      </c>
      <c r="S74" s="179">
        <v>0.41</v>
      </c>
      <c r="T74" s="178">
        <v>44742</v>
      </c>
      <c r="U74" s="179">
        <v>0.55000000000000004</v>
      </c>
      <c r="V74" s="178">
        <v>45107</v>
      </c>
      <c r="W74" s="179">
        <v>0.54</v>
      </c>
      <c r="X74" s="178">
        <v>45107</v>
      </c>
      <c r="Y74" s="179">
        <v>0.61921571486875526</v>
      </c>
      <c r="Z74" s="178">
        <v>45473</v>
      </c>
      <c r="AA74" s="179">
        <v>0.3</v>
      </c>
      <c r="AB74" s="179"/>
      <c r="AC74" s="179"/>
      <c r="AE74" s="133"/>
      <c r="AG74" s="137"/>
    </row>
    <row r="75" spans="3:33" outlineLevel="1" x14ac:dyDescent="0.25">
      <c r="C75" s="18" t="s">
        <v>176</v>
      </c>
      <c r="D75" s="18" t="s">
        <v>197</v>
      </c>
      <c r="E75" s="18" t="s">
        <v>178</v>
      </c>
      <c r="F75" s="18" t="s">
        <v>179</v>
      </c>
      <c r="G75" s="18" t="s">
        <v>67</v>
      </c>
      <c r="H75" s="175">
        <v>44196</v>
      </c>
      <c r="I75" s="176">
        <v>0.31</v>
      </c>
      <c r="J75" s="175">
        <v>44196</v>
      </c>
      <c r="K75" s="177">
        <v>0.31</v>
      </c>
      <c r="L75" s="175">
        <v>44196</v>
      </c>
      <c r="M75" s="176">
        <v>0.31</v>
      </c>
      <c r="N75" s="178">
        <v>44561</v>
      </c>
      <c r="O75" s="179">
        <v>0.19</v>
      </c>
      <c r="P75" s="178">
        <v>44926</v>
      </c>
      <c r="Q75" s="179">
        <v>0.18</v>
      </c>
      <c r="R75" s="178">
        <v>44742</v>
      </c>
      <c r="S75" s="179">
        <v>0.31</v>
      </c>
      <c r="T75" s="178">
        <v>44742</v>
      </c>
      <c r="U75" s="179">
        <v>0.44</v>
      </c>
      <c r="V75" s="178">
        <v>45107</v>
      </c>
      <c r="W75" s="179">
        <v>0.45</v>
      </c>
      <c r="X75" s="178">
        <v>45107</v>
      </c>
      <c r="Y75" s="179">
        <v>0.64465204102732077</v>
      </c>
      <c r="Z75" s="178">
        <v>45473</v>
      </c>
      <c r="AA75" s="179">
        <v>0.25</v>
      </c>
      <c r="AB75" s="179"/>
      <c r="AC75" s="179"/>
      <c r="AE75" s="133"/>
      <c r="AG75" s="137"/>
    </row>
    <row r="76" spans="3:33" outlineLevel="1" x14ac:dyDescent="0.25">
      <c r="C76" s="18" t="s">
        <v>176</v>
      </c>
      <c r="D76" s="18" t="s">
        <v>198</v>
      </c>
      <c r="E76" s="18" t="s">
        <v>178</v>
      </c>
      <c r="F76" s="18" t="s">
        <v>179</v>
      </c>
      <c r="G76" s="18" t="s">
        <v>67</v>
      </c>
      <c r="H76" s="175">
        <v>44196</v>
      </c>
      <c r="I76" s="176">
        <v>0.41</v>
      </c>
      <c r="J76" s="175">
        <v>44196</v>
      </c>
      <c r="K76" s="177">
        <v>0.41</v>
      </c>
      <c r="L76" s="175">
        <v>44196</v>
      </c>
      <c r="M76" s="176">
        <v>0.41</v>
      </c>
      <c r="N76" s="178">
        <v>44561</v>
      </c>
      <c r="O76" s="179">
        <v>0.24</v>
      </c>
      <c r="P76" s="178">
        <v>44926</v>
      </c>
      <c r="Q76" s="179">
        <v>0.23</v>
      </c>
      <c r="R76" s="178">
        <v>44742</v>
      </c>
      <c r="S76" s="179">
        <v>0.45</v>
      </c>
      <c r="T76" s="178">
        <v>44742</v>
      </c>
      <c r="U76" s="179">
        <v>0.59</v>
      </c>
      <c r="V76" s="178">
        <v>45107</v>
      </c>
      <c r="W76" s="179">
        <v>0.57999999999999996</v>
      </c>
      <c r="X76" s="178">
        <v>45107</v>
      </c>
      <c r="Y76" s="179">
        <v>0.62903452585661535</v>
      </c>
      <c r="Z76" s="178">
        <v>45473</v>
      </c>
      <c r="AA76" s="179">
        <v>0.28999999999999998</v>
      </c>
      <c r="AB76" s="179"/>
      <c r="AC76" s="179"/>
      <c r="AE76" s="133"/>
      <c r="AG76" s="137"/>
    </row>
    <row r="77" spans="3:33" outlineLevel="1" x14ac:dyDescent="0.25">
      <c r="C77" s="18" t="s">
        <v>83</v>
      </c>
      <c r="D77" s="18" t="s">
        <v>199</v>
      </c>
      <c r="E77" s="18" t="s">
        <v>178</v>
      </c>
      <c r="F77" s="18" t="s">
        <v>200</v>
      </c>
      <c r="G77" s="18" t="s">
        <v>133</v>
      </c>
      <c r="H77" s="175">
        <v>44104</v>
      </c>
      <c r="I77" s="176">
        <v>32.379354863483861</v>
      </c>
      <c r="J77" s="175">
        <v>44104</v>
      </c>
      <c r="K77" s="177">
        <v>32.379354863483861</v>
      </c>
      <c r="L77" s="175">
        <v>44104</v>
      </c>
      <c r="M77" s="176">
        <v>32.379354863483861</v>
      </c>
      <c r="N77" s="178">
        <v>44377</v>
      </c>
      <c r="O77" s="179">
        <v>49.642986107494764</v>
      </c>
      <c r="P77" s="178">
        <v>44377</v>
      </c>
      <c r="Q77" s="185">
        <v>56.939318273848677</v>
      </c>
      <c r="R77" s="178">
        <v>44742</v>
      </c>
      <c r="S77" s="179">
        <v>74.135088797592729</v>
      </c>
      <c r="T77" s="178">
        <v>44742</v>
      </c>
      <c r="U77" s="179">
        <v>73.624003962523105</v>
      </c>
      <c r="V77" s="178">
        <v>45107</v>
      </c>
      <c r="W77" s="179">
        <v>69.000004115230098</v>
      </c>
      <c r="X77" s="178">
        <v>45107</v>
      </c>
      <c r="Y77" s="179">
        <v>68.562227396360115</v>
      </c>
      <c r="Z77" s="178">
        <v>45473</v>
      </c>
      <c r="AA77" s="179">
        <v>77.150000000000006</v>
      </c>
      <c r="AB77" s="179"/>
      <c r="AC77" s="179"/>
      <c r="AG77" s="137"/>
    </row>
    <row r="78" spans="3:33" outlineLevel="1" x14ac:dyDescent="0.25">
      <c r="C78" s="18" t="s">
        <v>83</v>
      </c>
      <c r="D78" s="18" t="s">
        <v>201</v>
      </c>
      <c r="E78" s="18" t="s">
        <v>178</v>
      </c>
      <c r="F78" s="18" t="s">
        <v>200</v>
      </c>
      <c r="G78" s="18" t="s">
        <v>133</v>
      </c>
      <c r="H78" s="175">
        <v>44196</v>
      </c>
      <c r="I78" s="176">
        <v>35.75</v>
      </c>
      <c r="J78" s="175">
        <v>44196</v>
      </c>
      <c r="K78" s="177">
        <v>35.75</v>
      </c>
      <c r="L78" s="175">
        <v>44196</v>
      </c>
      <c r="M78" s="176">
        <v>35.75</v>
      </c>
      <c r="N78" s="178">
        <v>44561</v>
      </c>
      <c r="O78" s="179">
        <v>34.01</v>
      </c>
      <c r="P78" s="178">
        <v>44561</v>
      </c>
      <c r="Q78" s="179">
        <v>34.44</v>
      </c>
      <c r="R78" s="178">
        <v>44742</v>
      </c>
      <c r="S78" s="179">
        <v>40.28</v>
      </c>
      <c r="T78" s="178">
        <v>44742</v>
      </c>
      <c r="U78" s="179">
        <v>35.46</v>
      </c>
      <c r="V78" s="178">
        <v>45107</v>
      </c>
      <c r="W78" s="179">
        <v>54.66</v>
      </c>
      <c r="X78" s="178">
        <v>45107</v>
      </c>
      <c r="Y78" s="179">
        <v>54.83</v>
      </c>
      <c r="Z78" s="178">
        <v>45473</v>
      </c>
      <c r="AA78" s="179">
        <v>48.36</v>
      </c>
      <c r="AB78" s="179"/>
      <c r="AC78" s="179"/>
      <c r="AG78" s="137"/>
    </row>
    <row r="79" spans="3:33" outlineLevel="1" x14ac:dyDescent="0.25">
      <c r="C79" s="18" t="s">
        <v>83</v>
      </c>
      <c r="D79" s="18" t="s">
        <v>202</v>
      </c>
      <c r="E79" s="18" t="s">
        <v>178</v>
      </c>
      <c r="F79" s="18" t="s">
        <v>200</v>
      </c>
      <c r="G79" s="18" t="s">
        <v>133</v>
      </c>
      <c r="H79" s="175">
        <v>44196</v>
      </c>
      <c r="I79" s="176">
        <v>40</v>
      </c>
      <c r="J79" s="175">
        <v>44196</v>
      </c>
      <c r="K79" s="177">
        <v>40</v>
      </c>
      <c r="L79" s="175">
        <v>44196</v>
      </c>
      <c r="M79" s="176">
        <v>40</v>
      </c>
      <c r="N79" s="178">
        <v>44561</v>
      </c>
      <c r="O79" s="179">
        <v>40</v>
      </c>
      <c r="P79" s="178">
        <v>44561</v>
      </c>
      <c r="Q79" s="179">
        <v>40</v>
      </c>
      <c r="R79" s="178">
        <v>44742</v>
      </c>
      <c r="S79" s="183">
        <v>40</v>
      </c>
      <c r="T79" s="178">
        <v>44742</v>
      </c>
      <c r="U79" s="179">
        <v>40</v>
      </c>
      <c r="V79" s="178">
        <v>45107</v>
      </c>
      <c r="W79" s="179">
        <v>40</v>
      </c>
      <c r="X79" s="178">
        <v>45107</v>
      </c>
      <c r="Y79" s="179">
        <v>40</v>
      </c>
      <c r="Z79" s="178">
        <v>45473</v>
      </c>
      <c r="AA79" s="179">
        <v>40</v>
      </c>
      <c r="AB79" s="179"/>
      <c r="AC79" s="179"/>
      <c r="AG79" s="137"/>
    </row>
    <row r="80" spans="3:33" outlineLevel="1" x14ac:dyDescent="0.25">
      <c r="C80" s="18" t="s">
        <v>83</v>
      </c>
      <c r="D80" s="18" t="s">
        <v>203</v>
      </c>
      <c r="E80" s="18" t="s">
        <v>178</v>
      </c>
      <c r="F80" s="18" t="s">
        <v>204</v>
      </c>
      <c r="G80" s="18" t="s">
        <v>133</v>
      </c>
      <c r="H80" s="175" t="s">
        <v>51</v>
      </c>
      <c r="I80" s="176">
        <v>0.17255000000000001</v>
      </c>
      <c r="J80" s="175" t="s">
        <v>51</v>
      </c>
      <c r="K80" s="186">
        <v>0.17255000000000001</v>
      </c>
      <c r="L80" s="175" t="s">
        <v>51</v>
      </c>
      <c r="M80" s="176">
        <v>0.17255000000000001</v>
      </c>
      <c r="N80" s="178" t="s">
        <v>51</v>
      </c>
      <c r="O80" s="179">
        <v>0.17255000000000001</v>
      </c>
      <c r="P80" s="178" t="s">
        <v>51</v>
      </c>
      <c r="Q80" s="182">
        <v>0.17255000000000001</v>
      </c>
      <c r="R80" s="178" t="s">
        <v>51</v>
      </c>
      <c r="S80" s="179">
        <v>0.16113</v>
      </c>
      <c r="T80" s="178" t="s">
        <v>51</v>
      </c>
      <c r="U80" s="179">
        <v>0.16113</v>
      </c>
      <c r="V80" s="178">
        <v>45107</v>
      </c>
      <c r="W80" s="179">
        <v>0.16306999999999999</v>
      </c>
      <c r="X80" s="178">
        <v>45107</v>
      </c>
      <c r="Y80" s="179">
        <v>0.16306999999999999</v>
      </c>
      <c r="Z80" s="178">
        <v>45473</v>
      </c>
      <c r="AA80" s="179">
        <v>0.15240000000000001</v>
      </c>
      <c r="AB80" s="179"/>
      <c r="AC80" s="179"/>
      <c r="AG80" s="137"/>
    </row>
    <row r="81" spans="1:33" outlineLevel="1" x14ac:dyDescent="0.25">
      <c r="C81" s="18" t="s">
        <v>83</v>
      </c>
      <c r="D81" s="18" t="s">
        <v>205</v>
      </c>
      <c r="E81" s="18" t="s">
        <v>178</v>
      </c>
      <c r="F81" s="18" t="s">
        <v>204</v>
      </c>
      <c r="G81" s="18" t="s">
        <v>133</v>
      </c>
      <c r="H81" s="175" t="s">
        <v>51</v>
      </c>
      <c r="I81" s="176">
        <v>0.1883</v>
      </c>
      <c r="J81" s="175" t="s">
        <v>51</v>
      </c>
      <c r="K81" s="176">
        <v>0.1883</v>
      </c>
      <c r="L81" s="175" t="s">
        <v>51</v>
      </c>
      <c r="M81" s="176">
        <v>0.1883</v>
      </c>
      <c r="N81" s="178" t="s">
        <v>51</v>
      </c>
      <c r="O81" s="179">
        <v>0.18540000000000001</v>
      </c>
      <c r="P81" s="178" t="s">
        <v>51</v>
      </c>
      <c r="Q81" s="179">
        <v>0.18540000000000001</v>
      </c>
      <c r="R81" s="178">
        <v>44742</v>
      </c>
      <c r="S81" s="179">
        <v>0.18640000000000001</v>
      </c>
      <c r="T81" s="178">
        <v>44742</v>
      </c>
      <c r="U81" s="179">
        <v>0.18640000000000001</v>
      </c>
      <c r="V81" s="178">
        <v>45107</v>
      </c>
      <c r="W81" s="179">
        <v>0.18959999999999999</v>
      </c>
      <c r="X81" s="178">
        <v>45107</v>
      </c>
      <c r="Y81" s="179">
        <v>0.18959999999999999</v>
      </c>
      <c r="Z81" s="178">
        <v>45473</v>
      </c>
      <c r="AA81" s="179">
        <v>0.18959999999999999</v>
      </c>
      <c r="AB81" s="179"/>
      <c r="AC81" s="179"/>
      <c r="AG81" s="137"/>
    </row>
    <row r="82" spans="1:33" outlineLevel="1" x14ac:dyDescent="0.25">
      <c r="C82" s="18" t="s">
        <v>83</v>
      </c>
      <c r="D82" s="18" t="s">
        <v>206</v>
      </c>
      <c r="E82" s="18" t="s">
        <v>178</v>
      </c>
      <c r="F82" s="18" t="s">
        <v>204</v>
      </c>
      <c r="G82" s="18" t="s">
        <v>133</v>
      </c>
      <c r="H82" s="175" t="s">
        <v>51</v>
      </c>
      <c r="I82" s="176">
        <v>-1.0655881611320278E-2</v>
      </c>
      <c r="J82" s="175" t="s">
        <v>51</v>
      </c>
      <c r="K82" s="176">
        <v>-1.0655881611320278E-2</v>
      </c>
      <c r="L82" s="175" t="s">
        <v>51</v>
      </c>
      <c r="M82" s="176">
        <v>-1.0655881611320278E-2</v>
      </c>
      <c r="N82" s="178" t="s">
        <v>51</v>
      </c>
      <c r="O82" s="179" t="s">
        <v>51</v>
      </c>
      <c r="P82" s="178" t="s">
        <v>51</v>
      </c>
      <c r="Q82" s="179" t="s">
        <v>51</v>
      </c>
      <c r="R82" s="178" t="s">
        <v>51</v>
      </c>
      <c r="S82" s="179">
        <v>0</v>
      </c>
      <c r="T82" s="178" t="s">
        <v>51</v>
      </c>
      <c r="U82" s="179">
        <v>0</v>
      </c>
      <c r="V82" s="178" t="s">
        <v>51</v>
      </c>
      <c r="W82" s="179">
        <v>0</v>
      </c>
      <c r="X82" s="178" t="s">
        <v>51</v>
      </c>
      <c r="Y82" s="179">
        <v>0</v>
      </c>
      <c r="Z82" s="178" t="s">
        <v>51</v>
      </c>
      <c r="AA82" s="179">
        <v>0</v>
      </c>
      <c r="AB82" s="179"/>
      <c r="AC82" s="179"/>
      <c r="AG82" s="137"/>
    </row>
    <row r="83" spans="1:33" outlineLevel="1" x14ac:dyDescent="0.25">
      <c r="C83" s="18" t="s">
        <v>83</v>
      </c>
      <c r="D83" s="18" t="s">
        <v>207</v>
      </c>
      <c r="E83" s="18" t="s">
        <v>178</v>
      </c>
      <c r="F83" s="18" t="s">
        <v>204</v>
      </c>
      <c r="G83" s="18" t="s">
        <v>133</v>
      </c>
      <c r="H83" s="175" t="s">
        <v>51</v>
      </c>
      <c r="I83" s="176">
        <v>0.219</v>
      </c>
      <c r="J83" s="175" t="s">
        <v>51</v>
      </c>
      <c r="K83" s="176">
        <v>0.219</v>
      </c>
      <c r="L83" s="175" t="s">
        <v>51</v>
      </c>
      <c r="M83" s="176">
        <v>0.219</v>
      </c>
      <c r="N83" s="178" t="s">
        <v>51</v>
      </c>
      <c r="O83" s="179">
        <v>0.25600000000000001</v>
      </c>
      <c r="P83" s="178" t="s">
        <v>51</v>
      </c>
      <c r="Q83" s="179">
        <v>0.25600000000000001</v>
      </c>
      <c r="R83" s="178">
        <v>44742</v>
      </c>
      <c r="S83" s="179">
        <v>0.248</v>
      </c>
      <c r="T83" s="178">
        <v>44742</v>
      </c>
      <c r="U83" s="179">
        <v>0.248</v>
      </c>
      <c r="V83" s="178">
        <v>45107</v>
      </c>
      <c r="W83" s="179">
        <v>0.1714</v>
      </c>
      <c r="X83" s="178">
        <v>45107</v>
      </c>
      <c r="Y83" s="179">
        <v>0.1714</v>
      </c>
      <c r="Z83" s="178">
        <v>45473</v>
      </c>
      <c r="AA83" s="179">
        <v>0.16389999999999999</v>
      </c>
      <c r="AB83" s="179"/>
      <c r="AC83" s="179"/>
      <c r="AG83" s="137"/>
    </row>
    <row r="84" spans="1:33" outlineLevel="1" x14ac:dyDescent="0.25">
      <c r="C84" s="18" t="s">
        <v>83</v>
      </c>
      <c r="D84" s="18" t="s">
        <v>208</v>
      </c>
      <c r="E84" s="18" t="s">
        <v>178</v>
      </c>
      <c r="F84" s="18" t="s">
        <v>204</v>
      </c>
      <c r="G84" s="18" t="s">
        <v>133</v>
      </c>
      <c r="H84" s="175" t="s">
        <v>51</v>
      </c>
      <c r="I84" s="176">
        <v>6.25E-2</v>
      </c>
      <c r="J84" s="175" t="s">
        <v>51</v>
      </c>
      <c r="K84" s="176">
        <v>6.25E-2</v>
      </c>
      <c r="L84" s="175" t="s">
        <v>51</v>
      </c>
      <c r="M84" s="176">
        <v>6.25E-2</v>
      </c>
      <c r="N84" s="178" t="s">
        <v>51</v>
      </c>
      <c r="O84" s="179" t="s">
        <v>51</v>
      </c>
      <c r="P84" s="178" t="s">
        <v>51</v>
      </c>
      <c r="Q84" s="179" t="s">
        <v>51</v>
      </c>
      <c r="R84" s="178" t="s">
        <v>51</v>
      </c>
      <c r="S84" s="179">
        <v>0</v>
      </c>
      <c r="T84" s="178" t="s">
        <v>51</v>
      </c>
      <c r="U84" s="179">
        <v>0</v>
      </c>
      <c r="V84" s="178" t="s">
        <v>51</v>
      </c>
      <c r="W84" s="179">
        <v>0</v>
      </c>
      <c r="X84" s="178" t="s">
        <v>51</v>
      </c>
      <c r="Y84" s="179">
        <v>0</v>
      </c>
      <c r="Z84" s="178" t="s">
        <v>51</v>
      </c>
      <c r="AA84" s="179">
        <v>0</v>
      </c>
      <c r="AB84" s="179"/>
      <c r="AC84" s="179"/>
      <c r="AG84" s="137"/>
    </row>
    <row r="85" spans="1:33" outlineLevel="1" x14ac:dyDescent="0.25">
      <c r="C85" s="18" t="s">
        <v>141</v>
      </c>
      <c r="D85" s="18" t="s">
        <v>209</v>
      </c>
      <c r="E85" s="18" t="s">
        <v>178</v>
      </c>
      <c r="F85" s="18" t="s">
        <v>179</v>
      </c>
      <c r="G85" s="18" t="s">
        <v>133</v>
      </c>
      <c r="H85" s="175">
        <v>44012</v>
      </c>
      <c r="I85" s="176">
        <v>0.36799999999999999</v>
      </c>
      <c r="J85" s="175">
        <v>44012</v>
      </c>
      <c r="K85" s="177">
        <v>0.36799999999999999</v>
      </c>
      <c r="L85" s="175">
        <v>44012</v>
      </c>
      <c r="M85" s="176">
        <v>0.36799999999999999</v>
      </c>
      <c r="N85" s="178">
        <v>44377</v>
      </c>
      <c r="O85" s="179">
        <v>0.40001999999999999</v>
      </c>
      <c r="P85" s="178">
        <v>44377</v>
      </c>
      <c r="Q85" s="184">
        <v>0.40001999999999999</v>
      </c>
      <c r="R85" s="178">
        <v>44377</v>
      </c>
      <c r="S85" s="184">
        <v>0.40001999999999999</v>
      </c>
      <c r="T85" s="178">
        <v>44742</v>
      </c>
      <c r="U85" s="179">
        <v>0.75403769999999992</v>
      </c>
      <c r="V85" s="178">
        <v>45107</v>
      </c>
      <c r="W85" s="182">
        <v>0.78793000000000002</v>
      </c>
      <c r="X85" s="178">
        <v>45107</v>
      </c>
      <c r="Y85" s="182">
        <v>0.28255000000000002</v>
      </c>
      <c r="Z85" s="178">
        <v>45473</v>
      </c>
      <c r="AA85" s="179">
        <v>0.29530000000000001</v>
      </c>
      <c r="AB85" s="182"/>
      <c r="AC85" s="182"/>
      <c r="AG85" s="137"/>
    </row>
    <row r="86" spans="1:33" outlineLevel="1" x14ac:dyDescent="0.25">
      <c r="C86" s="18" t="s">
        <v>141</v>
      </c>
      <c r="D86" s="18" t="s">
        <v>210</v>
      </c>
      <c r="E86" s="18" t="s">
        <v>178</v>
      </c>
      <c r="F86" s="18" t="s">
        <v>179</v>
      </c>
      <c r="G86" s="18" t="s">
        <v>133</v>
      </c>
      <c r="H86" s="175" t="s">
        <v>51</v>
      </c>
      <c r="I86" s="176" t="s">
        <v>51</v>
      </c>
      <c r="J86" s="175" t="s">
        <v>51</v>
      </c>
      <c r="K86" s="177" t="s">
        <v>51</v>
      </c>
      <c r="L86" s="175" t="s">
        <v>51</v>
      </c>
      <c r="M86" s="176" t="s">
        <v>51</v>
      </c>
      <c r="N86" s="178" t="s">
        <v>51</v>
      </c>
      <c r="O86" s="179" t="s">
        <v>51</v>
      </c>
      <c r="P86" s="178" t="s">
        <v>51</v>
      </c>
      <c r="Q86" s="179" t="s">
        <v>51</v>
      </c>
      <c r="R86" s="178" t="s">
        <v>51</v>
      </c>
      <c r="S86" s="179">
        <v>0</v>
      </c>
      <c r="T86" s="178" t="s">
        <v>51</v>
      </c>
      <c r="U86" s="179">
        <v>0</v>
      </c>
      <c r="V86" s="178" t="s">
        <v>51</v>
      </c>
      <c r="W86" s="179">
        <v>0</v>
      </c>
      <c r="X86" s="178" t="s">
        <v>51</v>
      </c>
      <c r="Y86" s="179">
        <v>0</v>
      </c>
      <c r="Z86" s="178" t="s">
        <v>51</v>
      </c>
      <c r="AA86" s="179">
        <v>0</v>
      </c>
      <c r="AB86" s="179"/>
      <c r="AC86" s="179"/>
      <c r="AG86" s="137"/>
    </row>
    <row r="87" spans="1:33" outlineLevel="1" x14ac:dyDescent="0.25">
      <c r="C87" s="18" t="s">
        <v>141</v>
      </c>
      <c r="D87" s="18" t="s">
        <v>211</v>
      </c>
      <c r="E87" s="18" t="s">
        <v>178</v>
      </c>
      <c r="F87" s="18" t="s">
        <v>179</v>
      </c>
      <c r="G87" s="18" t="s">
        <v>133</v>
      </c>
      <c r="H87" s="175">
        <v>44012</v>
      </c>
      <c r="I87" s="176">
        <v>0</v>
      </c>
      <c r="J87" s="175">
        <v>44012</v>
      </c>
      <c r="K87" s="177">
        <v>0</v>
      </c>
      <c r="L87" s="175">
        <v>44012</v>
      </c>
      <c r="M87" s="176">
        <v>0</v>
      </c>
      <c r="N87" s="178">
        <v>44377</v>
      </c>
      <c r="O87" s="179">
        <v>0</v>
      </c>
      <c r="P87" s="178">
        <v>44377</v>
      </c>
      <c r="Q87" s="179">
        <v>0</v>
      </c>
      <c r="R87" s="178">
        <v>44377</v>
      </c>
      <c r="S87" s="179">
        <v>0</v>
      </c>
      <c r="T87" s="178">
        <v>44377</v>
      </c>
      <c r="U87" s="179">
        <v>0</v>
      </c>
      <c r="V87" s="178">
        <v>45107</v>
      </c>
      <c r="W87" s="179">
        <v>0</v>
      </c>
      <c r="X87" s="178">
        <v>45107</v>
      </c>
      <c r="Y87" s="179">
        <v>0</v>
      </c>
      <c r="Z87" s="178">
        <v>45473</v>
      </c>
      <c r="AA87" s="179">
        <v>0</v>
      </c>
      <c r="AB87" s="179"/>
      <c r="AC87" s="179"/>
      <c r="AG87" s="137"/>
    </row>
    <row r="88" spans="1:33" outlineLevel="1" x14ac:dyDescent="0.25">
      <c r="C88" s="18" t="s">
        <v>141</v>
      </c>
      <c r="D88" s="18" t="s">
        <v>212</v>
      </c>
      <c r="E88" s="18" t="s">
        <v>178</v>
      </c>
      <c r="F88" s="18" t="s">
        <v>179</v>
      </c>
      <c r="G88" s="18" t="s">
        <v>133</v>
      </c>
      <c r="H88" s="175">
        <v>44196</v>
      </c>
      <c r="I88" s="176">
        <v>0.36029616847724721</v>
      </c>
      <c r="J88" s="175">
        <v>44196</v>
      </c>
      <c r="K88" s="177">
        <v>0.36029616847724721</v>
      </c>
      <c r="L88" s="175">
        <v>44196</v>
      </c>
      <c r="M88" s="176">
        <v>0.36029616847724721</v>
      </c>
      <c r="N88" s="178">
        <v>44561</v>
      </c>
      <c r="O88" s="179">
        <v>0.29909999999999998</v>
      </c>
      <c r="P88" s="178">
        <v>44561</v>
      </c>
      <c r="Q88" s="179">
        <v>0.32597970254075737</v>
      </c>
      <c r="R88" s="178">
        <v>44742</v>
      </c>
      <c r="S88" s="179">
        <v>0.34689976369582542</v>
      </c>
      <c r="T88" s="178">
        <v>44742</v>
      </c>
      <c r="U88" s="179">
        <v>0.3504897504915403</v>
      </c>
      <c r="V88" s="178">
        <v>45107</v>
      </c>
      <c r="W88" s="179">
        <v>0.41831170394204698</v>
      </c>
      <c r="X88" s="178">
        <v>45107</v>
      </c>
      <c r="Y88" s="179">
        <v>0.4837213664661002</v>
      </c>
      <c r="Z88" s="178">
        <v>45473</v>
      </c>
      <c r="AA88" s="179">
        <v>0.37009999999999998</v>
      </c>
      <c r="AB88" s="179"/>
      <c r="AC88" s="179"/>
      <c r="AG88" s="137"/>
    </row>
    <row r="89" spans="1:33" outlineLevel="1" x14ac:dyDescent="0.25">
      <c r="C89" s="18" t="s">
        <v>141</v>
      </c>
      <c r="D89" s="18" t="s">
        <v>213</v>
      </c>
      <c r="E89" s="18" t="s">
        <v>178</v>
      </c>
      <c r="F89" s="18" t="s">
        <v>179</v>
      </c>
      <c r="G89" s="18" t="s">
        <v>133</v>
      </c>
      <c r="H89" s="175" t="s">
        <v>51</v>
      </c>
      <c r="I89" s="175" t="s">
        <v>51</v>
      </c>
      <c r="J89" s="175" t="s">
        <v>51</v>
      </c>
      <c r="K89" s="175" t="s">
        <v>51</v>
      </c>
      <c r="L89" s="175" t="s">
        <v>51</v>
      </c>
      <c r="M89" s="175" t="s">
        <v>51</v>
      </c>
      <c r="N89" s="178" t="s">
        <v>51</v>
      </c>
      <c r="O89" s="178" t="s">
        <v>51</v>
      </c>
      <c r="P89" s="178">
        <v>44377</v>
      </c>
      <c r="Q89" s="182">
        <v>0.12325</v>
      </c>
      <c r="R89" s="178">
        <v>44377</v>
      </c>
      <c r="S89" s="182">
        <v>0.12325</v>
      </c>
      <c r="T89" s="178">
        <v>44742</v>
      </c>
      <c r="U89" s="179">
        <v>0.21326610021196996</v>
      </c>
      <c r="V89" s="178">
        <v>45107</v>
      </c>
      <c r="W89" s="179">
        <v>0.22286715000000001</v>
      </c>
      <c r="X89" s="178">
        <v>45107</v>
      </c>
      <c r="Y89" s="179">
        <v>9.9959999999999993E-2</v>
      </c>
      <c r="Z89" s="178">
        <v>45473</v>
      </c>
      <c r="AA89" s="179">
        <v>9.9959999999999993E-2</v>
      </c>
      <c r="AB89" s="179"/>
      <c r="AC89" s="179"/>
      <c r="AG89" s="137"/>
    </row>
    <row r="90" spans="1:33" outlineLevel="1" x14ac:dyDescent="0.25">
      <c r="C90" s="18" t="s">
        <v>141</v>
      </c>
      <c r="D90" s="18" t="s">
        <v>214</v>
      </c>
      <c r="E90" s="18" t="s">
        <v>178</v>
      </c>
      <c r="F90" s="18" t="s">
        <v>179</v>
      </c>
      <c r="G90" s="18" t="s">
        <v>133</v>
      </c>
      <c r="H90" s="175" t="s">
        <v>51</v>
      </c>
      <c r="I90" s="175" t="s">
        <v>51</v>
      </c>
      <c r="J90" s="175" t="s">
        <v>51</v>
      </c>
      <c r="K90" s="175" t="s">
        <v>51</v>
      </c>
      <c r="L90" s="175" t="s">
        <v>51</v>
      </c>
      <c r="M90" s="175" t="s">
        <v>51</v>
      </c>
      <c r="N90" s="178" t="s">
        <v>51</v>
      </c>
      <c r="O90" s="178" t="s">
        <v>51</v>
      </c>
      <c r="P90" s="178">
        <v>44377</v>
      </c>
      <c r="Q90" s="182">
        <v>2.623E-2</v>
      </c>
      <c r="R90" s="178">
        <v>44377</v>
      </c>
      <c r="S90" s="182">
        <v>2.623E-2</v>
      </c>
      <c r="T90" s="178">
        <v>44742</v>
      </c>
      <c r="U90" s="179">
        <v>2.0535522828283654E-2</v>
      </c>
      <c r="V90" s="178">
        <v>45107</v>
      </c>
      <c r="W90" s="179">
        <v>2.4891900000000002E-2</v>
      </c>
      <c r="X90" s="178">
        <v>45107</v>
      </c>
      <c r="Y90" s="179">
        <v>1.184E-2</v>
      </c>
      <c r="Z90" s="178">
        <v>45473</v>
      </c>
      <c r="AA90" s="179">
        <v>1.184E-2</v>
      </c>
      <c r="AB90" s="179"/>
      <c r="AC90" s="179"/>
      <c r="AG90" s="137"/>
    </row>
    <row r="91" spans="1:33" outlineLevel="1" x14ac:dyDescent="0.25">
      <c r="A91" t="s">
        <v>215</v>
      </c>
      <c r="C91" s="18" t="s">
        <v>141</v>
      </c>
      <c r="D91" s="42" t="s">
        <v>216</v>
      </c>
      <c r="E91" s="18" t="s">
        <v>178</v>
      </c>
      <c r="F91" s="18" t="s">
        <v>179</v>
      </c>
      <c r="G91" s="18" t="s">
        <v>133</v>
      </c>
      <c r="H91" s="175"/>
      <c r="I91" s="175"/>
      <c r="J91" s="175"/>
      <c r="K91" s="175"/>
      <c r="L91" s="175"/>
      <c r="M91" s="175"/>
      <c r="N91" s="178"/>
      <c r="O91" s="178"/>
      <c r="P91" s="178"/>
      <c r="Q91" s="182"/>
      <c r="R91" s="178"/>
      <c r="S91" s="182"/>
      <c r="T91" s="178"/>
      <c r="U91" s="179"/>
      <c r="V91" s="178">
        <v>45107</v>
      </c>
      <c r="W91" s="179">
        <v>0.702952628440218</v>
      </c>
      <c r="X91" s="178">
        <v>45107</v>
      </c>
      <c r="Y91" s="179">
        <v>0.67748437528737049</v>
      </c>
      <c r="Z91" s="178">
        <v>45473</v>
      </c>
      <c r="AA91" s="179">
        <v>3.2720000000000002E-3</v>
      </c>
      <c r="AB91" s="179"/>
      <c r="AC91" s="179"/>
      <c r="AG91" s="137"/>
    </row>
    <row r="92" spans="1:33" outlineLevel="1" x14ac:dyDescent="0.25">
      <c r="A92" t="s">
        <v>215</v>
      </c>
      <c r="C92" s="18" t="s">
        <v>141</v>
      </c>
      <c r="D92" s="42" t="s">
        <v>217</v>
      </c>
      <c r="E92" s="18" t="s">
        <v>178</v>
      </c>
      <c r="F92" s="18" t="s">
        <v>179</v>
      </c>
      <c r="G92" s="18" t="s">
        <v>133</v>
      </c>
      <c r="H92" s="175"/>
      <c r="I92" s="175"/>
      <c r="J92" s="175"/>
      <c r="K92" s="175"/>
      <c r="L92" s="175"/>
      <c r="M92" s="175"/>
      <c r="N92" s="178"/>
      <c r="O92" s="178"/>
      <c r="P92" s="178"/>
      <c r="Q92" s="182"/>
      <c r="R92" s="178"/>
      <c r="S92" s="182"/>
      <c r="T92" s="178"/>
      <c r="U92" s="179"/>
      <c r="V92" s="178">
        <v>45107</v>
      </c>
      <c r="W92" s="179">
        <v>9.3802817381832604E-2</v>
      </c>
      <c r="X92" s="178">
        <v>45107</v>
      </c>
      <c r="Y92" s="179">
        <v>0.12361749867236572</v>
      </c>
      <c r="Z92" s="178">
        <v>45473</v>
      </c>
      <c r="AA92" s="179">
        <v>0</v>
      </c>
      <c r="AB92" s="179"/>
      <c r="AC92" s="179"/>
      <c r="AG92" s="137"/>
    </row>
    <row r="93" spans="1:33" outlineLevel="1" x14ac:dyDescent="0.25">
      <c r="A93" t="s">
        <v>215</v>
      </c>
      <c r="C93" s="18" t="s">
        <v>141</v>
      </c>
      <c r="D93" s="42" t="s">
        <v>218</v>
      </c>
      <c r="E93" s="18" t="s">
        <v>178</v>
      </c>
      <c r="F93" s="18" t="s">
        <v>179</v>
      </c>
      <c r="G93" s="18" t="s">
        <v>133</v>
      </c>
      <c r="H93" s="175"/>
      <c r="I93" s="175"/>
      <c r="J93" s="175"/>
      <c r="K93" s="175"/>
      <c r="L93" s="175"/>
      <c r="M93" s="175"/>
      <c r="N93" s="178"/>
      <c r="O93" s="178"/>
      <c r="P93" s="178"/>
      <c r="Q93" s="182"/>
      <c r="R93" s="178"/>
      <c r="S93" s="182"/>
      <c r="T93" s="178"/>
      <c r="U93" s="179"/>
      <c r="V93" s="178">
        <v>45107</v>
      </c>
      <c r="W93" s="179">
        <v>0</v>
      </c>
      <c r="X93" s="178">
        <v>45107</v>
      </c>
      <c r="Y93" s="179">
        <v>0</v>
      </c>
      <c r="Z93" s="178">
        <v>45473</v>
      </c>
      <c r="AA93" s="179">
        <v>0</v>
      </c>
      <c r="AB93" s="179"/>
      <c r="AC93" s="179"/>
      <c r="AG93" s="137"/>
    </row>
    <row r="94" spans="1:33" outlineLevel="1" x14ac:dyDescent="0.25">
      <c r="C94" s="18" t="s">
        <v>81</v>
      </c>
      <c r="D94" s="18" t="s">
        <v>219</v>
      </c>
      <c r="E94" s="18" t="s">
        <v>178</v>
      </c>
      <c r="F94" s="18" t="s">
        <v>220</v>
      </c>
      <c r="G94" s="18" t="s">
        <v>66</v>
      </c>
      <c r="H94" s="175">
        <v>44196</v>
      </c>
      <c r="I94" s="176">
        <v>10.535</v>
      </c>
      <c r="J94" s="178">
        <v>44377</v>
      </c>
      <c r="K94" s="179">
        <v>11.4503</v>
      </c>
      <c r="L94" s="178">
        <v>44377</v>
      </c>
      <c r="M94" s="179">
        <v>11.4503</v>
      </c>
      <c r="N94" s="178">
        <v>44377</v>
      </c>
      <c r="O94" s="179">
        <v>11.4503</v>
      </c>
      <c r="P94" s="178">
        <v>44377</v>
      </c>
      <c r="Q94" s="179">
        <v>11.4503</v>
      </c>
      <c r="R94" s="178">
        <v>44377</v>
      </c>
      <c r="S94" s="179">
        <v>11.4503</v>
      </c>
      <c r="T94" s="178">
        <v>44377</v>
      </c>
      <c r="U94" s="179">
        <v>12.7212</v>
      </c>
      <c r="V94" s="178">
        <v>44742</v>
      </c>
      <c r="W94" s="179">
        <v>13.601000000000001</v>
      </c>
      <c r="X94" s="178">
        <v>45107</v>
      </c>
      <c r="Y94" s="179">
        <v>13.09807741874299</v>
      </c>
      <c r="Z94" s="178">
        <v>45473</v>
      </c>
      <c r="AA94" s="179">
        <v>13.469799999999999</v>
      </c>
      <c r="AB94" s="179"/>
      <c r="AC94" s="179"/>
      <c r="AE94" s="137"/>
      <c r="AG94" s="137"/>
    </row>
    <row r="95" spans="1:33" outlineLevel="1" x14ac:dyDescent="0.25">
      <c r="C95" s="18" t="s">
        <v>81</v>
      </c>
      <c r="D95" s="18" t="s">
        <v>221</v>
      </c>
      <c r="E95" s="18" t="s">
        <v>178</v>
      </c>
      <c r="F95" s="18" t="s">
        <v>220</v>
      </c>
      <c r="G95" s="18" t="s">
        <v>66</v>
      </c>
      <c r="H95" s="175">
        <v>44196</v>
      </c>
      <c r="I95" s="176">
        <v>12.073700000000001</v>
      </c>
      <c r="J95" s="178">
        <v>44377</v>
      </c>
      <c r="K95" s="179">
        <v>12.838200000000001</v>
      </c>
      <c r="L95" s="178">
        <v>44377</v>
      </c>
      <c r="M95" s="179">
        <v>12.838200000000001</v>
      </c>
      <c r="N95" s="178">
        <v>44377</v>
      </c>
      <c r="O95" s="179">
        <v>12.838200000000001</v>
      </c>
      <c r="P95" s="178">
        <v>44377</v>
      </c>
      <c r="Q95" s="179">
        <v>12.838200000000001</v>
      </c>
      <c r="R95" s="178">
        <v>44377</v>
      </c>
      <c r="S95" s="179">
        <v>12.838200000000001</v>
      </c>
      <c r="T95" s="178">
        <v>44377</v>
      </c>
      <c r="U95" s="179">
        <v>14.2392</v>
      </c>
      <c r="V95" s="178">
        <v>44742</v>
      </c>
      <c r="W95" s="179">
        <v>14.676500000000001</v>
      </c>
      <c r="X95" s="178">
        <v>45107</v>
      </c>
      <c r="Y95" s="179">
        <v>13.989069468735993</v>
      </c>
      <c r="Z95" s="178">
        <v>45473</v>
      </c>
      <c r="AA95" s="179">
        <v>13.7372</v>
      </c>
      <c r="AB95" s="179"/>
      <c r="AC95" s="179"/>
      <c r="AE95" s="137"/>
      <c r="AG95" s="137"/>
    </row>
    <row r="96" spans="1:33" outlineLevel="1" x14ac:dyDescent="0.25">
      <c r="C96" s="18" t="s">
        <v>81</v>
      </c>
      <c r="D96" s="18" t="s">
        <v>222</v>
      </c>
      <c r="E96" s="18" t="s">
        <v>178</v>
      </c>
      <c r="F96" s="18" t="s">
        <v>220</v>
      </c>
      <c r="G96" s="18" t="s">
        <v>66</v>
      </c>
      <c r="H96" s="175">
        <v>44196</v>
      </c>
      <c r="I96" s="176">
        <v>6.47</v>
      </c>
      <c r="J96" s="178">
        <v>44377</v>
      </c>
      <c r="K96" s="179">
        <v>8.0500000000000007</v>
      </c>
      <c r="L96" s="178">
        <v>44377</v>
      </c>
      <c r="M96" s="179">
        <v>8.0500000000000007</v>
      </c>
      <c r="N96" s="178">
        <v>44377</v>
      </c>
      <c r="O96" s="179">
        <v>8.0500000000000007</v>
      </c>
      <c r="P96" s="178">
        <v>44377</v>
      </c>
      <c r="Q96" s="179">
        <v>8.0500000000000007</v>
      </c>
      <c r="R96" s="178">
        <v>44377</v>
      </c>
      <c r="S96" s="179">
        <v>8.0500000000000007</v>
      </c>
      <c r="T96" s="178">
        <v>44377</v>
      </c>
      <c r="U96" s="179">
        <v>7.4</v>
      </c>
      <c r="V96" s="178">
        <v>44742</v>
      </c>
      <c r="W96" s="179">
        <v>8.4431999999999992</v>
      </c>
      <c r="X96" s="178">
        <v>45107</v>
      </c>
      <c r="Y96" s="179">
        <v>7.37</v>
      </c>
      <c r="Z96" s="178">
        <v>45473</v>
      </c>
      <c r="AA96" s="179">
        <v>8.0299999999999994</v>
      </c>
      <c r="AB96" s="179"/>
      <c r="AC96" s="179"/>
      <c r="AE96" s="137"/>
      <c r="AG96" s="137"/>
    </row>
    <row r="97" spans="3:33" outlineLevel="1" x14ac:dyDescent="0.25">
      <c r="C97" s="18" t="s">
        <v>81</v>
      </c>
      <c r="D97" s="18" t="s">
        <v>223</v>
      </c>
      <c r="E97" s="18" t="s">
        <v>178</v>
      </c>
      <c r="F97" s="18" t="s">
        <v>220</v>
      </c>
      <c r="G97" s="18" t="s">
        <v>66</v>
      </c>
      <c r="H97" s="175">
        <v>44196</v>
      </c>
      <c r="I97" s="176">
        <v>7.4139999999999997</v>
      </c>
      <c r="J97" s="178">
        <v>44377</v>
      </c>
      <c r="K97" s="179">
        <v>8.67</v>
      </c>
      <c r="L97" s="178">
        <v>44377</v>
      </c>
      <c r="M97" s="179">
        <v>8.67</v>
      </c>
      <c r="N97" s="178">
        <v>44377</v>
      </c>
      <c r="O97" s="179">
        <v>8.67</v>
      </c>
      <c r="P97" s="178">
        <v>44377</v>
      </c>
      <c r="Q97" s="179">
        <v>8.67</v>
      </c>
      <c r="R97" s="178">
        <v>44377</v>
      </c>
      <c r="S97" s="179">
        <v>8.67</v>
      </c>
      <c r="T97" s="178">
        <v>44377</v>
      </c>
      <c r="U97" s="179">
        <v>8.2509999999999994</v>
      </c>
      <c r="V97" s="178">
        <v>44742</v>
      </c>
      <c r="W97" s="179">
        <v>8.8778000000000006</v>
      </c>
      <c r="X97" s="178">
        <v>45107</v>
      </c>
      <c r="Y97" s="179">
        <v>8.9770000000000003</v>
      </c>
      <c r="Z97" s="178">
        <v>45473</v>
      </c>
      <c r="AA97" s="179">
        <v>10.189499020000001</v>
      </c>
      <c r="AB97" s="179"/>
      <c r="AC97" s="179"/>
      <c r="AE97" s="137"/>
      <c r="AG97" s="137"/>
    </row>
    <row r="98" spans="3:33" outlineLevel="1" x14ac:dyDescent="0.25">
      <c r="C98" s="18" t="s">
        <v>81</v>
      </c>
      <c r="D98" s="18" t="s">
        <v>224</v>
      </c>
      <c r="E98" s="18" t="s">
        <v>178</v>
      </c>
      <c r="F98" s="18" t="s">
        <v>220</v>
      </c>
      <c r="G98" s="18" t="s">
        <v>66</v>
      </c>
      <c r="H98" s="175">
        <v>44196</v>
      </c>
      <c r="I98" s="176">
        <v>6.74</v>
      </c>
      <c r="J98" s="178">
        <v>44377</v>
      </c>
      <c r="K98" s="179">
        <v>8.15</v>
      </c>
      <c r="L98" s="178">
        <v>44377</v>
      </c>
      <c r="M98" s="179">
        <v>8.15</v>
      </c>
      <c r="N98" s="178">
        <v>44377</v>
      </c>
      <c r="O98" s="179">
        <v>8.15</v>
      </c>
      <c r="P98" s="178">
        <v>44377</v>
      </c>
      <c r="Q98" s="179">
        <v>8.15</v>
      </c>
      <c r="R98" s="178">
        <v>44377</v>
      </c>
      <c r="S98" s="179">
        <v>8.15</v>
      </c>
      <c r="T98" s="178">
        <v>44377</v>
      </c>
      <c r="U98" s="179">
        <v>8.15</v>
      </c>
      <c r="V98" s="178">
        <v>44742</v>
      </c>
      <c r="W98" s="179">
        <v>9.3705999999999996</v>
      </c>
      <c r="X98" s="178">
        <v>45107</v>
      </c>
      <c r="Y98" s="179">
        <v>8.77</v>
      </c>
      <c r="Z98" s="178">
        <v>45473</v>
      </c>
      <c r="AA98" s="179">
        <v>9.4700000000000006</v>
      </c>
      <c r="AB98" s="179"/>
      <c r="AC98" s="179"/>
      <c r="AE98" s="137"/>
      <c r="AG98" s="137"/>
    </row>
    <row r="99" spans="3:33" outlineLevel="1" x14ac:dyDescent="0.25">
      <c r="C99" s="18" t="s">
        <v>81</v>
      </c>
      <c r="D99" s="18" t="s">
        <v>225</v>
      </c>
      <c r="E99" s="18" t="s">
        <v>178</v>
      </c>
      <c r="F99" s="18" t="s">
        <v>220</v>
      </c>
      <c r="G99" s="18" t="s">
        <v>66</v>
      </c>
      <c r="H99" s="175">
        <v>44196</v>
      </c>
      <c r="I99" s="176">
        <v>7.67</v>
      </c>
      <c r="J99" s="178">
        <v>44377</v>
      </c>
      <c r="K99" s="179">
        <v>7.99</v>
      </c>
      <c r="L99" s="178">
        <v>44377</v>
      </c>
      <c r="M99" s="179">
        <v>7.99</v>
      </c>
      <c r="N99" s="178">
        <v>44377</v>
      </c>
      <c r="O99" s="179">
        <v>7.99</v>
      </c>
      <c r="P99" s="178">
        <v>44377</v>
      </c>
      <c r="Q99" s="179">
        <v>7.99</v>
      </c>
      <c r="R99" s="178">
        <v>44377</v>
      </c>
      <c r="S99" s="179">
        <v>7.99</v>
      </c>
      <c r="T99" s="178">
        <v>44377</v>
      </c>
      <c r="U99" s="179">
        <v>8.3000000000000007</v>
      </c>
      <c r="V99" s="178">
        <v>44742</v>
      </c>
      <c r="W99" s="179">
        <v>8.8529999999999998</v>
      </c>
      <c r="X99" s="178">
        <v>45107</v>
      </c>
      <c r="Y99" s="179">
        <v>8.5400000000000009</v>
      </c>
      <c r="Z99" s="178">
        <v>45473</v>
      </c>
      <c r="AA99" s="179">
        <v>8.9700000000000006</v>
      </c>
      <c r="AB99" s="179"/>
      <c r="AC99" s="179"/>
      <c r="AE99" s="137"/>
      <c r="AG99" s="137"/>
    </row>
    <row r="100" spans="3:33" outlineLevel="1" x14ac:dyDescent="0.25">
      <c r="C100" s="18" t="s">
        <v>81</v>
      </c>
      <c r="D100" s="18" t="s">
        <v>226</v>
      </c>
      <c r="E100" s="18" t="s">
        <v>178</v>
      </c>
      <c r="F100" s="18" t="s">
        <v>220</v>
      </c>
      <c r="G100" s="18" t="s">
        <v>67</v>
      </c>
      <c r="H100" s="175">
        <v>44196</v>
      </c>
      <c r="I100" s="176">
        <v>13.9602</v>
      </c>
      <c r="J100" s="178">
        <v>44377</v>
      </c>
      <c r="K100" s="179">
        <v>15.538600000000001</v>
      </c>
      <c r="L100" s="178">
        <v>44377</v>
      </c>
      <c r="M100" s="179">
        <v>15.538600000000001</v>
      </c>
      <c r="N100" s="178">
        <v>44377</v>
      </c>
      <c r="O100" s="179">
        <v>15.538600000000001</v>
      </c>
      <c r="P100" s="178">
        <v>44377</v>
      </c>
      <c r="Q100" s="179">
        <v>15.538600000000001</v>
      </c>
      <c r="R100" s="178">
        <v>44377</v>
      </c>
      <c r="S100" s="179">
        <v>15.538600000000001</v>
      </c>
      <c r="T100" s="178">
        <v>44377</v>
      </c>
      <c r="U100" s="179">
        <v>17.498000000000001</v>
      </c>
      <c r="V100" s="178">
        <v>44742</v>
      </c>
      <c r="W100" s="179">
        <v>19.335999999999999</v>
      </c>
      <c r="X100" s="178">
        <v>45107</v>
      </c>
      <c r="Y100" s="179">
        <v>18.668411930490375</v>
      </c>
      <c r="Z100" s="178">
        <v>45473</v>
      </c>
      <c r="AA100" s="179">
        <v>19.387499999999999</v>
      </c>
      <c r="AB100" s="179"/>
      <c r="AC100" s="179"/>
      <c r="AE100" s="137"/>
      <c r="AG100" s="137"/>
    </row>
    <row r="101" spans="3:33" outlineLevel="1" x14ac:dyDescent="0.25">
      <c r="C101" s="18" t="s">
        <v>81</v>
      </c>
      <c r="D101" s="18" t="s">
        <v>227</v>
      </c>
      <c r="E101" s="18" t="s">
        <v>178</v>
      </c>
      <c r="F101" s="18" t="s">
        <v>220</v>
      </c>
      <c r="G101" s="18" t="s">
        <v>67</v>
      </c>
      <c r="H101" s="175">
        <v>44196</v>
      </c>
      <c r="I101" s="176">
        <v>16.934899999999999</v>
      </c>
      <c r="J101" s="178">
        <v>44377</v>
      </c>
      <c r="K101" s="179">
        <v>18.2667</v>
      </c>
      <c r="L101" s="178">
        <v>44377</v>
      </c>
      <c r="M101" s="179">
        <v>18.2667</v>
      </c>
      <c r="N101" s="178">
        <v>44377</v>
      </c>
      <c r="O101" s="179">
        <v>18.2667</v>
      </c>
      <c r="P101" s="178">
        <v>44377</v>
      </c>
      <c r="Q101" s="179">
        <v>18.2667</v>
      </c>
      <c r="R101" s="178">
        <v>44377</v>
      </c>
      <c r="S101" s="179">
        <v>18.2667</v>
      </c>
      <c r="T101" s="178">
        <v>44377</v>
      </c>
      <c r="U101" s="179">
        <v>20.5366</v>
      </c>
      <c r="V101" s="178">
        <v>44742</v>
      </c>
      <c r="W101" s="179">
        <v>21.572399999999998</v>
      </c>
      <c r="X101" s="178">
        <v>45107</v>
      </c>
      <c r="Y101" s="179">
        <v>20.620858559880922</v>
      </c>
      <c r="Z101" s="178">
        <v>45473</v>
      </c>
      <c r="AA101" s="179">
        <v>20.384699999999999</v>
      </c>
      <c r="AB101" s="179"/>
      <c r="AC101" s="179"/>
      <c r="AE101" s="137"/>
      <c r="AG101" s="137"/>
    </row>
    <row r="102" spans="3:33" outlineLevel="1" x14ac:dyDescent="0.25">
      <c r="C102" s="18" t="s">
        <v>81</v>
      </c>
      <c r="D102" s="18" t="s">
        <v>228</v>
      </c>
      <c r="E102" s="18" t="s">
        <v>178</v>
      </c>
      <c r="F102" s="18" t="s">
        <v>220</v>
      </c>
      <c r="G102" s="18" t="s">
        <v>67</v>
      </c>
      <c r="H102" s="175">
        <v>44196</v>
      </c>
      <c r="I102" s="176">
        <v>7.54</v>
      </c>
      <c r="J102" s="178">
        <v>44377</v>
      </c>
      <c r="K102" s="179">
        <v>8.2100000000000009</v>
      </c>
      <c r="L102" s="178">
        <v>44377</v>
      </c>
      <c r="M102" s="179">
        <v>8.2100000000000009</v>
      </c>
      <c r="N102" s="178">
        <v>44377</v>
      </c>
      <c r="O102" s="179">
        <v>8.2100000000000009</v>
      </c>
      <c r="P102" s="178">
        <v>44377</v>
      </c>
      <c r="Q102" s="179">
        <v>8.2100000000000009</v>
      </c>
      <c r="R102" s="178">
        <v>44377</v>
      </c>
      <c r="S102" s="179">
        <v>8.2100000000000009</v>
      </c>
      <c r="T102" s="178">
        <v>44377</v>
      </c>
      <c r="U102" s="179">
        <v>8.0299999999999994</v>
      </c>
      <c r="V102" s="178">
        <v>44742</v>
      </c>
      <c r="W102" s="179">
        <v>9.1548999999999996</v>
      </c>
      <c r="X102" s="178">
        <v>45107</v>
      </c>
      <c r="Y102" s="179">
        <v>8.15</v>
      </c>
      <c r="Z102" s="178">
        <v>45473</v>
      </c>
      <c r="AA102" s="179">
        <v>8.8800000000000008</v>
      </c>
      <c r="AB102" s="179"/>
      <c r="AC102" s="179"/>
      <c r="AE102" s="137"/>
      <c r="AG102" s="137"/>
    </row>
    <row r="103" spans="3:33" outlineLevel="1" x14ac:dyDescent="0.25">
      <c r="C103" s="18" t="s">
        <v>81</v>
      </c>
      <c r="D103" s="18" t="s">
        <v>229</v>
      </c>
      <c r="E103" s="18" t="s">
        <v>178</v>
      </c>
      <c r="F103" s="18" t="s">
        <v>220</v>
      </c>
      <c r="G103" s="18" t="s">
        <v>67</v>
      </c>
      <c r="H103" s="175">
        <v>44196</v>
      </c>
      <c r="I103" s="176">
        <v>9.3260000000000005</v>
      </c>
      <c r="J103" s="178">
        <v>44377</v>
      </c>
      <c r="K103" s="179">
        <v>10.973000000000001</v>
      </c>
      <c r="L103" s="178">
        <v>44377</v>
      </c>
      <c r="M103" s="179">
        <v>10.973000000000001</v>
      </c>
      <c r="N103" s="178">
        <v>44377</v>
      </c>
      <c r="O103" s="179">
        <v>10.973000000000001</v>
      </c>
      <c r="P103" s="178">
        <v>44377</v>
      </c>
      <c r="Q103" s="179">
        <v>10.973000000000001</v>
      </c>
      <c r="R103" s="178">
        <v>44377</v>
      </c>
      <c r="S103" s="179">
        <v>10.973000000000001</v>
      </c>
      <c r="T103" s="178">
        <v>44377</v>
      </c>
      <c r="U103" s="179">
        <v>10.84</v>
      </c>
      <c r="V103" s="178">
        <v>44742</v>
      </c>
      <c r="W103" s="179">
        <v>11.888500000000001</v>
      </c>
      <c r="X103" s="178">
        <v>45107</v>
      </c>
      <c r="Y103" s="179">
        <v>11.834</v>
      </c>
      <c r="Z103" s="178">
        <v>45473</v>
      </c>
      <c r="AA103" s="179">
        <v>13.40533737</v>
      </c>
      <c r="AB103" s="179"/>
      <c r="AC103" s="179"/>
      <c r="AE103" s="137"/>
      <c r="AG103" s="137"/>
    </row>
    <row r="104" spans="3:33" outlineLevel="1" x14ac:dyDescent="0.25">
      <c r="C104" s="18" t="s">
        <v>81</v>
      </c>
      <c r="D104" s="18" t="s">
        <v>230</v>
      </c>
      <c r="E104" s="18" t="s">
        <v>178</v>
      </c>
      <c r="F104" s="18" t="s">
        <v>220</v>
      </c>
      <c r="G104" s="18" t="s">
        <v>67</v>
      </c>
      <c r="H104" s="175">
        <v>44196</v>
      </c>
      <c r="I104" s="176">
        <v>8.44</v>
      </c>
      <c r="J104" s="178">
        <v>44377</v>
      </c>
      <c r="K104" s="179">
        <v>9.2899999999999991</v>
      </c>
      <c r="L104" s="178">
        <v>44377</v>
      </c>
      <c r="M104" s="179">
        <v>9.2899999999999991</v>
      </c>
      <c r="N104" s="178">
        <v>44377</v>
      </c>
      <c r="O104" s="179">
        <v>9.2899999999999991</v>
      </c>
      <c r="P104" s="178">
        <v>44377</v>
      </c>
      <c r="Q104" s="179">
        <v>9.2899999999999991</v>
      </c>
      <c r="R104" s="178">
        <v>44377</v>
      </c>
      <c r="S104" s="179">
        <v>9.2899999999999991</v>
      </c>
      <c r="T104" s="178">
        <v>44377</v>
      </c>
      <c r="U104" s="179">
        <v>9.2899999999999991</v>
      </c>
      <c r="V104" s="178">
        <v>44742</v>
      </c>
      <c r="W104" s="179">
        <v>10.6861</v>
      </c>
      <c r="X104" s="178">
        <v>45107</v>
      </c>
      <c r="Y104" s="179">
        <v>9.81</v>
      </c>
      <c r="Z104" s="178">
        <v>45473</v>
      </c>
      <c r="AA104" s="179">
        <v>10.59</v>
      </c>
      <c r="AB104" s="179"/>
      <c r="AC104" s="179"/>
      <c r="AE104" s="137"/>
      <c r="AG104" s="137"/>
    </row>
    <row r="105" spans="3:33" outlineLevel="1" x14ac:dyDescent="0.25">
      <c r="C105" s="18" t="s">
        <v>81</v>
      </c>
      <c r="D105" s="18" t="s">
        <v>231</v>
      </c>
      <c r="E105" s="18" t="s">
        <v>178</v>
      </c>
      <c r="F105" s="18" t="s">
        <v>220</v>
      </c>
      <c r="G105" s="18" t="s">
        <v>67</v>
      </c>
      <c r="H105" s="175">
        <v>44196</v>
      </c>
      <c r="I105" s="176">
        <v>9.27</v>
      </c>
      <c r="J105" s="178">
        <v>44377</v>
      </c>
      <c r="K105" s="179">
        <v>8.7899999999999991</v>
      </c>
      <c r="L105" s="178">
        <v>44377</v>
      </c>
      <c r="M105" s="179">
        <v>8.7899999999999991</v>
      </c>
      <c r="N105" s="178">
        <v>44377</v>
      </c>
      <c r="O105" s="179">
        <v>8.7899999999999991</v>
      </c>
      <c r="P105" s="178">
        <v>44377</v>
      </c>
      <c r="Q105" s="179">
        <v>8.7899999999999991</v>
      </c>
      <c r="R105" s="178">
        <v>44377</v>
      </c>
      <c r="S105" s="179">
        <v>8.7899999999999991</v>
      </c>
      <c r="T105" s="178">
        <v>44377</v>
      </c>
      <c r="U105" s="179">
        <v>9.14</v>
      </c>
      <c r="V105" s="178">
        <v>44742</v>
      </c>
      <c r="W105" s="179">
        <v>9.7479999999999993</v>
      </c>
      <c r="X105" s="178">
        <v>45107</v>
      </c>
      <c r="Y105" s="179">
        <v>9.39</v>
      </c>
      <c r="Z105" s="178">
        <v>45473</v>
      </c>
      <c r="AA105" s="179">
        <v>9.86</v>
      </c>
      <c r="AB105" s="179"/>
      <c r="AC105" s="179"/>
      <c r="AE105" s="137"/>
      <c r="AG105" s="137"/>
    </row>
    <row r="106" spans="3:33" outlineLevel="1" x14ac:dyDescent="0.25">
      <c r="C106" s="18" t="s">
        <v>81</v>
      </c>
      <c r="D106" s="18" t="s">
        <v>232</v>
      </c>
      <c r="E106" s="18" t="s">
        <v>178</v>
      </c>
      <c r="F106" s="18" t="s">
        <v>220</v>
      </c>
      <c r="G106" s="18" t="s">
        <v>66</v>
      </c>
      <c r="H106" s="175" t="s">
        <v>51</v>
      </c>
      <c r="I106" s="176" t="s">
        <v>51</v>
      </c>
      <c r="J106" s="178">
        <v>44377</v>
      </c>
      <c r="K106" s="179">
        <v>20.853200000000001</v>
      </c>
      <c r="L106" s="178">
        <v>44377</v>
      </c>
      <c r="M106" s="179">
        <v>20.853200000000001</v>
      </c>
      <c r="N106" s="178">
        <v>44377</v>
      </c>
      <c r="O106" s="179">
        <v>20.853200000000001</v>
      </c>
      <c r="P106" s="178">
        <v>44377</v>
      </c>
      <c r="Q106" s="179">
        <v>20.853200000000001</v>
      </c>
      <c r="R106" s="178">
        <v>44377</v>
      </c>
      <c r="S106" s="179">
        <v>20.853200000000001</v>
      </c>
      <c r="T106" s="178">
        <v>44377</v>
      </c>
      <c r="U106" s="179">
        <v>22.9085</v>
      </c>
      <c r="V106" s="178">
        <v>44742</v>
      </c>
      <c r="W106" s="179">
        <v>25.066600000000001</v>
      </c>
      <c r="X106" s="178">
        <v>45107</v>
      </c>
      <c r="Y106" s="179">
        <v>22.405517942110716</v>
      </c>
      <c r="Z106" s="178">
        <v>45473</v>
      </c>
      <c r="AA106" s="179">
        <v>23.836541229470225</v>
      </c>
      <c r="AB106" s="179"/>
      <c r="AC106" s="179"/>
      <c r="AE106" s="137"/>
      <c r="AG106" s="137"/>
    </row>
    <row r="107" spans="3:33" outlineLevel="1" x14ac:dyDescent="0.25">
      <c r="C107" s="18" t="s">
        <v>81</v>
      </c>
      <c r="D107" s="18" t="s">
        <v>233</v>
      </c>
      <c r="E107" s="18" t="s">
        <v>178</v>
      </c>
      <c r="F107" s="18" t="s">
        <v>220</v>
      </c>
      <c r="G107" s="18" t="s">
        <v>66</v>
      </c>
      <c r="H107" s="175" t="s">
        <v>51</v>
      </c>
      <c r="I107" s="176" t="s">
        <v>51</v>
      </c>
      <c r="J107" s="178">
        <v>44377</v>
      </c>
      <c r="K107" s="179">
        <v>15.94</v>
      </c>
      <c r="L107" s="178">
        <v>44377</v>
      </c>
      <c r="M107" s="179">
        <v>15.94</v>
      </c>
      <c r="N107" s="178">
        <v>44377</v>
      </c>
      <c r="O107" s="179">
        <v>15.94</v>
      </c>
      <c r="P107" s="178">
        <v>44377</v>
      </c>
      <c r="Q107" s="179">
        <v>15.94</v>
      </c>
      <c r="R107" s="178">
        <v>44377</v>
      </c>
      <c r="S107" s="179">
        <v>15.94</v>
      </c>
      <c r="T107" s="178">
        <v>44377</v>
      </c>
      <c r="U107" s="179">
        <v>14.7</v>
      </c>
      <c r="V107" s="178">
        <v>44742</v>
      </c>
      <c r="W107" s="179">
        <v>16.767800000000001</v>
      </c>
      <c r="X107" s="178">
        <v>45107</v>
      </c>
      <c r="Y107" s="179">
        <v>14.67</v>
      </c>
      <c r="Z107" s="178">
        <v>45473</v>
      </c>
      <c r="AA107" s="179">
        <v>15.99</v>
      </c>
      <c r="AB107" s="179"/>
      <c r="AC107" s="179"/>
      <c r="AE107" s="137"/>
      <c r="AG107" s="137"/>
    </row>
    <row r="108" spans="3:33" outlineLevel="1" x14ac:dyDescent="0.25">
      <c r="C108" s="18" t="s">
        <v>81</v>
      </c>
      <c r="D108" s="18" t="s">
        <v>234</v>
      </c>
      <c r="E108" s="18" t="s">
        <v>178</v>
      </c>
      <c r="F108" s="18" t="s">
        <v>220</v>
      </c>
      <c r="G108" s="18" t="s">
        <v>66</v>
      </c>
      <c r="H108" s="175" t="s">
        <v>51</v>
      </c>
      <c r="I108" s="176" t="s">
        <v>51</v>
      </c>
      <c r="J108" s="178">
        <v>44377</v>
      </c>
      <c r="K108" s="179">
        <v>13.492000000000001</v>
      </c>
      <c r="L108" s="178">
        <v>44377</v>
      </c>
      <c r="M108" s="179">
        <v>13.492000000000001</v>
      </c>
      <c r="N108" s="178">
        <v>44377</v>
      </c>
      <c r="O108" s="179">
        <v>13.492000000000001</v>
      </c>
      <c r="P108" s="178">
        <v>44377</v>
      </c>
      <c r="Q108" s="179">
        <v>13.492000000000001</v>
      </c>
      <c r="R108" s="178">
        <v>44377</v>
      </c>
      <c r="S108" s="179">
        <v>13.492000000000001</v>
      </c>
      <c r="T108" s="178">
        <v>44377</v>
      </c>
      <c r="U108" s="179">
        <v>13.781000000000001</v>
      </c>
      <c r="V108" s="178">
        <v>44742</v>
      </c>
      <c r="W108" s="179">
        <v>14.6457</v>
      </c>
      <c r="X108" s="178">
        <v>45107</v>
      </c>
      <c r="Y108" s="179">
        <v>14.771999999999998</v>
      </c>
      <c r="Z108" s="178">
        <v>45473</v>
      </c>
      <c r="AA108" s="179">
        <v>16.85285682</v>
      </c>
      <c r="AB108" s="179"/>
      <c r="AC108" s="179"/>
      <c r="AE108" s="137"/>
      <c r="AG108" s="137"/>
    </row>
    <row r="109" spans="3:33" outlineLevel="1" x14ac:dyDescent="0.25">
      <c r="C109" s="18" t="s">
        <v>81</v>
      </c>
      <c r="D109" s="18" t="s">
        <v>235</v>
      </c>
      <c r="E109" s="18" t="s">
        <v>178</v>
      </c>
      <c r="F109" s="18" t="s">
        <v>220</v>
      </c>
      <c r="G109" s="18" t="s">
        <v>66</v>
      </c>
      <c r="H109" s="175" t="s">
        <v>51</v>
      </c>
      <c r="I109" s="176" t="s">
        <v>51</v>
      </c>
      <c r="J109" s="178">
        <v>44377</v>
      </c>
      <c r="K109" s="179">
        <v>15.87</v>
      </c>
      <c r="L109" s="178">
        <v>44377</v>
      </c>
      <c r="M109" s="179">
        <v>15.87</v>
      </c>
      <c r="N109" s="178">
        <v>44377</v>
      </c>
      <c r="O109" s="179">
        <v>15.87</v>
      </c>
      <c r="P109" s="178">
        <v>44377</v>
      </c>
      <c r="Q109" s="179">
        <v>15.87</v>
      </c>
      <c r="R109" s="178">
        <v>44377</v>
      </c>
      <c r="S109" s="179">
        <v>15.87</v>
      </c>
      <c r="T109" s="178">
        <v>44377</v>
      </c>
      <c r="U109" s="179">
        <v>16.170000000000002</v>
      </c>
      <c r="V109" s="178">
        <v>44742</v>
      </c>
      <c r="W109" s="179">
        <v>18.590199999999999</v>
      </c>
      <c r="X109" s="178">
        <v>45107</v>
      </c>
      <c r="Y109" s="179">
        <v>17.14</v>
      </c>
      <c r="Z109" s="178">
        <v>45473</v>
      </c>
      <c r="AA109" s="179">
        <v>18.510000000000002</v>
      </c>
      <c r="AB109" s="179"/>
      <c r="AC109" s="179"/>
      <c r="AE109" s="137"/>
      <c r="AG109" s="137"/>
    </row>
    <row r="110" spans="3:33" outlineLevel="1" x14ac:dyDescent="0.25">
      <c r="C110" s="18" t="s">
        <v>81</v>
      </c>
      <c r="D110" s="18" t="s">
        <v>236</v>
      </c>
      <c r="E110" s="18" t="s">
        <v>178</v>
      </c>
      <c r="F110" s="18" t="s">
        <v>220</v>
      </c>
      <c r="G110" s="18" t="s">
        <v>66</v>
      </c>
      <c r="H110" s="175" t="s">
        <v>51</v>
      </c>
      <c r="I110" s="176" t="s">
        <v>51</v>
      </c>
      <c r="J110" s="178">
        <v>44377</v>
      </c>
      <c r="K110" s="179">
        <v>15.79</v>
      </c>
      <c r="L110" s="178">
        <v>44377</v>
      </c>
      <c r="M110" s="179">
        <v>15.79</v>
      </c>
      <c r="N110" s="178">
        <v>44377</v>
      </c>
      <c r="O110" s="179">
        <v>15.79</v>
      </c>
      <c r="P110" s="178">
        <v>44377</v>
      </c>
      <c r="Q110" s="179">
        <v>15.79</v>
      </c>
      <c r="R110" s="178">
        <v>44377</v>
      </c>
      <c r="S110" s="179">
        <v>15.79</v>
      </c>
      <c r="T110" s="178">
        <v>44377</v>
      </c>
      <c r="U110" s="179">
        <v>16.22</v>
      </c>
      <c r="V110" s="178">
        <v>44742</v>
      </c>
      <c r="W110" s="179">
        <v>17.317799999999998</v>
      </c>
      <c r="X110" s="178">
        <v>45107</v>
      </c>
      <c r="Y110" s="179">
        <v>16.68</v>
      </c>
      <c r="Z110" s="178">
        <v>45473</v>
      </c>
      <c r="AA110" s="179">
        <v>17.510000000000002</v>
      </c>
      <c r="AB110" s="179"/>
      <c r="AC110" s="179"/>
      <c r="AE110" s="137"/>
      <c r="AG110" s="137"/>
    </row>
    <row r="111" spans="3:33" outlineLevel="1" x14ac:dyDescent="0.25">
      <c r="C111" s="18" t="s">
        <v>81</v>
      </c>
      <c r="D111" s="42" t="s">
        <v>237</v>
      </c>
      <c r="E111" s="18" t="s">
        <v>178</v>
      </c>
      <c r="F111" s="18" t="s">
        <v>220</v>
      </c>
      <c r="G111" s="18" t="s">
        <v>66</v>
      </c>
      <c r="H111" s="175" t="s">
        <v>51</v>
      </c>
      <c r="I111" s="176" t="s">
        <v>51</v>
      </c>
      <c r="J111" s="178">
        <v>44377</v>
      </c>
      <c r="K111" s="179">
        <v>4.3418999999999999</v>
      </c>
      <c r="L111" s="178">
        <v>44377</v>
      </c>
      <c r="M111" s="179">
        <v>4.3418999999999999</v>
      </c>
      <c r="N111" s="178">
        <v>44377</v>
      </c>
      <c r="O111" s="179">
        <v>4.3418999999999999</v>
      </c>
      <c r="P111" s="178">
        <v>44377</v>
      </c>
      <c r="Q111" s="179">
        <v>4.3418999999999999</v>
      </c>
      <c r="R111" s="178">
        <v>44377</v>
      </c>
      <c r="S111" s="179">
        <v>4.3418999999999999</v>
      </c>
      <c r="T111" s="178">
        <v>44377</v>
      </c>
      <c r="U111" s="179">
        <v>4.7720000000000002</v>
      </c>
      <c r="V111" s="178">
        <v>44742</v>
      </c>
      <c r="W111" s="179">
        <v>5.2127999999999997</v>
      </c>
      <c r="X111" s="178">
        <v>45107</v>
      </c>
      <c r="Y111" s="179">
        <v>4.6393863430805986</v>
      </c>
      <c r="Z111" s="178">
        <v>45473</v>
      </c>
      <c r="AA111" s="179">
        <v>4.7878518853913743</v>
      </c>
      <c r="AB111" s="179"/>
      <c r="AC111" s="179"/>
      <c r="AE111" s="137"/>
      <c r="AG111" s="137"/>
    </row>
    <row r="112" spans="3:33" outlineLevel="1" x14ac:dyDescent="0.25">
      <c r="C112" s="18" t="s">
        <v>81</v>
      </c>
      <c r="D112" s="18" t="s">
        <v>238</v>
      </c>
      <c r="E112" s="18" t="s">
        <v>178</v>
      </c>
      <c r="F112" s="18" t="s">
        <v>220</v>
      </c>
      <c r="G112" s="18" t="s">
        <v>66</v>
      </c>
      <c r="H112" s="175" t="s">
        <v>51</v>
      </c>
      <c r="I112" s="176" t="s">
        <v>51</v>
      </c>
      <c r="J112" s="178">
        <v>44377</v>
      </c>
      <c r="K112" s="179">
        <v>3.98</v>
      </c>
      <c r="L112" s="178">
        <v>44377</v>
      </c>
      <c r="M112" s="179">
        <v>3.98</v>
      </c>
      <c r="N112" s="178">
        <v>44377</v>
      </c>
      <c r="O112" s="179">
        <v>3.98</v>
      </c>
      <c r="P112" s="178">
        <v>44377</v>
      </c>
      <c r="Q112" s="179">
        <v>3.98</v>
      </c>
      <c r="R112" s="178">
        <v>44377</v>
      </c>
      <c r="S112" s="179">
        <v>3.98</v>
      </c>
      <c r="T112" s="178">
        <v>44377</v>
      </c>
      <c r="U112" s="179">
        <v>3.67</v>
      </c>
      <c r="V112" s="178">
        <v>44742</v>
      </c>
      <c r="W112" s="179">
        <v>4.1839000000000004</v>
      </c>
      <c r="X112" s="178">
        <v>45107</v>
      </c>
      <c r="Y112" s="179">
        <v>3.67</v>
      </c>
      <c r="Z112" s="178">
        <v>45473</v>
      </c>
      <c r="AA112" s="179">
        <v>4</v>
      </c>
      <c r="AB112" s="179"/>
      <c r="AC112" s="179"/>
      <c r="AE112" s="137"/>
      <c r="AG112" s="137"/>
    </row>
    <row r="113" spans="3:33" outlineLevel="1" x14ac:dyDescent="0.25">
      <c r="C113" s="18" t="s">
        <v>81</v>
      </c>
      <c r="D113" s="18" t="s">
        <v>239</v>
      </c>
      <c r="E113" s="18" t="s">
        <v>178</v>
      </c>
      <c r="F113" s="18" t="s">
        <v>220</v>
      </c>
      <c r="G113" s="18" t="s">
        <v>66</v>
      </c>
      <c r="H113" s="175" t="s">
        <v>51</v>
      </c>
      <c r="I113" s="176" t="s">
        <v>51</v>
      </c>
      <c r="J113" s="178">
        <v>44377</v>
      </c>
      <c r="K113" s="179">
        <v>3.89</v>
      </c>
      <c r="L113" s="178">
        <v>44377</v>
      </c>
      <c r="M113" s="179">
        <v>3.89</v>
      </c>
      <c r="N113" s="178">
        <v>44377</v>
      </c>
      <c r="O113" s="179">
        <v>3.89</v>
      </c>
      <c r="P113" s="178">
        <v>44377</v>
      </c>
      <c r="Q113" s="179">
        <v>3.89</v>
      </c>
      <c r="R113" s="178">
        <v>44377</v>
      </c>
      <c r="S113" s="179">
        <v>3.89</v>
      </c>
      <c r="T113" s="178">
        <v>44377</v>
      </c>
      <c r="U113" s="179">
        <v>3.9809999999999999</v>
      </c>
      <c r="V113" s="178">
        <v>44742</v>
      </c>
      <c r="W113" s="179">
        <v>4.2270000000000003</v>
      </c>
      <c r="X113" s="178">
        <v>45107</v>
      </c>
      <c r="Y113" s="179">
        <v>4.3120000000000003</v>
      </c>
      <c r="Z113" s="178">
        <v>45473</v>
      </c>
      <c r="AA113" s="179">
        <v>4.8303303799999995</v>
      </c>
      <c r="AB113" s="179"/>
      <c r="AC113" s="179"/>
      <c r="AE113" s="137"/>
      <c r="AG113" s="137"/>
    </row>
    <row r="114" spans="3:33" outlineLevel="1" x14ac:dyDescent="0.25">
      <c r="C114" s="18" t="s">
        <v>81</v>
      </c>
      <c r="D114" s="18" t="s">
        <v>240</v>
      </c>
      <c r="E114" s="18" t="s">
        <v>178</v>
      </c>
      <c r="F114" s="18" t="s">
        <v>220</v>
      </c>
      <c r="G114" s="18" t="s">
        <v>66</v>
      </c>
      <c r="H114" s="175" t="s">
        <v>51</v>
      </c>
      <c r="I114" s="176" t="s">
        <v>51</v>
      </c>
      <c r="J114" s="178">
        <v>44377</v>
      </c>
      <c r="K114" s="179">
        <v>3.96</v>
      </c>
      <c r="L114" s="178">
        <v>44377</v>
      </c>
      <c r="M114" s="179">
        <v>3.96</v>
      </c>
      <c r="N114" s="178">
        <v>44377</v>
      </c>
      <c r="O114" s="179">
        <v>3.96</v>
      </c>
      <c r="P114" s="178">
        <v>44377</v>
      </c>
      <c r="Q114" s="179">
        <v>3.96</v>
      </c>
      <c r="R114" s="178">
        <v>44377</v>
      </c>
      <c r="S114" s="179">
        <v>3.96</v>
      </c>
      <c r="T114" s="178">
        <v>44377</v>
      </c>
      <c r="U114" s="179">
        <v>4.05</v>
      </c>
      <c r="V114" s="178">
        <v>44742</v>
      </c>
      <c r="W114" s="179">
        <v>4.6582999999999997</v>
      </c>
      <c r="X114" s="178">
        <v>45107</v>
      </c>
      <c r="Y114" s="179">
        <v>4.29</v>
      </c>
      <c r="Z114" s="178">
        <v>45473</v>
      </c>
      <c r="AA114" s="179">
        <v>4.63</v>
      </c>
      <c r="AB114" s="179"/>
      <c r="AC114" s="179"/>
      <c r="AE114" s="137"/>
      <c r="AG114" s="137"/>
    </row>
    <row r="115" spans="3:33" outlineLevel="1" x14ac:dyDescent="0.25">
      <c r="C115" s="18" t="s">
        <v>81</v>
      </c>
      <c r="D115" s="18" t="s">
        <v>241</v>
      </c>
      <c r="E115" s="18" t="s">
        <v>178</v>
      </c>
      <c r="F115" s="18" t="s">
        <v>220</v>
      </c>
      <c r="G115" s="18" t="s">
        <v>66</v>
      </c>
      <c r="H115" s="175" t="s">
        <v>51</v>
      </c>
      <c r="I115" s="176" t="s">
        <v>51</v>
      </c>
      <c r="J115" s="178">
        <v>44377</v>
      </c>
      <c r="K115" s="179">
        <v>3.95</v>
      </c>
      <c r="L115" s="178">
        <v>44377</v>
      </c>
      <c r="M115" s="179">
        <v>3.95</v>
      </c>
      <c r="N115" s="178">
        <v>44377</v>
      </c>
      <c r="O115" s="179">
        <v>3.95</v>
      </c>
      <c r="P115" s="178">
        <v>44377</v>
      </c>
      <c r="Q115" s="179">
        <v>3.95</v>
      </c>
      <c r="R115" s="178">
        <v>44377</v>
      </c>
      <c r="S115" s="179">
        <v>3.95</v>
      </c>
      <c r="T115" s="178">
        <v>44377</v>
      </c>
      <c r="U115" s="179">
        <v>4.05</v>
      </c>
      <c r="V115" s="178">
        <v>44742</v>
      </c>
      <c r="W115" s="179">
        <v>4.3240999999999996</v>
      </c>
      <c r="X115" s="178">
        <v>45107</v>
      </c>
      <c r="Y115" s="179">
        <v>4.16</v>
      </c>
      <c r="Z115" s="178">
        <v>45473</v>
      </c>
      <c r="AA115" s="179">
        <v>4.37</v>
      </c>
      <c r="AB115" s="179"/>
      <c r="AC115" s="179"/>
      <c r="AE115" s="137"/>
      <c r="AG115" s="137"/>
    </row>
    <row r="116" spans="3:33" outlineLevel="1" x14ac:dyDescent="0.25">
      <c r="C116" s="18" t="s">
        <v>81</v>
      </c>
      <c r="D116" s="18" t="s">
        <v>242</v>
      </c>
      <c r="E116" s="18" t="s">
        <v>178</v>
      </c>
      <c r="F116" s="18" t="s">
        <v>220</v>
      </c>
      <c r="G116" s="18" t="s">
        <v>67</v>
      </c>
      <c r="H116" s="175" t="s">
        <v>51</v>
      </c>
      <c r="I116" s="176" t="s">
        <v>51</v>
      </c>
      <c r="J116" s="178">
        <v>44377</v>
      </c>
      <c r="K116" s="179">
        <v>17.508700000000001</v>
      </c>
      <c r="L116" s="178">
        <v>44377</v>
      </c>
      <c r="M116" s="179">
        <v>17.508700000000001</v>
      </c>
      <c r="N116" s="178">
        <v>44377</v>
      </c>
      <c r="O116" s="179">
        <v>17.508700000000001</v>
      </c>
      <c r="P116" s="178">
        <v>44377</v>
      </c>
      <c r="Q116" s="179">
        <v>17.508700000000001</v>
      </c>
      <c r="R116" s="178">
        <v>44377</v>
      </c>
      <c r="S116" s="179">
        <v>17.508700000000001</v>
      </c>
      <c r="T116" s="178">
        <v>44377</v>
      </c>
      <c r="U116" s="179">
        <v>19.318200000000001</v>
      </c>
      <c r="V116" s="178">
        <v>44742</v>
      </c>
      <c r="W116" s="179">
        <v>20.665199999999999</v>
      </c>
      <c r="X116" s="178">
        <v>45107</v>
      </c>
      <c r="Y116" s="179">
        <v>19.642449948699095</v>
      </c>
      <c r="Z116" s="178">
        <v>45473</v>
      </c>
      <c r="AA116" s="179">
        <v>20.422266911355628</v>
      </c>
      <c r="AB116" s="179"/>
      <c r="AC116" s="179"/>
      <c r="AE116" s="137"/>
      <c r="AG116" s="137"/>
    </row>
    <row r="117" spans="3:33" outlineLevel="1" x14ac:dyDescent="0.25">
      <c r="C117" s="18" t="s">
        <v>81</v>
      </c>
      <c r="D117" s="18" t="s">
        <v>243</v>
      </c>
      <c r="E117" s="18" t="s">
        <v>178</v>
      </c>
      <c r="F117" s="18" t="s">
        <v>220</v>
      </c>
      <c r="G117" s="18" t="s">
        <v>67</v>
      </c>
      <c r="H117" s="175" t="s">
        <v>51</v>
      </c>
      <c r="I117" s="176" t="s">
        <v>51</v>
      </c>
      <c r="J117" s="178">
        <v>44377</v>
      </c>
      <c r="K117" s="179">
        <v>13.02</v>
      </c>
      <c r="L117" s="178">
        <v>44377</v>
      </c>
      <c r="M117" s="179">
        <v>13.02</v>
      </c>
      <c r="N117" s="178">
        <v>44377</v>
      </c>
      <c r="O117" s="179">
        <v>13.02</v>
      </c>
      <c r="P117" s="178">
        <v>44377</v>
      </c>
      <c r="Q117" s="179">
        <v>13.02</v>
      </c>
      <c r="R117" s="178">
        <v>44377</v>
      </c>
      <c r="S117" s="179">
        <v>13.02</v>
      </c>
      <c r="T117" s="178">
        <v>44377</v>
      </c>
      <c r="U117" s="179">
        <v>13.33</v>
      </c>
      <c r="V117" s="178">
        <v>44742</v>
      </c>
      <c r="W117" s="179">
        <v>15.2043</v>
      </c>
      <c r="X117" s="178">
        <v>45107</v>
      </c>
      <c r="Y117" s="179">
        <v>13.27</v>
      </c>
      <c r="Z117" s="178">
        <v>45473</v>
      </c>
      <c r="AA117" s="179">
        <v>14.46</v>
      </c>
      <c r="AB117" s="179"/>
      <c r="AC117" s="179"/>
      <c r="AE117" s="137"/>
      <c r="AG117" s="137"/>
    </row>
    <row r="118" spans="3:33" outlineLevel="1" x14ac:dyDescent="0.25">
      <c r="C118" s="18" t="s">
        <v>81</v>
      </c>
      <c r="D118" s="18" t="s">
        <v>244</v>
      </c>
      <c r="E118" s="18" t="s">
        <v>178</v>
      </c>
      <c r="F118" s="18" t="s">
        <v>220</v>
      </c>
      <c r="G118" s="18" t="s">
        <v>67</v>
      </c>
      <c r="H118" s="175" t="s">
        <v>51</v>
      </c>
      <c r="I118" s="176" t="s">
        <v>51</v>
      </c>
      <c r="J118" s="178">
        <v>44377</v>
      </c>
      <c r="K118" s="179">
        <v>14.331</v>
      </c>
      <c r="L118" s="178">
        <v>44377</v>
      </c>
      <c r="M118" s="179">
        <v>14.331</v>
      </c>
      <c r="N118" s="178">
        <v>44377</v>
      </c>
      <c r="O118" s="179">
        <v>14.331</v>
      </c>
      <c r="P118" s="178">
        <v>44377</v>
      </c>
      <c r="Q118" s="179">
        <v>14.331</v>
      </c>
      <c r="R118" s="178">
        <v>44377</v>
      </c>
      <c r="S118" s="179">
        <v>14.331</v>
      </c>
      <c r="T118" s="178">
        <v>44377</v>
      </c>
      <c r="U118" s="179">
        <v>14.099</v>
      </c>
      <c r="V118" s="178">
        <v>44742</v>
      </c>
      <c r="W118" s="179">
        <v>15.4275</v>
      </c>
      <c r="X118" s="178">
        <v>45107</v>
      </c>
      <c r="Y118" s="179">
        <v>15.097</v>
      </c>
      <c r="Z118" s="178">
        <v>45473</v>
      </c>
      <c r="AA118" s="179">
        <v>17.037500000000001</v>
      </c>
      <c r="AB118" s="179"/>
      <c r="AC118" s="179"/>
      <c r="AE118" s="137"/>
      <c r="AG118" s="137"/>
    </row>
    <row r="119" spans="3:33" outlineLevel="1" x14ac:dyDescent="0.25">
      <c r="C119" s="18" t="s">
        <v>81</v>
      </c>
      <c r="D119" s="18" t="s">
        <v>245</v>
      </c>
      <c r="E119" s="18" t="s">
        <v>178</v>
      </c>
      <c r="F119" s="18" t="s">
        <v>220</v>
      </c>
      <c r="G119" s="18" t="s">
        <v>67</v>
      </c>
      <c r="H119" s="175" t="s">
        <v>51</v>
      </c>
      <c r="I119" s="176" t="s">
        <v>51</v>
      </c>
      <c r="J119" s="178">
        <v>44377</v>
      </c>
      <c r="K119" s="179">
        <v>14.75</v>
      </c>
      <c r="L119" s="178">
        <v>44377</v>
      </c>
      <c r="M119" s="179">
        <v>14.75</v>
      </c>
      <c r="N119" s="178">
        <v>44377</v>
      </c>
      <c r="O119" s="179">
        <v>14.75</v>
      </c>
      <c r="P119" s="178">
        <v>44377</v>
      </c>
      <c r="Q119" s="179">
        <v>14.75</v>
      </c>
      <c r="R119" s="178">
        <v>44377</v>
      </c>
      <c r="S119" s="179">
        <v>14.75</v>
      </c>
      <c r="T119" s="178">
        <v>44377</v>
      </c>
      <c r="U119" s="179">
        <v>16.190000000000001</v>
      </c>
      <c r="V119" s="178">
        <v>44742</v>
      </c>
      <c r="W119" s="179">
        <v>18.611799999999999</v>
      </c>
      <c r="X119" s="178">
        <v>45107</v>
      </c>
      <c r="Y119" s="179">
        <v>17.46</v>
      </c>
      <c r="Z119" s="178">
        <v>45473</v>
      </c>
      <c r="AA119" s="179">
        <v>18.86</v>
      </c>
      <c r="AB119" s="179"/>
      <c r="AC119" s="179"/>
      <c r="AE119" s="137"/>
      <c r="AG119" s="137"/>
    </row>
    <row r="120" spans="3:33" outlineLevel="1" x14ac:dyDescent="0.25">
      <c r="C120" s="18" t="s">
        <v>81</v>
      </c>
      <c r="D120" s="18" t="s">
        <v>246</v>
      </c>
      <c r="E120" s="18" t="s">
        <v>178</v>
      </c>
      <c r="F120" s="18" t="s">
        <v>220</v>
      </c>
      <c r="G120" s="18" t="s">
        <v>67</v>
      </c>
      <c r="H120" s="175" t="s">
        <v>51</v>
      </c>
      <c r="I120" s="176" t="s">
        <v>51</v>
      </c>
      <c r="J120" s="178">
        <v>44377</v>
      </c>
      <c r="K120" s="179">
        <v>13.99</v>
      </c>
      <c r="L120" s="178">
        <v>44377</v>
      </c>
      <c r="M120" s="179">
        <v>13.99</v>
      </c>
      <c r="N120" s="178">
        <v>44377</v>
      </c>
      <c r="O120" s="179">
        <v>13.99</v>
      </c>
      <c r="P120" s="178">
        <v>44377</v>
      </c>
      <c r="Q120" s="179">
        <v>13.99</v>
      </c>
      <c r="R120" s="178">
        <v>44377</v>
      </c>
      <c r="S120" s="179">
        <v>13.99</v>
      </c>
      <c r="T120" s="178">
        <v>44377</v>
      </c>
      <c r="U120" s="179">
        <v>14.98</v>
      </c>
      <c r="V120" s="178">
        <v>44742</v>
      </c>
      <c r="W120" s="179">
        <v>15.9915</v>
      </c>
      <c r="X120" s="178">
        <v>45107</v>
      </c>
      <c r="Y120" s="179">
        <v>15.41</v>
      </c>
      <c r="Z120" s="178">
        <v>45473</v>
      </c>
      <c r="AA120" s="179">
        <v>16.18</v>
      </c>
      <c r="AB120" s="179"/>
      <c r="AC120" s="179"/>
      <c r="AE120" s="137"/>
      <c r="AG120" s="137"/>
    </row>
    <row r="121" spans="3:33" outlineLevel="1" x14ac:dyDescent="0.25">
      <c r="C121" s="18" t="s">
        <v>81</v>
      </c>
      <c r="D121" s="18" t="s">
        <v>247</v>
      </c>
      <c r="E121" s="18" t="s">
        <v>178</v>
      </c>
      <c r="F121" s="18" t="s">
        <v>220</v>
      </c>
      <c r="G121" s="18" t="s">
        <v>67</v>
      </c>
      <c r="H121" s="175" t="s">
        <v>51</v>
      </c>
      <c r="I121" s="176" t="s">
        <v>51</v>
      </c>
      <c r="J121" s="178">
        <v>44377</v>
      </c>
      <c r="K121" s="179">
        <v>4.2656000000000001</v>
      </c>
      <c r="L121" s="178">
        <v>44377</v>
      </c>
      <c r="M121" s="179">
        <v>4.2656000000000001</v>
      </c>
      <c r="N121" s="178">
        <v>44377</v>
      </c>
      <c r="O121" s="179">
        <v>4.2656000000000001</v>
      </c>
      <c r="P121" s="178">
        <v>44377</v>
      </c>
      <c r="Q121" s="179">
        <v>4.2656000000000001</v>
      </c>
      <c r="R121" s="178">
        <v>44377</v>
      </c>
      <c r="S121" s="179">
        <v>4.2656000000000001</v>
      </c>
      <c r="T121" s="178">
        <v>44377</v>
      </c>
      <c r="U121" s="179">
        <v>4.7115</v>
      </c>
      <c r="V121" s="178">
        <v>44742</v>
      </c>
      <c r="W121" s="179">
        <v>5.0449999999999999</v>
      </c>
      <c r="X121" s="178">
        <v>45107</v>
      </c>
      <c r="Y121" s="179">
        <v>4.742575271253056</v>
      </c>
      <c r="Z121" s="178">
        <v>45473</v>
      </c>
      <c r="AA121" s="179">
        <v>4.8104057633506638</v>
      </c>
      <c r="AB121" s="179"/>
      <c r="AC121" s="179"/>
      <c r="AE121" s="137"/>
      <c r="AG121" s="137"/>
    </row>
    <row r="122" spans="3:33" outlineLevel="1" x14ac:dyDescent="0.25">
      <c r="C122" s="18" t="s">
        <v>81</v>
      </c>
      <c r="D122" s="18" t="s">
        <v>248</v>
      </c>
      <c r="E122" s="18" t="s">
        <v>178</v>
      </c>
      <c r="F122" s="18" t="s">
        <v>220</v>
      </c>
      <c r="G122" s="18" t="s">
        <v>67</v>
      </c>
      <c r="H122" s="175" t="s">
        <v>51</v>
      </c>
      <c r="I122" s="176" t="s">
        <v>51</v>
      </c>
      <c r="J122" s="178">
        <v>44377</v>
      </c>
      <c r="K122" s="179">
        <v>2.89</v>
      </c>
      <c r="L122" s="178">
        <v>44377</v>
      </c>
      <c r="M122" s="179">
        <v>2.89</v>
      </c>
      <c r="N122" s="178">
        <v>44377</v>
      </c>
      <c r="O122" s="179">
        <v>2.89</v>
      </c>
      <c r="P122" s="178">
        <v>44377</v>
      </c>
      <c r="Q122" s="179">
        <v>2.89</v>
      </c>
      <c r="R122" s="178">
        <v>44377</v>
      </c>
      <c r="S122" s="179">
        <v>2.89</v>
      </c>
      <c r="T122" s="178">
        <v>44377</v>
      </c>
      <c r="U122" s="179">
        <v>2.96</v>
      </c>
      <c r="V122" s="178">
        <v>44742</v>
      </c>
      <c r="W122" s="179">
        <v>3.3751000000000002</v>
      </c>
      <c r="X122" s="178">
        <v>45107</v>
      </c>
      <c r="Y122" s="179">
        <v>2.95</v>
      </c>
      <c r="Z122" s="178">
        <v>45473</v>
      </c>
      <c r="AA122" s="179">
        <v>3.22</v>
      </c>
      <c r="AB122" s="179"/>
      <c r="AC122" s="179"/>
      <c r="AE122" s="137"/>
      <c r="AG122" s="137"/>
    </row>
    <row r="123" spans="3:33" outlineLevel="1" x14ac:dyDescent="0.25">
      <c r="C123" s="18" t="s">
        <v>81</v>
      </c>
      <c r="D123" s="18" t="s">
        <v>249</v>
      </c>
      <c r="E123" s="18" t="s">
        <v>178</v>
      </c>
      <c r="F123" s="18" t="s">
        <v>220</v>
      </c>
      <c r="G123" s="18" t="s">
        <v>67</v>
      </c>
      <c r="H123" s="175" t="s">
        <v>51</v>
      </c>
      <c r="I123" s="176" t="s">
        <v>51</v>
      </c>
      <c r="J123" s="178">
        <v>44377</v>
      </c>
      <c r="K123" s="179">
        <v>3.052</v>
      </c>
      <c r="L123" s="178">
        <v>44377</v>
      </c>
      <c r="M123" s="179">
        <v>3.052</v>
      </c>
      <c r="N123" s="178">
        <v>44377</v>
      </c>
      <c r="O123" s="179">
        <v>3.052</v>
      </c>
      <c r="P123" s="178">
        <v>44377</v>
      </c>
      <c r="Q123" s="179">
        <v>3.052</v>
      </c>
      <c r="R123" s="178">
        <v>44377</v>
      </c>
      <c r="S123" s="179">
        <v>3.052</v>
      </c>
      <c r="T123" s="178">
        <v>44377</v>
      </c>
      <c r="U123" s="179">
        <v>2.9529999999999998</v>
      </c>
      <c r="V123" s="178">
        <v>44742</v>
      </c>
      <c r="W123" s="179">
        <v>3.2090999999999998</v>
      </c>
      <c r="X123" s="178">
        <v>45107</v>
      </c>
      <c r="Y123" s="179">
        <v>3.226</v>
      </c>
      <c r="Z123" s="178">
        <v>45473</v>
      </c>
      <c r="AA123" s="179">
        <v>3.5709</v>
      </c>
      <c r="AB123" s="179"/>
      <c r="AC123" s="179"/>
      <c r="AE123" s="137"/>
      <c r="AG123" s="137"/>
    </row>
    <row r="124" spans="3:33" outlineLevel="1" x14ac:dyDescent="0.25">
      <c r="C124" s="18" t="s">
        <v>81</v>
      </c>
      <c r="D124" s="18" t="s">
        <v>250</v>
      </c>
      <c r="E124" s="18" t="s">
        <v>178</v>
      </c>
      <c r="F124" s="18" t="s">
        <v>220</v>
      </c>
      <c r="G124" s="18" t="s">
        <v>67</v>
      </c>
      <c r="H124" s="175" t="s">
        <v>51</v>
      </c>
      <c r="I124" s="176" t="s">
        <v>51</v>
      </c>
      <c r="J124" s="178">
        <v>44377</v>
      </c>
      <c r="K124" s="179">
        <v>3.28</v>
      </c>
      <c r="L124" s="178">
        <v>44377</v>
      </c>
      <c r="M124" s="179">
        <v>3.28</v>
      </c>
      <c r="N124" s="178">
        <v>44377</v>
      </c>
      <c r="O124" s="179">
        <v>3.28</v>
      </c>
      <c r="P124" s="178">
        <v>44377</v>
      </c>
      <c r="Q124" s="179">
        <v>3.28</v>
      </c>
      <c r="R124" s="178">
        <v>44377</v>
      </c>
      <c r="S124" s="179">
        <v>3.28</v>
      </c>
      <c r="T124" s="178">
        <v>44377</v>
      </c>
      <c r="U124" s="179">
        <v>3.59</v>
      </c>
      <c r="V124" s="178">
        <v>44742</v>
      </c>
      <c r="W124" s="179">
        <v>4.13</v>
      </c>
      <c r="X124" s="178">
        <v>45107</v>
      </c>
      <c r="Y124" s="179">
        <v>3.8800000000000003</v>
      </c>
      <c r="Z124" s="178">
        <v>45473</v>
      </c>
      <c r="AA124" s="179">
        <v>4.1900000000000004</v>
      </c>
      <c r="AB124" s="179"/>
      <c r="AC124" s="179"/>
      <c r="AE124" s="137"/>
      <c r="AG124" s="137"/>
    </row>
    <row r="125" spans="3:33" outlineLevel="1" x14ac:dyDescent="0.25">
      <c r="C125" s="18" t="s">
        <v>81</v>
      </c>
      <c r="D125" s="18" t="s">
        <v>251</v>
      </c>
      <c r="E125" s="18" t="s">
        <v>178</v>
      </c>
      <c r="F125" s="18" t="s">
        <v>220</v>
      </c>
      <c r="G125" s="18" t="s">
        <v>67</v>
      </c>
      <c r="H125" s="175" t="s">
        <v>51</v>
      </c>
      <c r="I125" s="176" t="s">
        <v>51</v>
      </c>
      <c r="J125" s="178">
        <v>44377</v>
      </c>
      <c r="K125" s="179">
        <v>3.11</v>
      </c>
      <c r="L125" s="178">
        <v>44377</v>
      </c>
      <c r="M125" s="179">
        <v>3.11</v>
      </c>
      <c r="N125" s="178">
        <v>44377</v>
      </c>
      <c r="O125" s="179">
        <v>3.11</v>
      </c>
      <c r="P125" s="178">
        <v>44377</v>
      </c>
      <c r="Q125" s="179">
        <v>3.11</v>
      </c>
      <c r="R125" s="178">
        <v>44377</v>
      </c>
      <c r="S125" s="179">
        <v>3.11</v>
      </c>
      <c r="T125" s="178">
        <v>44377</v>
      </c>
      <c r="U125" s="179">
        <v>3.33</v>
      </c>
      <c r="V125" s="178">
        <v>44742</v>
      </c>
      <c r="W125" s="179">
        <v>3.5476999999999999</v>
      </c>
      <c r="X125" s="178">
        <v>45107</v>
      </c>
      <c r="Y125" s="179">
        <v>3.4299999999999997</v>
      </c>
      <c r="Z125" s="178">
        <v>45473</v>
      </c>
      <c r="AA125" s="179">
        <v>3.6</v>
      </c>
      <c r="AB125" s="179"/>
      <c r="AC125" s="179"/>
      <c r="AE125" s="137"/>
      <c r="AG125" s="137"/>
    </row>
    <row r="126" spans="3:33" outlineLevel="1" x14ac:dyDescent="0.25">
      <c r="C126" s="18" t="s">
        <v>81</v>
      </c>
      <c r="D126" s="18" t="s">
        <v>252</v>
      </c>
      <c r="E126" s="18" t="s">
        <v>178</v>
      </c>
      <c r="F126" s="18" t="s">
        <v>220</v>
      </c>
      <c r="G126" s="18" t="s">
        <v>66</v>
      </c>
      <c r="H126" s="175">
        <v>44196</v>
      </c>
      <c r="I126" s="176">
        <v>3.8612000000000002</v>
      </c>
      <c r="J126" s="178">
        <v>44377</v>
      </c>
      <c r="K126" s="179">
        <v>4.2622999999999998</v>
      </c>
      <c r="L126" s="178">
        <v>44377</v>
      </c>
      <c r="M126" s="179">
        <v>4.2622999999999998</v>
      </c>
      <c r="N126" s="178">
        <v>44377</v>
      </c>
      <c r="O126" s="179">
        <v>4.2622999999999998</v>
      </c>
      <c r="P126" s="178">
        <v>44377</v>
      </c>
      <c r="Q126" s="179">
        <v>4.2622999999999998</v>
      </c>
      <c r="R126" s="178">
        <v>44377</v>
      </c>
      <c r="S126" s="179">
        <v>4.2622999999999998</v>
      </c>
      <c r="T126" s="178">
        <v>44377</v>
      </c>
      <c r="U126" s="179">
        <v>4.7466999999999997</v>
      </c>
      <c r="V126" s="178">
        <v>44742</v>
      </c>
      <c r="W126" s="179">
        <v>5.0824999999999996</v>
      </c>
      <c r="X126" s="178">
        <v>45107</v>
      </c>
      <c r="Y126" s="179">
        <v>4.6393863430805986</v>
      </c>
      <c r="Z126" s="178">
        <v>45473</v>
      </c>
      <c r="AA126" s="179">
        <v>4.7878518853913743</v>
      </c>
      <c r="AB126" s="179"/>
      <c r="AC126" s="179"/>
      <c r="AE126" s="137"/>
      <c r="AG126" s="137"/>
    </row>
    <row r="127" spans="3:33" outlineLevel="1" x14ac:dyDescent="0.25">
      <c r="C127" s="18" t="s">
        <v>81</v>
      </c>
      <c r="D127" s="18" t="s">
        <v>253</v>
      </c>
      <c r="E127" s="18" t="s">
        <v>178</v>
      </c>
      <c r="F127" s="18" t="s">
        <v>220</v>
      </c>
      <c r="G127" s="18" t="s">
        <v>66</v>
      </c>
      <c r="H127" s="175">
        <v>44196</v>
      </c>
      <c r="I127" s="176">
        <v>2.09</v>
      </c>
      <c r="J127" s="178">
        <v>44377</v>
      </c>
      <c r="K127" s="179">
        <v>2.4700000000000002</v>
      </c>
      <c r="L127" s="178">
        <v>44377</v>
      </c>
      <c r="M127" s="179">
        <v>2.4700000000000002</v>
      </c>
      <c r="N127" s="178">
        <v>44377</v>
      </c>
      <c r="O127" s="179">
        <v>2.4700000000000002</v>
      </c>
      <c r="P127" s="178">
        <v>44377</v>
      </c>
      <c r="Q127" s="179">
        <v>2.4700000000000002</v>
      </c>
      <c r="R127" s="178">
        <v>44377</v>
      </c>
      <c r="S127" s="179">
        <v>2.4700000000000002</v>
      </c>
      <c r="T127" s="178">
        <v>44377</v>
      </c>
      <c r="U127" s="179">
        <v>2.2200000000000002</v>
      </c>
      <c r="V127" s="178">
        <v>44742</v>
      </c>
      <c r="W127" s="179">
        <v>2.5339999999999998</v>
      </c>
      <c r="X127" s="178">
        <v>45107</v>
      </c>
      <c r="Y127" s="179">
        <v>2.21</v>
      </c>
      <c r="Z127" s="178">
        <v>45473</v>
      </c>
      <c r="AA127" s="179">
        <v>2.41</v>
      </c>
      <c r="AB127" s="179"/>
      <c r="AC127" s="179"/>
      <c r="AE127" s="137"/>
      <c r="AG127" s="137"/>
    </row>
    <row r="128" spans="3:33" outlineLevel="1" x14ac:dyDescent="0.25">
      <c r="C128" s="18" t="s">
        <v>81</v>
      </c>
      <c r="D128" s="18" t="s">
        <v>254</v>
      </c>
      <c r="E128" s="18" t="s">
        <v>178</v>
      </c>
      <c r="F128" s="18" t="s">
        <v>220</v>
      </c>
      <c r="G128" s="18" t="s">
        <v>66</v>
      </c>
      <c r="H128" s="175">
        <v>44196</v>
      </c>
      <c r="I128" s="176">
        <v>2.9159999999999999</v>
      </c>
      <c r="J128" s="178">
        <v>44377</v>
      </c>
      <c r="K128" s="179">
        <v>3.5990000000000002</v>
      </c>
      <c r="L128" s="178">
        <v>44377</v>
      </c>
      <c r="M128" s="179">
        <v>3.5990000000000002</v>
      </c>
      <c r="N128" s="178">
        <v>44377</v>
      </c>
      <c r="O128" s="179">
        <v>3.5990000000000002</v>
      </c>
      <c r="P128" s="178">
        <v>44377</v>
      </c>
      <c r="Q128" s="179">
        <v>3.5990000000000002</v>
      </c>
      <c r="R128" s="178">
        <v>44377</v>
      </c>
      <c r="S128" s="179">
        <v>3.5990000000000002</v>
      </c>
      <c r="T128" s="178">
        <v>44377</v>
      </c>
      <c r="U128" s="179">
        <v>3.448</v>
      </c>
      <c r="V128" s="178">
        <v>44742</v>
      </c>
      <c r="W128" s="179">
        <v>3.7147999999999999</v>
      </c>
      <c r="X128" s="178">
        <v>45107</v>
      </c>
      <c r="Y128" s="179">
        <v>3.6950000000000003</v>
      </c>
      <c r="Z128" s="178">
        <v>45473</v>
      </c>
      <c r="AA128" s="179">
        <v>4.0917499299999998</v>
      </c>
      <c r="AB128" s="179"/>
      <c r="AC128" s="179"/>
      <c r="AE128" s="137"/>
      <c r="AG128" s="137"/>
    </row>
    <row r="129" spans="1:33" outlineLevel="1" x14ac:dyDescent="0.25">
      <c r="C129" s="18" t="s">
        <v>81</v>
      </c>
      <c r="D129" s="18" t="s">
        <v>255</v>
      </c>
      <c r="E129" s="18" t="s">
        <v>178</v>
      </c>
      <c r="F129" s="18" t="s">
        <v>220</v>
      </c>
      <c r="G129" s="18" t="s">
        <v>66</v>
      </c>
      <c r="H129" s="175">
        <v>44196</v>
      </c>
      <c r="I129" s="176">
        <v>2.14</v>
      </c>
      <c r="J129" s="178">
        <v>44377</v>
      </c>
      <c r="K129" s="179">
        <v>2.39</v>
      </c>
      <c r="L129" s="178">
        <v>44377</v>
      </c>
      <c r="M129" s="179">
        <v>2.39</v>
      </c>
      <c r="N129" s="178">
        <v>44377</v>
      </c>
      <c r="O129" s="179">
        <v>2.39</v>
      </c>
      <c r="P129" s="178">
        <v>44377</v>
      </c>
      <c r="Q129" s="179">
        <v>2.39</v>
      </c>
      <c r="R129" s="178">
        <v>44377</v>
      </c>
      <c r="S129" s="179">
        <v>2.39</v>
      </c>
      <c r="T129" s="178">
        <v>44377</v>
      </c>
      <c r="U129" s="179">
        <v>2.35</v>
      </c>
      <c r="V129" s="178">
        <v>44742</v>
      </c>
      <c r="W129" s="179">
        <v>2.7065999999999999</v>
      </c>
      <c r="X129" s="178">
        <v>45107</v>
      </c>
      <c r="Y129" s="179">
        <v>2.46</v>
      </c>
      <c r="Z129" s="178">
        <v>45473</v>
      </c>
      <c r="AA129" s="179">
        <v>2.66</v>
      </c>
      <c r="AB129" s="179"/>
      <c r="AC129" s="179"/>
      <c r="AE129" s="137"/>
      <c r="AG129" s="137"/>
    </row>
    <row r="130" spans="1:33" outlineLevel="1" x14ac:dyDescent="0.25">
      <c r="C130" s="33" t="s">
        <v>81</v>
      </c>
      <c r="D130" s="33" t="s">
        <v>256</v>
      </c>
      <c r="E130" s="33" t="s">
        <v>178</v>
      </c>
      <c r="F130" s="33" t="s">
        <v>220</v>
      </c>
      <c r="G130" s="18" t="s">
        <v>66</v>
      </c>
      <c r="H130" s="175">
        <v>44196</v>
      </c>
      <c r="I130" s="176">
        <v>1.73</v>
      </c>
      <c r="J130" s="178">
        <v>44377</v>
      </c>
      <c r="K130" s="179">
        <v>2.17</v>
      </c>
      <c r="L130" s="178">
        <v>44377</v>
      </c>
      <c r="M130" s="179">
        <v>2.17</v>
      </c>
      <c r="N130" s="178">
        <v>44377</v>
      </c>
      <c r="O130" s="179">
        <v>2.17</v>
      </c>
      <c r="P130" s="178">
        <v>44377</v>
      </c>
      <c r="Q130" s="179">
        <v>2.17</v>
      </c>
      <c r="R130" s="178">
        <v>44377</v>
      </c>
      <c r="S130" s="179">
        <v>2.17</v>
      </c>
      <c r="T130" s="178">
        <v>44377</v>
      </c>
      <c r="U130" s="179">
        <v>2.34</v>
      </c>
      <c r="V130" s="178">
        <v>44742</v>
      </c>
      <c r="W130" s="179">
        <v>2.5017</v>
      </c>
      <c r="X130" s="178">
        <v>45107</v>
      </c>
      <c r="Y130" s="179">
        <v>2.44</v>
      </c>
      <c r="Z130" s="178">
        <v>45473</v>
      </c>
      <c r="AA130" s="179">
        <v>2.56</v>
      </c>
      <c r="AB130" s="179"/>
      <c r="AC130" s="179"/>
      <c r="AE130" s="137"/>
      <c r="AG130" s="137"/>
    </row>
    <row r="131" spans="1:33" outlineLevel="1" x14ac:dyDescent="0.25">
      <c r="C131" s="18" t="s">
        <v>257</v>
      </c>
      <c r="D131" s="18" t="s">
        <v>258</v>
      </c>
      <c r="E131" s="18" t="s">
        <v>58</v>
      </c>
      <c r="F131" s="18" t="s">
        <v>259</v>
      </c>
      <c r="G131" s="18" t="s">
        <v>133</v>
      </c>
      <c r="H131" s="175" t="s">
        <v>51</v>
      </c>
      <c r="I131" s="176">
        <v>6.0400000000000002E-2</v>
      </c>
      <c r="J131" s="175" t="s">
        <v>51</v>
      </c>
      <c r="K131" s="177">
        <v>6.0400000000000002E-2</v>
      </c>
      <c r="L131" s="175" t="s">
        <v>51</v>
      </c>
      <c r="M131" s="176">
        <v>6.0400000000000002E-2</v>
      </c>
      <c r="N131" s="178" t="s">
        <v>51</v>
      </c>
      <c r="O131" s="182">
        <v>6.0400000000000002E-2</v>
      </c>
      <c r="P131" s="178" t="s">
        <v>51</v>
      </c>
      <c r="Q131" s="182">
        <v>6.0400000000000002E-2</v>
      </c>
      <c r="R131" s="178" t="s">
        <v>51</v>
      </c>
      <c r="S131" s="182">
        <v>6.0400000000000002E-2</v>
      </c>
      <c r="T131" s="178" t="s">
        <v>51</v>
      </c>
      <c r="U131" s="179">
        <v>6.0400000000000002E-2</v>
      </c>
      <c r="V131" s="178" t="s">
        <v>51</v>
      </c>
      <c r="W131" s="179">
        <v>6.0400000000000002E-2</v>
      </c>
      <c r="X131" s="178" t="s">
        <v>51</v>
      </c>
      <c r="Y131" s="179">
        <v>5.6000000000000001E-2</v>
      </c>
      <c r="Z131" s="178">
        <v>45473</v>
      </c>
      <c r="AA131" s="179">
        <v>5.6000000000000001E-2</v>
      </c>
      <c r="AB131" s="179"/>
      <c r="AC131" s="179"/>
      <c r="AE131" s="137"/>
      <c r="AG131" s="137"/>
    </row>
    <row r="132" spans="1:33" outlineLevel="1" x14ac:dyDescent="0.25">
      <c r="C132" s="18" t="s">
        <v>260</v>
      </c>
      <c r="D132" s="18" t="s">
        <v>261</v>
      </c>
      <c r="E132" s="18" t="s">
        <v>58</v>
      </c>
      <c r="F132" s="18" t="s">
        <v>259</v>
      </c>
      <c r="G132" s="18" t="s">
        <v>133</v>
      </c>
      <c r="H132" s="175" t="s">
        <v>51</v>
      </c>
      <c r="I132" s="176">
        <v>0.99914999999999998</v>
      </c>
      <c r="J132" s="175" t="s">
        <v>51</v>
      </c>
      <c r="K132" s="177">
        <v>0.99914999999999998</v>
      </c>
      <c r="L132" s="175" t="s">
        <v>51</v>
      </c>
      <c r="M132" s="176">
        <v>0.99914999999999998</v>
      </c>
      <c r="N132" s="178" t="s">
        <v>51</v>
      </c>
      <c r="O132" s="182">
        <v>1.0016499999999999</v>
      </c>
      <c r="P132" s="178" t="s">
        <v>51</v>
      </c>
      <c r="Q132" s="182">
        <v>1.0056461538461539</v>
      </c>
      <c r="R132" s="178" t="s">
        <v>51</v>
      </c>
      <c r="S132" s="182">
        <v>1.0056461538461539</v>
      </c>
      <c r="T132" s="178" t="s">
        <v>51</v>
      </c>
      <c r="U132" s="179">
        <v>1.0020692307700001</v>
      </c>
      <c r="V132" s="178" t="s">
        <v>51</v>
      </c>
      <c r="W132" s="179">
        <v>1.0034000000000001</v>
      </c>
      <c r="X132" s="178" t="s">
        <v>51</v>
      </c>
      <c r="Y132" s="179">
        <v>1.0040999999999998</v>
      </c>
      <c r="Z132" s="178" t="s">
        <v>51</v>
      </c>
      <c r="AA132" s="179">
        <v>1.0041</v>
      </c>
      <c r="AB132" s="179"/>
      <c r="AC132" s="179"/>
      <c r="AE132" s="137"/>
      <c r="AG132" s="137"/>
    </row>
    <row r="133" spans="1:33" outlineLevel="1" x14ac:dyDescent="0.25">
      <c r="C133" s="18" t="s">
        <v>260</v>
      </c>
      <c r="D133" s="18" t="s">
        <v>262</v>
      </c>
      <c r="E133" s="18" t="s">
        <v>58</v>
      </c>
      <c r="F133" s="18" t="s">
        <v>259</v>
      </c>
      <c r="G133" s="18" t="s">
        <v>133</v>
      </c>
      <c r="H133" s="175" t="s">
        <v>51</v>
      </c>
      <c r="I133" s="176">
        <v>0.99780999999999997</v>
      </c>
      <c r="J133" s="175" t="s">
        <v>51</v>
      </c>
      <c r="K133" s="177">
        <v>0.99780999999999997</v>
      </c>
      <c r="L133" s="175" t="s">
        <v>51</v>
      </c>
      <c r="M133" s="176">
        <v>0.99780999999999997</v>
      </c>
      <c r="N133" s="178" t="s">
        <v>51</v>
      </c>
      <c r="O133" s="182">
        <v>0.99756</v>
      </c>
      <c r="P133" s="178" t="s">
        <v>51</v>
      </c>
      <c r="Q133" s="182">
        <v>0.99787777777777775</v>
      </c>
      <c r="R133" s="178" t="s">
        <v>51</v>
      </c>
      <c r="S133" s="182">
        <v>0.99787777777777775</v>
      </c>
      <c r="T133" s="178" t="s">
        <v>51</v>
      </c>
      <c r="U133" s="179">
        <v>0.99789000000000005</v>
      </c>
      <c r="V133" s="178" t="s">
        <v>51</v>
      </c>
      <c r="W133" s="179">
        <v>0.99729999999999996</v>
      </c>
      <c r="X133" s="178" t="s">
        <v>51</v>
      </c>
      <c r="Y133" s="179">
        <v>0.99999000000000005</v>
      </c>
      <c r="Z133" s="178" t="s">
        <v>51</v>
      </c>
      <c r="AA133" s="179">
        <v>1</v>
      </c>
      <c r="AB133" s="179"/>
      <c r="AC133" s="179"/>
      <c r="AE133" s="137"/>
      <c r="AG133" s="137"/>
    </row>
    <row r="134" spans="1:33" outlineLevel="1" x14ac:dyDescent="0.25">
      <c r="C134" s="18" t="s">
        <v>260</v>
      </c>
      <c r="D134" s="18" t="s">
        <v>263</v>
      </c>
      <c r="E134" s="18" t="s">
        <v>58</v>
      </c>
      <c r="F134" s="18" t="s">
        <v>259</v>
      </c>
      <c r="G134" s="18" t="s">
        <v>133</v>
      </c>
      <c r="H134" s="175" t="s">
        <v>51</v>
      </c>
      <c r="I134" s="176">
        <v>0.99831111111111126</v>
      </c>
      <c r="J134" s="175" t="s">
        <v>51</v>
      </c>
      <c r="K134" s="177">
        <v>0.99831111111111126</v>
      </c>
      <c r="L134" s="175" t="s">
        <v>51</v>
      </c>
      <c r="M134" s="176">
        <v>0.99831111111111126</v>
      </c>
      <c r="N134" s="178" t="s">
        <v>51</v>
      </c>
      <c r="O134" s="182">
        <v>0.99891111111111108</v>
      </c>
      <c r="P134" s="178" t="s">
        <v>51</v>
      </c>
      <c r="Q134" s="182">
        <v>0.99932500000000002</v>
      </c>
      <c r="R134" s="178" t="s">
        <v>51</v>
      </c>
      <c r="S134" s="182">
        <v>0.99932500000000002</v>
      </c>
      <c r="T134" s="178" t="s">
        <v>51</v>
      </c>
      <c r="U134" s="179">
        <v>0.99978750000000005</v>
      </c>
      <c r="V134" s="178" t="s">
        <v>51</v>
      </c>
      <c r="W134" s="179">
        <v>0.99939999999999996</v>
      </c>
      <c r="X134" s="178" t="s">
        <v>51</v>
      </c>
      <c r="Y134" s="179">
        <v>1.0006249999999999</v>
      </c>
      <c r="Z134" s="178" t="s">
        <v>51</v>
      </c>
      <c r="AA134" s="179">
        <v>1.0005999999999999</v>
      </c>
      <c r="AB134" s="179"/>
      <c r="AC134" s="179"/>
      <c r="AE134" s="137"/>
      <c r="AG134" s="137"/>
    </row>
    <row r="135" spans="1:33" outlineLevel="1" x14ac:dyDescent="0.25">
      <c r="C135" s="18" t="s">
        <v>260</v>
      </c>
      <c r="D135" s="18" t="s">
        <v>264</v>
      </c>
      <c r="E135" s="18" t="s">
        <v>58</v>
      </c>
      <c r="F135" s="18" t="s">
        <v>259</v>
      </c>
      <c r="G135" s="18" t="s">
        <v>133</v>
      </c>
      <c r="H135" s="175" t="s">
        <v>51</v>
      </c>
      <c r="I135" s="176">
        <v>0.98904090909090892</v>
      </c>
      <c r="J135" s="175" t="s">
        <v>51</v>
      </c>
      <c r="K135" s="177">
        <v>0.98904090909090892</v>
      </c>
      <c r="L135" s="175" t="s">
        <v>51</v>
      </c>
      <c r="M135" s="176">
        <v>0.98904090909090892</v>
      </c>
      <c r="N135" s="178" t="s">
        <v>51</v>
      </c>
      <c r="O135" s="182">
        <v>0.99418636363636348</v>
      </c>
      <c r="P135" s="178" t="s">
        <v>51</v>
      </c>
      <c r="Q135" s="182">
        <v>0.99378947368421044</v>
      </c>
      <c r="R135" s="178" t="s">
        <v>51</v>
      </c>
      <c r="S135" s="182">
        <v>0.99378947368421044</v>
      </c>
      <c r="T135" s="178" t="s">
        <v>51</v>
      </c>
      <c r="U135" s="179">
        <v>0.99254736842000002</v>
      </c>
      <c r="V135" s="178" t="s">
        <v>51</v>
      </c>
      <c r="W135" s="179">
        <v>0.99870000000000003</v>
      </c>
      <c r="X135" s="178" t="s">
        <v>51</v>
      </c>
      <c r="Y135" s="179">
        <v>0.9980157894736843</v>
      </c>
      <c r="Z135" s="178" t="s">
        <v>51</v>
      </c>
      <c r="AA135" s="179">
        <v>0.998</v>
      </c>
      <c r="AB135" s="179"/>
      <c r="AC135" s="179"/>
      <c r="AE135" s="137"/>
      <c r="AG135" s="137"/>
    </row>
    <row r="136" spans="1:33" outlineLevel="1" x14ac:dyDescent="0.25">
      <c r="C136" s="18" t="s">
        <v>260</v>
      </c>
      <c r="D136" s="18" t="s">
        <v>265</v>
      </c>
      <c r="E136" s="18" t="s">
        <v>58</v>
      </c>
      <c r="F136" s="18" t="s">
        <v>259</v>
      </c>
      <c r="G136" s="18" t="s">
        <v>133</v>
      </c>
      <c r="H136" s="175" t="s">
        <v>51</v>
      </c>
      <c r="I136" s="176">
        <v>0.99633000000000005</v>
      </c>
      <c r="J136" s="175" t="s">
        <v>51</v>
      </c>
      <c r="K136" s="177">
        <v>0.99633000000000005</v>
      </c>
      <c r="L136" s="175" t="s">
        <v>51</v>
      </c>
      <c r="M136" s="176">
        <v>0.99633000000000005</v>
      </c>
      <c r="N136" s="178" t="s">
        <v>51</v>
      </c>
      <c r="O136" s="182">
        <v>0.99576000000000009</v>
      </c>
      <c r="P136" s="178" t="s">
        <v>51</v>
      </c>
      <c r="Q136" s="182">
        <v>0.99566363636363631</v>
      </c>
      <c r="R136" s="178" t="s">
        <v>51</v>
      </c>
      <c r="S136" s="182">
        <v>0.99566363636363631</v>
      </c>
      <c r="T136" s="178" t="s">
        <v>51</v>
      </c>
      <c r="U136" s="179">
        <v>0.99679090909000001</v>
      </c>
      <c r="V136" s="178" t="s">
        <v>51</v>
      </c>
      <c r="W136" s="179">
        <v>0.99629999999999996</v>
      </c>
      <c r="X136" s="178" t="s">
        <v>51</v>
      </c>
      <c r="Y136" s="179">
        <v>0.99870909090909099</v>
      </c>
      <c r="Z136" s="178" t="s">
        <v>51</v>
      </c>
      <c r="AA136" s="179">
        <v>0.99870000000000003</v>
      </c>
      <c r="AB136" s="179"/>
      <c r="AC136" s="179"/>
      <c r="AE136" s="137"/>
      <c r="AG136" s="137"/>
    </row>
    <row r="137" spans="1:33" outlineLevel="1" x14ac:dyDescent="0.25">
      <c r="C137" s="18" t="s">
        <v>266</v>
      </c>
      <c r="D137" s="18" t="s">
        <v>267</v>
      </c>
      <c r="E137" s="18" t="s">
        <v>58</v>
      </c>
      <c r="F137" s="18" t="s">
        <v>259</v>
      </c>
      <c r="G137" s="18" t="s">
        <v>133</v>
      </c>
      <c r="H137" s="175" t="s">
        <v>51</v>
      </c>
      <c r="I137" s="176">
        <v>1.06795</v>
      </c>
      <c r="J137" s="175" t="s">
        <v>51</v>
      </c>
      <c r="K137" s="177">
        <v>1.06795</v>
      </c>
      <c r="L137" s="175" t="s">
        <v>51</v>
      </c>
      <c r="M137" s="176">
        <v>1.06795</v>
      </c>
      <c r="N137" s="178" t="s">
        <v>51</v>
      </c>
      <c r="O137" s="182">
        <v>1.0686</v>
      </c>
      <c r="P137" s="178" t="s">
        <v>51</v>
      </c>
      <c r="Q137" s="182">
        <v>1.0733923356752877</v>
      </c>
      <c r="R137" s="178" t="s">
        <v>51</v>
      </c>
      <c r="S137" s="182">
        <v>1.0733923356752877</v>
      </c>
      <c r="T137" s="178" t="s">
        <v>51</v>
      </c>
      <c r="U137" s="179">
        <v>1.0768412403282728</v>
      </c>
      <c r="V137" s="178" t="s">
        <v>51</v>
      </c>
      <c r="W137" s="179">
        <v>1.0768</v>
      </c>
      <c r="X137" s="178" t="s">
        <v>51</v>
      </c>
      <c r="Y137" s="179">
        <v>1.0809876390249804</v>
      </c>
      <c r="Z137" s="178" t="s">
        <v>51</v>
      </c>
      <c r="AA137" s="179">
        <v>1.081</v>
      </c>
      <c r="AB137" s="179"/>
      <c r="AC137" s="179"/>
      <c r="AE137" s="137"/>
      <c r="AG137" s="137"/>
    </row>
    <row r="138" spans="1:33" outlineLevel="1" x14ac:dyDescent="0.25">
      <c r="C138" s="18" t="s">
        <v>266</v>
      </c>
      <c r="D138" s="18" t="s">
        <v>268</v>
      </c>
      <c r="E138" s="18" t="s">
        <v>58</v>
      </c>
      <c r="F138" s="18" t="s">
        <v>259</v>
      </c>
      <c r="G138" s="18" t="s">
        <v>133</v>
      </c>
      <c r="H138" s="175" t="s">
        <v>51</v>
      </c>
      <c r="I138" s="176">
        <v>1.0508999999999999</v>
      </c>
      <c r="J138" s="175" t="s">
        <v>51</v>
      </c>
      <c r="K138" s="177">
        <v>1.0508999999999999</v>
      </c>
      <c r="L138" s="175" t="s">
        <v>51</v>
      </c>
      <c r="M138" s="176">
        <v>1.0508999999999999</v>
      </c>
      <c r="N138" s="178" t="s">
        <v>51</v>
      </c>
      <c r="O138" s="182">
        <v>1.0525</v>
      </c>
      <c r="P138" s="178" t="s">
        <v>51</v>
      </c>
      <c r="Q138" s="182">
        <v>1.05</v>
      </c>
      <c r="R138" s="178" t="s">
        <v>51</v>
      </c>
      <c r="S138" s="182">
        <v>1.05</v>
      </c>
      <c r="T138" s="178" t="s">
        <v>51</v>
      </c>
      <c r="U138" s="179">
        <v>1.0488</v>
      </c>
      <c r="V138" s="178" t="s">
        <v>51</v>
      </c>
      <c r="W138" s="179">
        <v>1.0488</v>
      </c>
      <c r="X138" s="178" t="s">
        <v>51</v>
      </c>
      <c r="Y138" s="179">
        <v>1.0449999999999999</v>
      </c>
      <c r="Z138" s="178" t="s">
        <v>51</v>
      </c>
      <c r="AA138" s="179">
        <v>1.0449999999999999</v>
      </c>
      <c r="AB138" s="179"/>
      <c r="AC138" s="179"/>
      <c r="AE138" s="137"/>
      <c r="AG138" s="137"/>
    </row>
    <row r="139" spans="1:33" outlineLevel="1" x14ac:dyDescent="0.25">
      <c r="C139" s="18" t="s">
        <v>266</v>
      </c>
      <c r="D139" s="18" t="s">
        <v>269</v>
      </c>
      <c r="E139" s="18" t="s">
        <v>58</v>
      </c>
      <c r="F139" s="18" t="s">
        <v>259</v>
      </c>
      <c r="G139" s="18" t="s">
        <v>133</v>
      </c>
      <c r="H139" s="175" t="s">
        <v>51</v>
      </c>
      <c r="I139" s="176">
        <v>1.0394000000000001</v>
      </c>
      <c r="J139" s="175" t="s">
        <v>51</v>
      </c>
      <c r="K139" s="177">
        <v>1.0394000000000001</v>
      </c>
      <c r="L139" s="175" t="s">
        <v>51</v>
      </c>
      <c r="M139" s="176">
        <v>1.0394000000000001</v>
      </c>
      <c r="N139" s="178" t="s">
        <v>51</v>
      </c>
      <c r="O139" s="182">
        <v>1.0429999999999999</v>
      </c>
      <c r="P139" s="178" t="s">
        <v>51</v>
      </c>
      <c r="Q139" s="182">
        <v>1.0429999999999999</v>
      </c>
      <c r="R139" s="178" t="s">
        <v>51</v>
      </c>
      <c r="S139" s="182">
        <v>1.0429999999999999</v>
      </c>
      <c r="T139" s="178" t="s">
        <v>51</v>
      </c>
      <c r="U139" s="179">
        <v>1.0379</v>
      </c>
      <c r="V139" s="178" t="s">
        <v>51</v>
      </c>
      <c r="W139" s="179">
        <v>1.0379</v>
      </c>
      <c r="X139" s="178" t="s">
        <v>51</v>
      </c>
      <c r="Y139" s="179">
        <v>1.0447</v>
      </c>
      <c r="Z139" s="178" t="s">
        <v>51</v>
      </c>
      <c r="AA139" s="179">
        <v>1.0447</v>
      </c>
      <c r="AB139" s="179"/>
      <c r="AC139" s="179"/>
      <c r="AE139" s="137"/>
      <c r="AF139" s="82"/>
      <c r="AG139" s="160"/>
    </row>
    <row r="140" spans="1:33" outlineLevel="1" x14ac:dyDescent="0.25">
      <c r="C140" s="18" t="s">
        <v>266</v>
      </c>
      <c r="D140" s="18" t="s">
        <v>270</v>
      </c>
      <c r="E140" s="18" t="s">
        <v>58</v>
      </c>
      <c r="F140" s="18" t="s">
        <v>259</v>
      </c>
      <c r="G140" s="18" t="s">
        <v>133</v>
      </c>
      <c r="H140" s="175" t="s">
        <v>51</v>
      </c>
      <c r="I140" s="176">
        <v>1.0829499999999999</v>
      </c>
      <c r="J140" s="175" t="s">
        <v>51</v>
      </c>
      <c r="K140" s="177">
        <v>1.0829499999999999</v>
      </c>
      <c r="L140" s="175" t="s">
        <v>51</v>
      </c>
      <c r="M140" s="176">
        <v>1.0829499999999999</v>
      </c>
      <c r="N140" s="178" t="s">
        <v>51</v>
      </c>
      <c r="O140" s="182">
        <v>1.0806</v>
      </c>
      <c r="P140" s="178" t="s">
        <v>51</v>
      </c>
      <c r="Q140" s="182">
        <v>1.0782239470237072</v>
      </c>
      <c r="R140" s="178" t="s">
        <v>51</v>
      </c>
      <c r="S140" s="182">
        <v>1.0782239470237072</v>
      </c>
      <c r="T140" s="178" t="s">
        <v>51</v>
      </c>
      <c r="U140" s="179">
        <v>1.0775506304077396</v>
      </c>
      <c r="V140" s="178" t="s">
        <v>51</v>
      </c>
      <c r="W140" s="179">
        <v>1.0775999999999999</v>
      </c>
      <c r="X140" s="178" t="s">
        <v>51</v>
      </c>
      <c r="Y140" s="179">
        <v>1.0735613169316207</v>
      </c>
      <c r="Z140" s="178" t="s">
        <v>51</v>
      </c>
      <c r="AA140" s="179">
        <v>1.0738000000000001</v>
      </c>
      <c r="AB140" s="179"/>
      <c r="AC140" s="179"/>
      <c r="AE140" s="137"/>
      <c r="AG140" s="137"/>
    </row>
    <row r="141" spans="1:33" outlineLevel="1" x14ac:dyDescent="0.25">
      <c r="C141" s="18" t="s">
        <v>266</v>
      </c>
      <c r="D141" s="18" t="s">
        <v>271</v>
      </c>
      <c r="E141" s="18" t="s">
        <v>58</v>
      </c>
      <c r="F141" s="18" t="s">
        <v>259</v>
      </c>
      <c r="G141" s="18" t="s">
        <v>133</v>
      </c>
      <c r="H141" s="175" t="s">
        <v>51</v>
      </c>
      <c r="I141" s="176">
        <v>1.0563</v>
      </c>
      <c r="J141" s="175" t="s">
        <v>51</v>
      </c>
      <c r="K141" s="177">
        <v>1.0563</v>
      </c>
      <c r="L141" s="175" t="s">
        <v>51</v>
      </c>
      <c r="M141" s="176">
        <v>1.0563</v>
      </c>
      <c r="N141" s="178" t="s">
        <v>51</v>
      </c>
      <c r="O141" s="182">
        <v>1.0525</v>
      </c>
      <c r="P141" s="178" t="s">
        <v>51</v>
      </c>
      <c r="Q141" s="182">
        <v>1.0525</v>
      </c>
      <c r="R141" s="178" t="s">
        <v>51</v>
      </c>
      <c r="S141" s="182">
        <v>1.0525</v>
      </c>
      <c r="T141" s="178" t="s">
        <v>51</v>
      </c>
      <c r="U141" s="179">
        <v>1.0470999999999999</v>
      </c>
      <c r="V141" s="178" t="s">
        <v>51</v>
      </c>
      <c r="W141" s="179">
        <v>1.0470999999999999</v>
      </c>
      <c r="X141" s="178" t="s">
        <v>51</v>
      </c>
      <c r="Y141" s="179">
        <v>1.0483</v>
      </c>
      <c r="Z141" s="178" t="s">
        <v>51</v>
      </c>
      <c r="AA141" s="179">
        <v>1.0483</v>
      </c>
      <c r="AB141" s="179"/>
      <c r="AC141" s="179"/>
      <c r="AE141" s="137"/>
      <c r="AG141" s="137"/>
    </row>
    <row r="142" spans="1:33" outlineLevel="1" x14ac:dyDescent="0.25">
      <c r="AG142" s="137"/>
    </row>
    <row r="143" spans="1:33" x14ac:dyDescent="0.25">
      <c r="P143" s="137"/>
    </row>
    <row r="144" spans="1:33" ht="16.5" thickBot="1" x14ac:dyDescent="0.3">
      <c r="A144" s="1" t="s">
        <v>35</v>
      </c>
      <c r="B144" s="161">
        <f>MAX(B$3:B143)+0.01</f>
        <v>6.02</v>
      </c>
      <c r="C144" s="23" t="s">
        <v>272</v>
      </c>
      <c r="D144" s="23"/>
      <c r="E144" s="23"/>
      <c r="F144" s="23"/>
      <c r="G144" s="23"/>
      <c r="H144" s="23"/>
      <c r="I144" s="23"/>
      <c r="J144" s="23"/>
      <c r="K144" s="23"/>
      <c r="L144" s="23"/>
      <c r="M144" s="23"/>
      <c r="N144" s="23"/>
      <c r="O144" s="23"/>
      <c r="P144" s="23"/>
      <c r="Q144" s="23"/>
      <c r="R144" s="23"/>
    </row>
    <row r="145" spans="3:29" outlineLevel="1" x14ac:dyDescent="0.25"/>
    <row r="146" spans="3:29" ht="15.75" outlineLevel="1" x14ac:dyDescent="0.25">
      <c r="G146" s="29" t="s">
        <v>46</v>
      </c>
      <c r="I146" s="2">
        <v>2021</v>
      </c>
      <c r="J146" s="2"/>
      <c r="K146" s="2">
        <v>2021</v>
      </c>
      <c r="L146" s="2"/>
      <c r="M146" s="2">
        <v>2021</v>
      </c>
      <c r="N146" s="2"/>
      <c r="O146" s="2">
        <v>2022</v>
      </c>
      <c r="P146" s="2"/>
      <c r="Q146" s="2">
        <v>2022</v>
      </c>
      <c r="R146" s="2"/>
      <c r="S146" s="2" t="s">
        <v>105</v>
      </c>
      <c r="T146" s="2"/>
      <c r="U146" s="2" t="s">
        <v>105</v>
      </c>
      <c r="V146" s="2"/>
      <c r="W146" s="2" t="s">
        <v>106</v>
      </c>
      <c r="X146" s="2"/>
      <c r="Y146" s="2" t="s">
        <v>106</v>
      </c>
      <c r="Z146" s="2" t="s">
        <v>1</v>
      </c>
      <c r="AA146" s="2" t="s">
        <v>1</v>
      </c>
      <c r="AB146" s="2"/>
      <c r="AC146" s="2" t="s">
        <v>1</v>
      </c>
    </row>
    <row r="147" spans="3:29" ht="15.75" outlineLevel="1" x14ac:dyDescent="0.25">
      <c r="G147" s="29" t="s">
        <v>47</v>
      </c>
      <c r="I147" s="30" t="str">
        <f>"VDO "&amp;I146&amp;" - "&amp;IF(LEFT(I149,1)="F","Final",IF(LEFT(I149,1)="D","Draft",IF(LEFT(I149,2)="VD","Variation draft",IF(LEFT(I149,2)="VF","Variation final"))))</f>
        <v>VDO 2021 - Final</v>
      </c>
      <c r="J147" s="30"/>
      <c r="K147" s="30" t="str">
        <f>"VDO "&amp;K146&amp;" - "&amp;IF(LEFT(K149,1)="F","Final",IF(LEFT(K149,1)="D","Draft",IF(LEFT(K149,2)="VD","Variation draft",IF(LEFT(K149,2)="VF","Variation final"))))</f>
        <v>VDO 2021 - Variation draft</v>
      </c>
      <c r="L147" s="30"/>
      <c r="M147" s="30" t="str">
        <f>"VDO "&amp;M146&amp;" - "&amp;IF(LEFT(M149,1)="F","Final",IF(LEFT(M149,1)="D","Draft",IF(LEFT(M149,2)="VD","Variation draft",IF(LEFT(M149,2)="VF","Variation final"))))</f>
        <v>VDO 2021 - Variation final</v>
      </c>
      <c r="N147" s="30"/>
      <c r="O147" s="30" t="str">
        <f>"VDO "&amp;O146&amp;" - "&amp;IF(LEFT(O149,1)="F","Final",IF(LEFT(O149,1)="D","Draft",IF(LEFT(O149,2)="VD","Variation draft",IF(LEFT(O149,2)="VF","Variation final"))))</f>
        <v>VDO 2022 - Draft</v>
      </c>
      <c r="P147" s="30"/>
      <c r="Q147" s="30" t="str">
        <f>"VDO "&amp;Q146&amp;" - "&amp;IF(LEFT(Q149,1)="F","Final",IF(LEFT(Q149,1)="D","Draft",IF(LEFT(Q149,2)="VD","Variation draft",IF(LEFT(Q149,2)="VF","Variation final"))))</f>
        <v>VDO 2022 - Final</v>
      </c>
      <c r="R147" s="30"/>
      <c r="S147" s="30" t="str">
        <f>"VDO "&amp;S146&amp;" - "&amp;IF(LEFT(S149,1)="F","Final",IF(LEFT(S149,1)="D","Draft",IF(LEFT(S149,2)="VD","Variation draft",IF(LEFT(S149,2)="VF","Variation final"))))</f>
        <v>VDO 2022-23 - Draft</v>
      </c>
      <c r="T147" s="30"/>
      <c r="U147" s="30" t="str">
        <f>"VDO "&amp;U146&amp;" - "&amp;IF(LEFT(U149,1)="F","Final",IF(LEFT(U149,1)="D","Draft",IF(LEFT(U149,2)="VD","Variation draft",IF(LEFT(U149,2)="VF","Variation final"))))</f>
        <v>VDO 2022-23 - Final</v>
      </c>
      <c r="V147" s="30"/>
      <c r="W147" s="30" t="str">
        <f>"VDO "&amp;W146&amp;" - "&amp;IF(LEFT(W149,1)="F","Final",IF(LEFT(W149,1)="D","Draft",IF(LEFT(W149,2)="VD","Variation draft",IF(LEFT(W149,2)="VF","Variation final"))))</f>
        <v>VDO 2023-24 - Draft</v>
      </c>
      <c r="X147" s="30"/>
      <c r="Y147" s="30" t="str">
        <f>"VDO "&amp;Y146&amp;" - "&amp;IF(LEFT(Y149,1)="F","Final",IF(LEFT(Y149,1)="D","Draft",IF(LEFT(Y149,2)="VD","Variation draft",IF(LEFT(Y149,2)="VF","Variation final"))))</f>
        <v>VDO 2023-24 - Final</v>
      </c>
      <c r="Z147" s="30"/>
      <c r="AA147" s="30" t="str">
        <f>"VDO "&amp;AA146&amp;" - "&amp;IF(LEFT(AA149,1)="F","Final",IF(LEFT(AA149,1)="D","Draft",IF(LEFT(AA149,2)="VD","Variation draft",IF(LEFT(AA149,2)="VF","Variation final"))))</f>
        <v>VDO 2024-25 - Draft</v>
      </c>
      <c r="AB147" s="30"/>
      <c r="AC147" s="30" t="str">
        <f>"VDO "&amp;AC146&amp;" - "&amp;IF(LEFT(AC149,1)="F","Final",IF(LEFT(AC149,1)="D","Draft",IF(LEFT(AC149,2)="VD","Variation draft",IF(LEFT(AC149,2)="VF","Variation final"))))</f>
        <v>VDO 2024-25 - Final</v>
      </c>
    </row>
    <row r="148" spans="3:29" ht="15.75" outlineLevel="1" x14ac:dyDescent="0.25">
      <c r="C148" s="24" t="s">
        <v>273</v>
      </c>
    </row>
    <row r="149" spans="3:29" ht="15.75" outlineLevel="1" x14ac:dyDescent="0.25">
      <c r="C149" s="32" t="s">
        <v>274</v>
      </c>
      <c r="D149" s="32" t="s">
        <v>275</v>
      </c>
      <c r="E149" s="32" t="s">
        <v>276</v>
      </c>
      <c r="F149" s="32" t="s">
        <v>545</v>
      </c>
      <c r="G149" s="32" t="s">
        <v>277</v>
      </c>
      <c r="H149" s="32" t="s">
        <v>56</v>
      </c>
      <c r="I149" s="32" t="s">
        <v>110</v>
      </c>
      <c r="J149" s="32" t="s">
        <v>279</v>
      </c>
      <c r="K149" s="32" t="s">
        <v>112</v>
      </c>
      <c r="L149" s="32" t="s">
        <v>280</v>
      </c>
      <c r="M149" s="32" t="s">
        <v>114</v>
      </c>
      <c r="N149" s="32" t="s">
        <v>281</v>
      </c>
      <c r="O149" s="31" t="s">
        <v>116</v>
      </c>
      <c r="P149" s="31" t="s">
        <v>282</v>
      </c>
      <c r="Q149" s="31" t="s">
        <v>118</v>
      </c>
      <c r="R149" s="31" t="s">
        <v>283</v>
      </c>
      <c r="S149" s="31" t="s">
        <v>120</v>
      </c>
      <c r="T149" s="31" t="s">
        <v>284</v>
      </c>
      <c r="U149" s="31" t="s">
        <v>122</v>
      </c>
      <c r="V149" s="31" t="s">
        <v>285</v>
      </c>
      <c r="W149" s="32" t="s">
        <v>124</v>
      </c>
      <c r="X149" s="32" t="s">
        <v>286</v>
      </c>
      <c r="Y149" s="32" t="s">
        <v>126</v>
      </c>
      <c r="Z149" s="32" t="s">
        <v>287</v>
      </c>
      <c r="AA149" s="32" t="s">
        <v>128</v>
      </c>
      <c r="AB149" s="32" t="s">
        <v>288</v>
      </c>
      <c r="AC149" s="32" t="s">
        <v>50</v>
      </c>
    </row>
    <row r="150" spans="3:29" hidden="1" outlineLevel="1" x14ac:dyDescent="0.25">
      <c r="C150" s="18" t="s">
        <v>86</v>
      </c>
      <c r="D150" s="18" t="s">
        <v>68</v>
      </c>
      <c r="E150" s="60" t="str">
        <f>Input_Usage[[#This Row],[Profile name]]&amp;" - "&amp;Input_Usage[[#This Row],[Usage type]]</f>
        <v>Residential - small - Block 1</v>
      </c>
      <c r="F150" s="18" t="s">
        <v>66</v>
      </c>
      <c r="G150" s="18" t="s">
        <v>80</v>
      </c>
      <c r="H150" s="150" t="s">
        <v>278</v>
      </c>
      <c r="I150" s="150">
        <v>2000</v>
      </c>
      <c r="J150" s="150"/>
      <c r="K150" s="88">
        <v>2000</v>
      </c>
      <c r="L150" s="88"/>
      <c r="M150" s="88">
        <v>2000</v>
      </c>
      <c r="N150" s="88"/>
      <c r="O150" s="88">
        <v>2000</v>
      </c>
      <c r="P150" s="88"/>
      <c r="Q150" s="88">
        <v>2000</v>
      </c>
      <c r="R150" s="88"/>
      <c r="S150" s="88">
        <v>2000</v>
      </c>
      <c r="T150" s="88"/>
      <c r="U150" s="88">
        <v>2000</v>
      </c>
      <c r="V150" s="88"/>
      <c r="W150" s="88">
        <v>2000</v>
      </c>
      <c r="X150" s="88"/>
      <c r="Y150" s="88">
        <v>2000</v>
      </c>
      <c r="Z150" s="88"/>
      <c r="AA150" s="88">
        <v>2000</v>
      </c>
      <c r="AB150" s="88"/>
      <c r="AC150" s="88">
        <v>2000</v>
      </c>
    </row>
    <row r="151" spans="3:29" outlineLevel="1" x14ac:dyDescent="0.25">
      <c r="C151" s="18" t="s">
        <v>88</v>
      </c>
      <c r="D151" s="18" t="s">
        <v>68</v>
      </c>
      <c r="E151" s="60" t="str">
        <f>Input_Usage[[#This Row],[Profile name]]&amp;" - "&amp;Input_Usage[[#This Row],[Usage type]]</f>
        <v>Residential - medium - Block 1</v>
      </c>
      <c r="F151" s="18" t="s">
        <v>66</v>
      </c>
      <c r="G151" s="18" t="s">
        <v>80</v>
      </c>
      <c r="H151" s="150" t="s">
        <v>544</v>
      </c>
      <c r="I151" s="150">
        <v>4000</v>
      </c>
      <c r="J151" s="150"/>
      <c r="K151" s="187">
        <v>4000</v>
      </c>
      <c r="L151" s="187"/>
      <c r="M151" s="187">
        <v>4000</v>
      </c>
      <c r="N151" s="187"/>
      <c r="O151" s="187">
        <v>4000</v>
      </c>
      <c r="P151" s="187"/>
      <c r="Q151" s="187">
        <v>4000</v>
      </c>
      <c r="R151" s="187"/>
      <c r="S151" s="187">
        <v>4000</v>
      </c>
      <c r="T151" s="187"/>
      <c r="U151" s="187">
        <v>4000</v>
      </c>
      <c r="V151" s="187"/>
      <c r="W151" s="187">
        <v>4000</v>
      </c>
      <c r="X151" s="187"/>
      <c r="Y151" s="187">
        <v>4000</v>
      </c>
      <c r="Z151" s="187"/>
      <c r="AA151" s="187">
        <v>4000</v>
      </c>
      <c r="AB151" s="88"/>
      <c r="AC151" s="88">
        <v>4000</v>
      </c>
    </row>
    <row r="152" spans="3:29" hidden="1" outlineLevel="1" x14ac:dyDescent="0.25">
      <c r="C152" s="18" t="s">
        <v>90</v>
      </c>
      <c r="D152" s="18" t="s">
        <v>68</v>
      </c>
      <c r="E152" s="60" t="str">
        <f>Input_Usage[[#This Row],[Profile name]]&amp;" - "&amp;Input_Usage[[#This Row],[Usage type]]</f>
        <v>Residential - large - Block 1</v>
      </c>
      <c r="F152" s="18" t="s">
        <v>66</v>
      </c>
      <c r="G152" s="18" t="s">
        <v>80</v>
      </c>
      <c r="H152" s="150" t="s">
        <v>278</v>
      </c>
      <c r="I152" s="150">
        <v>4080</v>
      </c>
      <c r="J152" s="150"/>
      <c r="K152" s="88">
        <v>4080</v>
      </c>
      <c r="L152" s="88"/>
      <c r="M152" s="88">
        <v>4080</v>
      </c>
      <c r="N152" s="88"/>
      <c r="O152" s="88">
        <v>4080</v>
      </c>
      <c r="P152" s="88"/>
      <c r="Q152" s="88">
        <v>4080</v>
      </c>
      <c r="R152" s="88"/>
      <c r="S152" s="88">
        <v>4080</v>
      </c>
      <c r="T152" s="88"/>
      <c r="U152" s="88">
        <v>4080</v>
      </c>
      <c r="V152" s="88"/>
      <c r="W152" s="88">
        <v>4080</v>
      </c>
      <c r="X152" s="88"/>
      <c r="Y152" s="88">
        <v>4080</v>
      </c>
      <c r="Z152" s="88"/>
      <c r="AA152" s="88">
        <v>4080</v>
      </c>
      <c r="AB152" s="88"/>
      <c r="AC152" s="88">
        <v>4080</v>
      </c>
    </row>
    <row r="153" spans="3:29" hidden="1" outlineLevel="1" x14ac:dyDescent="0.25">
      <c r="C153" s="18" t="s">
        <v>87</v>
      </c>
      <c r="D153" s="18" t="s">
        <v>68</v>
      </c>
      <c r="E153" s="60" t="str">
        <f>Input_Usage[[#This Row],[Profile name]]&amp;" - "&amp;Input_Usage[[#This Row],[Usage type]]</f>
        <v>Small business - small - Block 1</v>
      </c>
      <c r="F153" s="18" t="s">
        <v>67</v>
      </c>
      <c r="G153" s="18" t="s">
        <v>80</v>
      </c>
      <c r="H153" s="150" t="s">
        <v>278</v>
      </c>
      <c r="I153" s="150">
        <v>4080</v>
      </c>
      <c r="J153" s="150"/>
      <c r="K153" s="88">
        <v>4080</v>
      </c>
      <c r="L153" s="88"/>
      <c r="M153" s="88">
        <v>4080</v>
      </c>
      <c r="N153" s="88"/>
      <c r="O153" s="88">
        <v>4080</v>
      </c>
      <c r="P153" s="88"/>
      <c r="Q153" s="88">
        <v>4080</v>
      </c>
      <c r="R153" s="88"/>
      <c r="S153" s="88">
        <v>4080</v>
      </c>
      <c r="T153" s="88"/>
      <c r="U153" s="88">
        <v>4080</v>
      </c>
      <c r="V153" s="88"/>
      <c r="W153" s="88">
        <v>4080</v>
      </c>
      <c r="X153" s="88"/>
      <c r="Y153" s="88">
        <v>4080</v>
      </c>
      <c r="Z153" s="88"/>
      <c r="AA153" s="88">
        <v>4080</v>
      </c>
      <c r="AB153" s="88"/>
      <c r="AC153" s="88">
        <v>4080</v>
      </c>
    </row>
    <row r="154" spans="3:29" outlineLevel="1" x14ac:dyDescent="0.25">
      <c r="C154" s="18" t="s">
        <v>89</v>
      </c>
      <c r="D154" s="18" t="s">
        <v>68</v>
      </c>
      <c r="E154" s="60" t="str">
        <f>Input_Usage[[#This Row],[Profile name]]&amp;" - "&amp;Input_Usage[[#This Row],[Usage type]]</f>
        <v>Small business - medium - Block 1</v>
      </c>
      <c r="F154" s="18" t="s">
        <v>67</v>
      </c>
      <c r="G154" s="18" t="s">
        <v>80</v>
      </c>
      <c r="H154" s="150" t="s">
        <v>544</v>
      </c>
      <c r="I154" s="150">
        <v>4080</v>
      </c>
      <c r="J154" s="150"/>
      <c r="K154" s="187">
        <v>4080</v>
      </c>
      <c r="L154" s="187"/>
      <c r="M154" s="187">
        <v>4080</v>
      </c>
      <c r="N154" s="187"/>
      <c r="O154" s="187">
        <v>4080</v>
      </c>
      <c r="P154" s="187"/>
      <c r="Q154" s="187">
        <v>4080</v>
      </c>
      <c r="R154" s="187"/>
      <c r="S154" s="187">
        <v>4080</v>
      </c>
      <c r="T154" s="187"/>
      <c r="U154" s="187">
        <v>4080</v>
      </c>
      <c r="V154" s="187"/>
      <c r="W154" s="187">
        <v>4080</v>
      </c>
      <c r="X154" s="187"/>
      <c r="Y154" s="187">
        <v>4080</v>
      </c>
      <c r="Z154" s="187"/>
      <c r="AA154" s="187">
        <v>4080</v>
      </c>
      <c r="AB154" s="88"/>
      <c r="AC154" s="88">
        <v>4080</v>
      </c>
    </row>
    <row r="155" spans="3:29" hidden="1" outlineLevel="1" x14ac:dyDescent="0.25">
      <c r="C155" s="18" t="s">
        <v>91</v>
      </c>
      <c r="D155" s="18" t="s">
        <v>68</v>
      </c>
      <c r="E155" s="60" t="str">
        <f>Input_Usage[[#This Row],[Profile name]]&amp;" - "&amp;Input_Usage[[#This Row],[Usage type]]</f>
        <v>Small business - large - Block 1</v>
      </c>
      <c r="F155" s="18" t="s">
        <v>67</v>
      </c>
      <c r="G155" s="18" t="s">
        <v>80</v>
      </c>
      <c r="H155" s="150" t="s">
        <v>278</v>
      </c>
      <c r="I155" s="150">
        <v>4080</v>
      </c>
      <c r="J155" s="150"/>
      <c r="K155" s="88">
        <v>4080</v>
      </c>
      <c r="L155" s="88"/>
      <c r="M155" s="88">
        <v>4080</v>
      </c>
      <c r="N155" s="88"/>
      <c r="O155" s="88">
        <v>4080</v>
      </c>
      <c r="P155" s="88"/>
      <c r="Q155" s="88">
        <v>4080</v>
      </c>
      <c r="R155" s="88"/>
      <c r="S155" s="88">
        <v>4080</v>
      </c>
      <c r="T155" s="88"/>
      <c r="U155" s="88">
        <v>4080</v>
      </c>
      <c r="V155" s="88"/>
      <c r="W155" s="88">
        <v>4080</v>
      </c>
      <c r="X155" s="88"/>
      <c r="Y155" s="88">
        <v>4080</v>
      </c>
      <c r="Z155" s="88"/>
      <c r="AA155" s="88">
        <v>4080</v>
      </c>
      <c r="AB155" s="88"/>
      <c r="AC155" s="88">
        <v>4080</v>
      </c>
    </row>
    <row r="156" spans="3:29" hidden="1" outlineLevel="1" x14ac:dyDescent="0.25">
      <c r="C156" s="18" t="s">
        <v>86</v>
      </c>
      <c r="D156" s="18" t="s">
        <v>70</v>
      </c>
      <c r="E156" s="60" t="str">
        <f>Input_Usage[[#This Row],[Profile name]]&amp;" - "&amp;Input_Usage[[#This Row],[Usage type]]</f>
        <v>Residential - small - Balance</v>
      </c>
      <c r="F156" s="18" t="s">
        <v>66</v>
      </c>
      <c r="G156" s="18" t="s">
        <v>80</v>
      </c>
      <c r="H156" s="150" t="s">
        <v>278</v>
      </c>
      <c r="I156" s="150">
        <v>0</v>
      </c>
      <c r="J156" s="150"/>
      <c r="K156" s="88">
        <v>0</v>
      </c>
      <c r="L156" s="88"/>
      <c r="M156" s="88">
        <v>0</v>
      </c>
      <c r="N156" s="88"/>
      <c r="O156" s="88">
        <v>0</v>
      </c>
      <c r="P156" s="88"/>
      <c r="Q156" s="88">
        <v>0</v>
      </c>
      <c r="R156" s="88"/>
      <c r="S156" s="88">
        <v>0</v>
      </c>
      <c r="T156" s="88"/>
      <c r="U156" s="88">
        <v>0</v>
      </c>
      <c r="V156" s="88"/>
      <c r="W156" s="88">
        <v>0</v>
      </c>
      <c r="X156" s="88"/>
      <c r="Y156" s="88">
        <v>0</v>
      </c>
      <c r="Z156" s="88"/>
      <c r="AA156" s="88">
        <v>0</v>
      </c>
      <c r="AB156" s="88"/>
      <c r="AC156" s="88">
        <v>0</v>
      </c>
    </row>
    <row r="157" spans="3:29" outlineLevel="1" x14ac:dyDescent="0.25">
      <c r="C157" s="18" t="s">
        <v>88</v>
      </c>
      <c r="D157" s="18" t="s">
        <v>70</v>
      </c>
      <c r="E157" s="60" t="str">
        <f>Input_Usage[[#This Row],[Profile name]]&amp;" - "&amp;Input_Usage[[#This Row],[Usage type]]</f>
        <v>Residential - medium - Balance</v>
      </c>
      <c r="F157" s="18" t="s">
        <v>66</v>
      </c>
      <c r="G157" s="18" t="s">
        <v>80</v>
      </c>
      <c r="H157" s="150" t="s">
        <v>544</v>
      </c>
      <c r="I157" s="150">
        <v>0</v>
      </c>
      <c r="J157" s="150"/>
      <c r="K157" s="187">
        <v>0</v>
      </c>
      <c r="L157" s="187"/>
      <c r="M157" s="187">
        <v>0</v>
      </c>
      <c r="N157" s="187"/>
      <c r="O157" s="187">
        <v>0</v>
      </c>
      <c r="P157" s="187"/>
      <c r="Q157" s="187">
        <v>0</v>
      </c>
      <c r="R157" s="187"/>
      <c r="S157" s="187">
        <v>0</v>
      </c>
      <c r="T157" s="187"/>
      <c r="U157" s="187">
        <v>0</v>
      </c>
      <c r="V157" s="187"/>
      <c r="W157" s="187">
        <v>0</v>
      </c>
      <c r="X157" s="187"/>
      <c r="Y157" s="187">
        <v>0</v>
      </c>
      <c r="Z157" s="187"/>
      <c r="AA157" s="187">
        <v>0</v>
      </c>
      <c r="AB157" s="88"/>
      <c r="AC157" s="88">
        <v>0</v>
      </c>
    </row>
    <row r="158" spans="3:29" hidden="1" outlineLevel="1" x14ac:dyDescent="0.25">
      <c r="C158" s="18" t="s">
        <v>90</v>
      </c>
      <c r="D158" s="18" t="s">
        <v>70</v>
      </c>
      <c r="E158" s="60" t="str">
        <f>Input_Usage[[#This Row],[Profile name]]&amp;" - "&amp;Input_Usage[[#This Row],[Usage type]]</f>
        <v>Residential - large - Balance</v>
      </c>
      <c r="F158" s="18" t="s">
        <v>66</v>
      </c>
      <c r="G158" s="18" t="s">
        <v>80</v>
      </c>
      <c r="H158" s="150" t="s">
        <v>278</v>
      </c>
      <c r="I158" s="150">
        <v>3920</v>
      </c>
      <c r="J158" s="150"/>
      <c r="K158" s="88">
        <v>3920</v>
      </c>
      <c r="L158" s="88"/>
      <c r="M158" s="88">
        <v>3920</v>
      </c>
      <c r="N158" s="88"/>
      <c r="O158" s="88">
        <v>3920</v>
      </c>
      <c r="P158" s="88"/>
      <c r="Q158" s="88">
        <v>3920</v>
      </c>
      <c r="R158" s="88"/>
      <c r="S158" s="88">
        <v>3920</v>
      </c>
      <c r="T158" s="88"/>
      <c r="U158" s="88">
        <v>3920</v>
      </c>
      <c r="V158" s="88"/>
      <c r="W158" s="88">
        <v>3920</v>
      </c>
      <c r="X158" s="88"/>
      <c r="Y158" s="88">
        <v>3920</v>
      </c>
      <c r="Z158" s="88"/>
      <c r="AA158" s="88">
        <v>3920</v>
      </c>
      <c r="AB158" s="88"/>
      <c r="AC158" s="88">
        <v>3920</v>
      </c>
    </row>
    <row r="159" spans="3:29" hidden="1" outlineLevel="1" x14ac:dyDescent="0.25">
      <c r="C159" s="18" t="s">
        <v>87</v>
      </c>
      <c r="D159" s="18" t="s">
        <v>70</v>
      </c>
      <c r="E159" s="60" t="str">
        <f>Input_Usage[[#This Row],[Profile name]]&amp;" - "&amp;Input_Usage[[#This Row],[Usage type]]</f>
        <v>Small business - small - Balance</v>
      </c>
      <c r="F159" s="18" t="s">
        <v>67</v>
      </c>
      <c r="G159" s="18" t="s">
        <v>80</v>
      </c>
      <c r="H159" s="150" t="s">
        <v>278</v>
      </c>
      <c r="I159" s="150">
        <v>5920</v>
      </c>
      <c r="J159" s="150"/>
      <c r="K159" s="88">
        <v>5920</v>
      </c>
      <c r="L159" s="88"/>
      <c r="M159" s="88">
        <v>5920</v>
      </c>
      <c r="N159" s="88"/>
      <c r="O159" s="88">
        <v>5920</v>
      </c>
      <c r="P159" s="88"/>
      <c r="Q159" s="88">
        <v>5920</v>
      </c>
      <c r="R159" s="88"/>
      <c r="S159" s="88">
        <v>5920</v>
      </c>
      <c r="T159" s="88"/>
      <c r="U159" s="88">
        <v>5920</v>
      </c>
      <c r="V159" s="88"/>
      <c r="W159" s="88">
        <v>5920</v>
      </c>
      <c r="X159" s="88"/>
      <c r="Y159" s="88">
        <v>5920</v>
      </c>
      <c r="Z159" s="88"/>
      <c r="AA159" s="88">
        <v>5920</v>
      </c>
      <c r="AB159" s="88"/>
      <c r="AC159" s="88">
        <v>5920</v>
      </c>
    </row>
    <row r="160" spans="3:29" outlineLevel="1" x14ac:dyDescent="0.25">
      <c r="C160" s="18" t="s">
        <v>89</v>
      </c>
      <c r="D160" s="18" t="s">
        <v>70</v>
      </c>
      <c r="E160" s="60" t="str">
        <f>Input_Usage[[#This Row],[Profile name]]&amp;" - "&amp;Input_Usage[[#This Row],[Usage type]]</f>
        <v>Small business - medium - Balance</v>
      </c>
      <c r="F160" s="18" t="s">
        <v>67</v>
      </c>
      <c r="G160" s="18" t="s">
        <v>80</v>
      </c>
      <c r="H160" s="150" t="s">
        <v>544</v>
      </c>
      <c r="I160" s="150">
        <v>15920</v>
      </c>
      <c r="J160" s="150"/>
      <c r="K160" s="187">
        <v>15920</v>
      </c>
      <c r="L160" s="187"/>
      <c r="M160" s="187">
        <v>15920</v>
      </c>
      <c r="N160" s="187"/>
      <c r="O160" s="187">
        <v>15920</v>
      </c>
      <c r="P160" s="187"/>
      <c r="Q160" s="187">
        <v>15920</v>
      </c>
      <c r="R160" s="187"/>
      <c r="S160" s="187">
        <v>15920</v>
      </c>
      <c r="T160" s="187"/>
      <c r="U160" s="187">
        <v>15920</v>
      </c>
      <c r="V160" s="187"/>
      <c r="W160" s="187">
        <v>15920</v>
      </c>
      <c r="X160" s="187"/>
      <c r="Y160" s="187">
        <v>15920</v>
      </c>
      <c r="Z160" s="187"/>
      <c r="AA160" s="187">
        <v>15920</v>
      </c>
      <c r="AB160" s="88"/>
      <c r="AC160" s="88">
        <v>15920</v>
      </c>
    </row>
    <row r="161" spans="3:29" hidden="1" outlineLevel="1" x14ac:dyDescent="0.25">
      <c r="C161" s="18" t="s">
        <v>91</v>
      </c>
      <c r="D161" s="18" t="s">
        <v>70</v>
      </c>
      <c r="E161" s="60" t="str">
        <f>Input_Usage[[#This Row],[Profile name]]&amp;" - "&amp;Input_Usage[[#This Row],[Usage type]]</f>
        <v>Small business - large - Balance</v>
      </c>
      <c r="F161" s="18" t="s">
        <v>67</v>
      </c>
      <c r="G161" s="18" t="s">
        <v>80</v>
      </c>
      <c r="H161" s="150" t="s">
        <v>278</v>
      </c>
      <c r="I161" s="150">
        <v>35920</v>
      </c>
      <c r="J161" s="150"/>
      <c r="K161" s="88">
        <v>35920</v>
      </c>
      <c r="L161" s="88"/>
      <c r="M161" s="88">
        <v>35920</v>
      </c>
      <c r="N161" s="88"/>
      <c r="O161" s="88">
        <v>35920</v>
      </c>
      <c r="P161" s="88"/>
      <c r="Q161" s="88">
        <v>35920</v>
      </c>
      <c r="R161" s="88"/>
      <c r="S161" s="88">
        <v>35920</v>
      </c>
      <c r="T161" s="88"/>
      <c r="U161" s="88">
        <v>35920</v>
      </c>
      <c r="V161" s="88"/>
      <c r="W161" s="88">
        <v>35920</v>
      </c>
      <c r="X161" s="88"/>
      <c r="Y161" s="88">
        <v>35920</v>
      </c>
      <c r="Z161" s="88"/>
      <c r="AA161" s="88">
        <v>35920</v>
      </c>
      <c r="AB161" s="88"/>
      <c r="AC161" s="88">
        <v>35920</v>
      </c>
    </row>
    <row r="162" spans="3:29" hidden="1" outlineLevel="1" x14ac:dyDescent="0.25">
      <c r="C162" s="18" t="s">
        <v>86</v>
      </c>
      <c r="D162" s="18" t="s">
        <v>289</v>
      </c>
      <c r="E162" s="60" t="str">
        <f>Input_Usage[[#This Row],[Profile name]]&amp;" - "&amp;Input_Usage[[#This Row],[Usage type]]</f>
        <v>Residential - small - Annual</v>
      </c>
      <c r="F162" s="18" t="s">
        <v>66</v>
      </c>
      <c r="G162" s="18" t="s">
        <v>80</v>
      </c>
      <c r="H162" s="150" t="s">
        <v>278</v>
      </c>
      <c r="I162" s="150">
        <v>2000</v>
      </c>
      <c r="J162" s="150"/>
      <c r="K162" s="88">
        <v>2000</v>
      </c>
      <c r="L162" s="88"/>
      <c r="M162" s="88">
        <v>2000</v>
      </c>
      <c r="N162" s="88"/>
      <c r="O162" s="88">
        <v>2000</v>
      </c>
      <c r="P162" s="88"/>
      <c r="Q162" s="88">
        <v>2000</v>
      </c>
      <c r="R162" s="88"/>
      <c r="S162" s="88">
        <v>2000</v>
      </c>
      <c r="T162" s="88"/>
      <c r="U162" s="88">
        <v>2000</v>
      </c>
      <c r="V162" s="88"/>
      <c r="W162" s="88">
        <v>2000</v>
      </c>
      <c r="X162" s="88"/>
      <c r="Y162" s="88">
        <v>2000</v>
      </c>
      <c r="Z162" s="88"/>
      <c r="AA162" s="88">
        <v>2000</v>
      </c>
      <c r="AB162" s="88"/>
      <c r="AC162" s="88">
        <v>2000</v>
      </c>
    </row>
    <row r="163" spans="3:29" outlineLevel="1" x14ac:dyDescent="0.25">
      <c r="C163" s="18" t="s">
        <v>88</v>
      </c>
      <c r="D163" s="18" t="s">
        <v>289</v>
      </c>
      <c r="E163" s="60" t="str">
        <f>Input_Usage[[#This Row],[Profile name]]&amp;" - "&amp;Input_Usage[[#This Row],[Usage type]]</f>
        <v>Residential - medium - Annual</v>
      </c>
      <c r="F163" s="18" t="s">
        <v>66</v>
      </c>
      <c r="G163" s="18" t="s">
        <v>80</v>
      </c>
      <c r="H163" s="150" t="s">
        <v>544</v>
      </c>
      <c r="I163" s="150">
        <v>4000</v>
      </c>
      <c r="J163" s="150"/>
      <c r="K163" s="187">
        <v>4000</v>
      </c>
      <c r="L163" s="187"/>
      <c r="M163" s="187">
        <v>4000</v>
      </c>
      <c r="N163" s="187"/>
      <c r="O163" s="187">
        <v>4000</v>
      </c>
      <c r="P163" s="187"/>
      <c r="Q163" s="187">
        <v>4000</v>
      </c>
      <c r="R163" s="187"/>
      <c r="S163" s="187">
        <v>4000</v>
      </c>
      <c r="T163" s="187"/>
      <c r="U163" s="187">
        <v>4000</v>
      </c>
      <c r="V163" s="187"/>
      <c r="W163" s="187">
        <v>4000</v>
      </c>
      <c r="X163" s="187"/>
      <c r="Y163" s="187">
        <v>4000</v>
      </c>
      <c r="Z163" s="187"/>
      <c r="AA163" s="187">
        <v>4000</v>
      </c>
      <c r="AB163" s="88"/>
      <c r="AC163" s="88">
        <v>4000</v>
      </c>
    </row>
    <row r="164" spans="3:29" hidden="1" outlineLevel="1" x14ac:dyDescent="0.25">
      <c r="C164" s="18" t="s">
        <v>90</v>
      </c>
      <c r="D164" s="18" t="s">
        <v>289</v>
      </c>
      <c r="E164" s="60" t="str">
        <f>Input_Usage[[#This Row],[Profile name]]&amp;" - "&amp;Input_Usage[[#This Row],[Usage type]]</f>
        <v>Residential - large - Annual</v>
      </c>
      <c r="F164" s="18" t="s">
        <v>66</v>
      </c>
      <c r="G164" s="18" t="s">
        <v>80</v>
      </c>
      <c r="H164" s="150" t="s">
        <v>278</v>
      </c>
      <c r="I164" s="150">
        <v>8000</v>
      </c>
      <c r="J164" s="150"/>
      <c r="K164" s="88">
        <v>8000</v>
      </c>
      <c r="L164" s="88"/>
      <c r="M164" s="88">
        <v>8000</v>
      </c>
      <c r="N164" s="88"/>
      <c r="O164" s="88">
        <v>8000</v>
      </c>
      <c r="P164" s="88"/>
      <c r="Q164" s="88">
        <v>8000</v>
      </c>
      <c r="R164" s="88"/>
      <c r="S164" s="88">
        <v>8000</v>
      </c>
      <c r="T164" s="88"/>
      <c r="U164" s="88">
        <v>8000</v>
      </c>
      <c r="V164" s="88"/>
      <c r="W164" s="88">
        <v>8000</v>
      </c>
      <c r="X164" s="88"/>
      <c r="Y164" s="88">
        <v>8000</v>
      </c>
      <c r="Z164" s="88"/>
      <c r="AA164" s="88">
        <v>8000</v>
      </c>
      <c r="AB164" s="88"/>
      <c r="AC164" s="88">
        <v>8000</v>
      </c>
    </row>
    <row r="165" spans="3:29" hidden="1" outlineLevel="1" x14ac:dyDescent="0.25">
      <c r="C165" s="18" t="s">
        <v>87</v>
      </c>
      <c r="D165" s="18" t="s">
        <v>289</v>
      </c>
      <c r="E165" s="60" t="str">
        <f>Input_Usage[[#This Row],[Profile name]]&amp;" - "&amp;Input_Usage[[#This Row],[Usage type]]</f>
        <v>Small business - small - Annual</v>
      </c>
      <c r="F165" s="18" t="s">
        <v>67</v>
      </c>
      <c r="G165" s="18" t="s">
        <v>80</v>
      </c>
      <c r="H165" s="150" t="s">
        <v>278</v>
      </c>
      <c r="I165" s="150">
        <v>10000</v>
      </c>
      <c r="J165" s="150"/>
      <c r="K165" s="88">
        <v>10000</v>
      </c>
      <c r="L165" s="88"/>
      <c r="M165" s="88">
        <v>10000</v>
      </c>
      <c r="N165" s="88"/>
      <c r="O165" s="88">
        <v>10000</v>
      </c>
      <c r="P165" s="88"/>
      <c r="Q165" s="88">
        <v>10000</v>
      </c>
      <c r="R165" s="88"/>
      <c r="S165" s="88">
        <v>10000</v>
      </c>
      <c r="T165" s="88"/>
      <c r="U165" s="88">
        <v>10000</v>
      </c>
      <c r="V165" s="88"/>
      <c r="W165" s="88">
        <v>10000</v>
      </c>
      <c r="X165" s="88"/>
      <c r="Y165" s="88">
        <v>10000</v>
      </c>
      <c r="Z165" s="88"/>
      <c r="AA165" s="88">
        <v>10000</v>
      </c>
      <c r="AB165" s="88"/>
      <c r="AC165" s="88">
        <v>10000</v>
      </c>
    </row>
    <row r="166" spans="3:29" outlineLevel="1" x14ac:dyDescent="0.25">
      <c r="C166" s="18" t="s">
        <v>89</v>
      </c>
      <c r="D166" s="18" t="s">
        <v>289</v>
      </c>
      <c r="E166" s="60" t="str">
        <f>Input_Usage[[#This Row],[Profile name]]&amp;" - "&amp;Input_Usage[[#This Row],[Usage type]]</f>
        <v>Small business - medium - Annual</v>
      </c>
      <c r="F166" s="18" t="s">
        <v>67</v>
      </c>
      <c r="G166" s="18" t="s">
        <v>80</v>
      </c>
      <c r="H166" s="150" t="s">
        <v>544</v>
      </c>
      <c r="I166" s="150">
        <v>20000</v>
      </c>
      <c r="J166" s="150"/>
      <c r="K166" s="187">
        <v>20000</v>
      </c>
      <c r="L166" s="187"/>
      <c r="M166" s="187">
        <v>20000</v>
      </c>
      <c r="N166" s="187"/>
      <c r="O166" s="187">
        <v>20000</v>
      </c>
      <c r="P166" s="187"/>
      <c r="Q166" s="187">
        <v>20000</v>
      </c>
      <c r="R166" s="187"/>
      <c r="S166" s="187">
        <v>20000</v>
      </c>
      <c r="T166" s="187"/>
      <c r="U166" s="187">
        <v>20000</v>
      </c>
      <c r="V166" s="187"/>
      <c r="W166" s="187">
        <v>20000</v>
      </c>
      <c r="X166" s="187"/>
      <c r="Y166" s="187">
        <v>20000</v>
      </c>
      <c r="Z166" s="187"/>
      <c r="AA166" s="187">
        <v>20000</v>
      </c>
      <c r="AB166" s="88"/>
      <c r="AC166" s="88">
        <v>20000</v>
      </c>
    </row>
    <row r="167" spans="3:29" hidden="1" outlineLevel="1" x14ac:dyDescent="0.25">
      <c r="C167" s="18" t="s">
        <v>91</v>
      </c>
      <c r="D167" s="18" t="s">
        <v>289</v>
      </c>
      <c r="E167" s="60" t="str">
        <f>Input_Usage[[#This Row],[Profile name]]&amp;" - "&amp;Input_Usage[[#This Row],[Usage type]]</f>
        <v>Small business - large - Annual</v>
      </c>
      <c r="F167" s="18" t="s">
        <v>67</v>
      </c>
      <c r="G167" s="18" t="s">
        <v>80</v>
      </c>
      <c r="H167" s="150" t="s">
        <v>278</v>
      </c>
      <c r="I167" s="150">
        <v>40000</v>
      </c>
      <c r="J167" s="150"/>
      <c r="K167" s="88">
        <v>40000</v>
      </c>
      <c r="L167" s="88"/>
      <c r="M167" s="88">
        <v>40000</v>
      </c>
      <c r="N167" s="88"/>
      <c r="O167" s="88">
        <v>40000</v>
      </c>
      <c r="P167" s="88"/>
      <c r="Q167" s="88">
        <v>40000</v>
      </c>
      <c r="R167" s="88"/>
      <c r="S167" s="88">
        <v>40000</v>
      </c>
      <c r="T167" s="88"/>
      <c r="U167" s="88">
        <v>40000</v>
      </c>
      <c r="V167" s="88"/>
      <c r="W167" s="88">
        <v>40000</v>
      </c>
      <c r="X167" s="88"/>
      <c r="Y167" s="88">
        <v>40000</v>
      </c>
      <c r="Z167" s="88"/>
      <c r="AA167" s="88">
        <v>40000</v>
      </c>
      <c r="AB167" s="88"/>
      <c r="AC167" s="88">
        <v>40000</v>
      </c>
    </row>
    <row r="168" spans="3:29" hidden="1" outlineLevel="1" x14ac:dyDescent="0.25">
      <c r="C168" s="42" t="s">
        <v>86</v>
      </c>
      <c r="D168" s="42" t="s">
        <v>71</v>
      </c>
      <c r="E168" s="60" t="str">
        <f>Input_Usage[[#This Row],[Profile name]]&amp;" - "&amp;Input_Usage[[#This Row],[Usage type]]</f>
        <v>Residential - small - Single rate</v>
      </c>
      <c r="F168" s="42" t="s">
        <v>66</v>
      </c>
      <c r="G168" s="42" t="s">
        <v>80</v>
      </c>
      <c r="H168" s="150" t="s">
        <v>278</v>
      </c>
      <c r="I168" s="150">
        <v>2000</v>
      </c>
      <c r="J168" s="150"/>
      <c r="K168" s="88">
        <v>2000</v>
      </c>
      <c r="L168" s="88"/>
      <c r="M168" s="88">
        <v>2000</v>
      </c>
      <c r="N168" s="88"/>
      <c r="O168" s="88">
        <v>2000</v>
      </c>
      <c r="P168" s="88"/>
      <c r="Q168" s="88">
        <v>2000</v>
      </c>
      <c r="R168" s="88"/>
      <c r="S168" s="88">
        <v>2000</v>
      </c>
      <c r="T168" s="88"/>
      <c r="U168" s="88">
        <v>2000</v>
      </c>
      <c r="V168" s="88"/>
      <c r="W168" s="88">
        <v>2000</v>
      </c>
      <c r="X168" s="88"/>
      <c r="Y168" s="88">
        <v>2000</v>
      </c>
      <c r="Z168" s="88"/>
      <c r="AA168" s="88">
        <v>2000</v>
      </c>
      <c r="AB168" s="88"/>
      <c r="AC168" s="88">
        <v>2000</v>
      </c>
    </row>
    <row r="169" spans="3:29" outlineLevel="1" x14ac:dyDescent="0.25">
      <c r="C169" s="42" t="s">
        <v>88</v>
      </c>
      <c r="D169" s="42" t="s">
        <v>71</v>
      </c>
      <c r="E169" s="60" t="str">
        <f>Input_Usage[[#This Row],[Profile name]]&amp;" - "&amp;Input_Usage[[#This Row],[Usage type]]</f>
        <v>Residential - medium - Single rate</v>
      </c>
      <c r="F169" s="42" t="s">
        <v>66</v>
      </c>
      <c r="G169" s="42" t="s">
        <v>80</v>
      </c>
      <c r="H169" s="150" t="s">
        <v>544</v>
      </c>
      <c r="I169" s="150">
        <v>4000</v>
      </c>
      <c r="J169" s="150"/>
      <c r="K169" s="187">
        <v>4000</v>
      </c>
      <c r="L169" s="187"/>
      <c r="M169" s="187">
        <v>4000</v>
      </c>
      <c r="N169" s="187"/>
      <c r="O169" s="187">
        <v>4000</v>
      </c>
      <c r="P169" s="187"/>
      <c r="Q169" s="187">
        <v>4000</v>
      </c>
      <c r="R169" s="187"/>
      <c r="S169" s="187">
        <v>4000</v>
      </c>
      <c r="T169" s="187"/>
      <c r="U169" s="187">
        <v>4000</v>
      </c>
      <c r="V169" s="187"/>
      <c r="W169" s="187">
        <v>4000</v>
      </c>
      <c r="X169" s="187"/>
      <c r="Y169" s="187">
        <v>4000</v>
      </c>
      <c r="Z169" s="187"/>
      <c r="AA169" s="187">
        <v>4000</v>
      </c>
      <c r="AB169" s="88"/>
      <c r="AC169" s="88">
        <v>4000</v>
      </c>
    </row>
    <row r="170" spans="3:29" hidden="1" outlineLevel="1" x14ac:dyDescent="0.25">
      <c r="C170" s="42" t="s">
        <v>90</v>
      </c>
      <c r="D170" s="42" t="s">
        <v>71</v>
      </c>
      <c r="E170" s="60" t="str">
        <f>Input_Usage[[#This Row],[Profile name]]&amp;" - "&amp;Input_Usage[[#This Row],[Usage type]]</f>
        <v>Residential - large - Single rate</v>
      </c>
      <c r="F170" s="42" t="s">
        <v>66</v>
      </c>
      <c r="G170" s="42" t="s">
        <v>80</v>
      </c>
      <c r="H170" s="150" t="s">
        <v>278</v>
      </c>
      <c r="I170" s="150">
        <v>8000</v>
      </c>
      <c r="J170" s="150"/>
      <c r="K170" s="88">
        <v>8000</v>
      </c>
      <c r="L170" s="88"/>
      <c r="M170" s="88">
        <v>8000</v>
      </c>
      <c r="N170" s="88"/>
      <c r="O170" s="88">
        <v>8000</v>
      </c>
      <c r="P170" s="88"/>
      <c r="Q170" s="88">
        <v>8000</v>
      </c>
      <c r="R170" s="88"/>
      <c r="S170" s="88">
        <v>8000</v>
      </c>
      <c r="T170" s="88"/>
      <c r="U170" s="88">
        <v>8000</v>
      </c>
      <c r="V170" s="88"/>
      <c r="W170" s="88">
        <v>8000</v>
      </c>
      <c r="X170" s="88"/>
      <c r="Y170" s="88">
        <v>8000</v>
      </c>
      <c r="Z170" s="88"/>
      <c r="AA170" s="88">
        <v>8000</v>
      </c>
      <c r="AB170" s="88"/>
      <c r="AC170" s="88">
        <v>8000</v>
      </c>
    </row>
    <row r="171" spans="3:29" hidden="1" outlineLevel="1" x14ac:dyDescent="0.25">
      <c r="C171" s="42" t="s">
        <v>87</v>
      </c>
      <c r="D171" s="42" t="s">
        <v>71</v>
      </c>
      <c r="E171" s="60" t="str">
        <f>Input_Usage[[#This Row],[Profile name]]&amp;" - "&amp;Input_Usage[[#This Row],[Usage type]]</f>
        <v>Small business - small - Single rate</v>
      </c>
      <c r="F171" s="42" t="s">
        <v>67</v>
      </c>
      <c r="G171" s="42" t="s">
        <v>80</v>
      </c>
      <c r="H171" s="150" t="s">
        <v>278</v>
      </c>
      <c r="I171" s="150">
        <v>10000</v>
      </c>
      <c r="J171" s="150"/>
      <c r="K171" s="88">
        <v>10000</v>
      </c>
      <c r="L171" s="88"/>
      <c r="M171" s="88">
        <v>10000</v>
      </c>
      <c r="N171" s="88"/>
      <c r="O171" s="88">
        <v>10000</v>
      </c>
      <c r="P171" s="88"/>
      <c r="Q171" s="88">
        <v>10000</v>
      </c>
      <c r="R171" s="88"/>
      <c r="S171" s="88">
        <v>10000</v>
      </c>
      <c r="T171" s="88"/>
      <c r="U171" s="88">
        <v>10000</v>
      </c>
      <c r="V171" s="88"/>
      <c r="W171" s="88">
        <v>10000</v>
      </c>
      <c r="X171" s="88"/>
      <c r="Y171" s="88">
        <v>10000</v>
      </c>
      <c r="Z171" s="88"/>
      <c r="AA171" s="88">
        <v>10000</v>
      </c>
      <c r="AB171" s="88"/>
      <c r="AC171" s="88">
        <v>10000</v>
      </c>
    </row>
    <row r="172" spans="3:29" outlineLevel="1" x14ac:dyDescent="0.25">
      <c r="C172" s="42" t="s">
        <v>89</v>
      </c>
      <c r="D172" s="42" t="s">
        <v>71</v>
      </c>
      <c r="E172" s="60" t="str">
        <f>Input_Usage[[#This Row],[Profile name]]&amp;" - "&amp;Input_Usage[[#This Row],[Usage type]]</f>
        <v>Small business - medium - Single rate</v>
      </c>
      <c r="F172" s="42" t="s">
        <v>67</v>
      </c>
      <c r="G172" s="42" t="s">
        <v>80</v>
      </c>
      <c r="H172" s="150" t="s">
        <v>544</v>
      </c>
      <c r="I172" s="150">
        <v>20000</v>
      </c>
      <c r="J172" s="150"/>
      <c r="K172" s="187">
        <v>20000</v>
      </c>
      <c r="L172" s="187"/>
      <c r="M172" s="187">
        <v>20000</v>
      </c>
      <c r="N172" s="187"/>
      <c r="O172" s="187">
        <v>20000</v>
      </c>
      <c r="P172" s="187"/>
      <c r="Q172" s="187">
        <v>20000</v>
      </c>
      <c r="R172" s="187"/>
      <c r="S172" s="187">
        <v>20000</v>
      </c>
      <c r="T172" s="187"/>
      <c r="U172" s="187">
        <v>20000</v>
      </c>
      <c r="V172" s="187"/>
      <c r="W172" s="187">
        <v>20000</v>
      </c>
      <c r="X172" s="187"/>
      <c r="Y172" s="187">
        <v>20000</v>
      </c>
      <c r="Z172" s="187"/>
      <c r="AA172" s="187">
        <v>20000</v>
      </c>
      <c r="AB172" s="88"/>
      <c r="AC172" s="88">
        <v>20000</v>
      </c>
    </row>
    <row r="173" spans="3:29" hidden="1" outlineLevel="1" x14ac:dyDescent="0.25">
      <c r="C173" s="42" t="s">
        <v>91</v>
      </c>
      <c r="D173" s="42" t="s">
        <v>71</v>
      </c>
      <c r="E173" s="60" t="str">
        <f>Input_Usage[[#This Row],[Profile name]]&amp;" - "&amp;Input_Usage[[#This Row],[Usage type]]</f>
        <v>Small business - large - Single rate</v>
      </c>
      <c r="F173" s="42" t="s">
        <v>67</v>
      </c>
      <c r="G173" s="42" t="s">
        <v>80</v>
      </c>
      <c r="H173" s="150" t="s">
        <v>278</v>
      </c>
      <c r="I173" s="150">
        <v>40000</v>
      </c>
      <c r="J173" s="150"/>
      <c r="K173" s="88">
        <v>40000</v>
      </c>
      <c r="L173" s="88"/>
      <c r="M173" s="88">
        <v>40000</v>
      </c>
      <c r="N173" s="88"/>
      <c r="O173" s="88">
        <v>40000</v>
      </c>
      <c r="P173" s="88"/>
      <c r="Q173" s="88">
        <v>40000</v>
      </c>
      <c r="R173" s="88"/>
      <c r="S173" s="88">
        <v>40000</v>
      </c>
      <c r="T173" s="88"/>
      <c r="U173" s="88">
        <v>40000</v>
      </c>
      <c r="V173" s="88"/>
      <c r="W173" s="88">
        <v>40000</v>
      </c>
      <c r="X173" s="88"/>
      <c r="Y173" s="88">
        <v>40000</v>
      </c>
      <c r="Z173" s="88"/>
      <c r="AA173" s="88">
        <v>40000</v>
      </c>
      <c r="AB173" s="88"/>
      <c r="AC173" s="88">
        <v>40000</v>
      </c>
    </row>
    <row r="174" spans="3:29" outlineLevel="1" x14ac:dyDescent="0.25">
      <c r="C174" s="42" t="s">
        <v>88</v>
      </c>
      <c r="D174" s="42" t="s">
        <v>75</v>
      </c>
      <c r="E174" s="60" t="str">
        <f>Input_Usage[[#This Row],[Profile name]]&amp;" - "&amp;Input_Usage[[#This Row],[Usage type]]</f>
        <v>Residential - medium - Controlled load</v>
      </c>
      <c r="F174" s="42" t="s">
        <v>66</v>
      </c>
      <c r="G174" s="42" t="s">
        <v>80</v>
      </c>
      <c r="H174" s="150" t="s">
        <v>544</v>
      </c>
      <c r="I174" s="150">
        <v>2000</v>
      </c>
      <c r="J174" s="150"/>
      <c r="K174" s="187">
        <v>2000</v>
      </c>
      <c r="L174" s="187"/>
      <c r="M174" s="187">
        <v>2000</v>
      </c>
      <c r="N174" s="187"/>
      <c r="O174" s="187">
        <v>2000</v>
      </c>
      <c r="P174" s="187"/>
      <c r="Q174" s="187">
        <v>2000</v>
      </c>
      <c r="R174" s="187"/>
      <c r="S174" s="187">
        <v>2000</v>
      </c>
      <c r="T174" s="187"/>
      <c r="U174" s="187">
        <v>2000</v>
      </c>
      <c r="V174" s="187"/>
      <c r="W174" s="187">
        <v>2000</v>
      </c>
      <c r="X174" s="187"/>
      <c r="Y174" s="187">
        <v>2000</v>
      </c>
      <c r="Z174" s="187"/>
      <c r="AA174" s="187">
        <v>2000</v>
      </c>
      <c r="AB174" s="88"/>
      <c r="AC174" s="88">
        <v>2000</v>
      </c>
    </row>
    <row r="175" spans="3:29" hidden="1" outlineLevel="1" x14ac:dyDescent="0.25">
      <c r="C175" s="18" t="s">
        <v>86</v>
      </c>
      <c r="D175" s="18" t="s">
        <v>73</v>
      </c>
      <c r="E175" s="60" t="str">
        <f>Input_Usage[[#This Row],[Profile name]]&amp;" - "&amp;Input_Usage[[#This Row],[Usage type]]</f>
        <v>Residential - small - Peak</v>
      </c>
      <c r="F175" s="18" t="s">
        <v>66</v>
      </c>
      <c r="G175" s="18" t="s">
        <v>82</v>
      </c>
      <c r="H175" s="150" t="s">
        <v>278</v>
      </c>
      <c r="I175" s="150" t="s">
        <v>51</v>
      </c>
      <c r="J175" s="150"/>
      <c r="K175" s="88">
        <v>660</v>
      </c>
      <c r="L175" s="88"/>
      <c r="M175" s="88">
        <v>660</v>
      </c>
      <c r="N175" s="88"/>
      <c r="O175" s="88">
        <v>660</v>
      </c>
      <c r="P175" s="88"/>
      <c r="Q175" s="88">
        <v>660</v>
      </c>
      <c r="R175" s="88"/>
      <c r="S175" s="88">
        <v>660</v>
      </c>
      <c r="T175" s="88"/>
      <c r="U175" s="88">
        <v>660</v>
      </c>
      <c r="V175" s="88"/>
      <c r="W175" s="88">
        <v>660</v>
      </c>
      <c r="X175" s="88"/>
      <c r="Y175" s="88">
        <v>660</v>
      </c>
      <c r="Z175" s="88"/>
      <c r="AA175" s="88">
        <v>660</v>
      </c>
      <c r="AB175" s="88"/>
      <c r="AC175" s="88">
        <v>660</v>
      </c>
    </row>
    <row r="176" spans="3:29" outlineLevel="1" x14ac:dyDescent="0.25">
      <c r="C176" s="18" t="s">
        <v>88</v>
      </c>
      <c r="D176" s="18" t="s">
        <v>73</v>
      </c>
      <c r="E176" s="60" t="str">
        <f>Input_Usage[[#This Row],[Profile name]]&amp;" - "&amp;Input_Usage[[#This Row],[Usage type]]</f>
        <v>Residential - medium - Peak</v>
      </c>
      <c r="F176" s="18" t="s">
        <v>66</v>
      </c>
      <c r="G176" s="18" t="s">
        <v>82</v>
      </c>
      <c r="H176" s="150" t="s">
        <v>544</v>
      </c>
      <c r="I176" s="150" t="s">
        <v>51</v>
      </c>
      <c r="J176" s="150"/>
      <c r="K176" s="187">
        <v>1320</v>
      </c>
      <c r="L176" s="187"/>
      <c r="M176" s="187">
        <v>1320</v>
      </c>
      <c r="N176" s="187"/>
      <c r="O176" s="187">
        <v>1320</v>
      </c>
      <c r="P176" s="187"/>
      <c r="Q176" s="187">
        <v>1320</v>
      </c>
      <c r="R176" s="187"/>
      <c r="S176" s="187">
        <v>1320</v>
      </c>
      <c r="T176" s="187"/>
      <c r="U176" s="187">
        <v>1320</v>
      </c>
      <c r="V176" s="187"/>
      <c r="W176" s="187">
        <v>1320</v>
      </c>
      <c r="X176" s="187"/>
      <c r="Y176" s="187">
        <v>1320</v>
      </c>
      <c r="Z176" s="187"/>
      <c r="AA176" s="187">
        <v>1320</v>
      </c>
      <c r="AB176" s="88"/>
      <c r="AC176" s="88">
        <v>1320</v>
      </c>
    </row>
    <row r="177" spans="2:29" hidden="1" outlineLevel="1" x14ac:dyDescent="0.25">
      <c r="C177" s="18" t="s">
        <v>90</v>
      </c>
      <c r="D177" s="18" t="s">
        <v>73</v>
      </c>
      <c r="E177" s="60" t="str">
        <f>Input_Usage[[#This Row],[Profile name]]&amp;" - "&amp;Input_Usage[[#This Row],[Usage type]]</f>
        <v>Residential - large - Peak</v>
      </c>
      <c r="F177" s="18" t="s">
        <v>66</v>
      </c>
      <c r="G177" s="18" t="s">
        <v>82</v>
      </c>
      <c r="H177" s="150" t="s">
        <v>278</v>
      </c>
      <c r="I177" s="150" t="s">
        <v>51</v>
      </c>
      <c r="J177" s="150"/>
      <c r="K177" s="88">
        <v>2640</v>
      </c>
      <c r="L177" s="88"/>
      <c r="M177" s="88">
        <v>2640</v>
      </c>
      <c r="N177" s="88"/>
      <c r="O177" s="88">
        <v>2640</v>
      </c>
      <c r="P177" s="88"/>
      <c r="Q177" s="88">
        <v>2640</v>
      </c>
      <c r="R177" s="88"/>
      <c r="S177" s="88">
        <v>2640</v>
      </c>
      <c r="T177" s="88"/>
      <c r="U177" s="88">
        <v>2640</v>
      </c>
      <c r="V177" s="88"/>
      <c r="W177" s="88">
        <v>2640</v>
      </c>
      <c r="X177" s="88"/>
      <c r="Y177" s="88">
        <v>2640</v>
      </c>
      <c r="Z177" s="88"/>
      <c r="AA177" s="88">
        <v>2640</v>
      </c>
      <c r="AB177" s="88"/>
      <c r="AC177" s="88">
        <v>2640</v>
      </c>
    </row>
    <row r="178" spans="2:29" hidden="1" outlineLevel="1" x14ac:dyDescent="0.25">
      <c r="C178" s="18" t="s">
        <v>87</v>
      </c>
      <c r="D178" s="18" t="s">
        <v>73</v>
      </c>
      <c r="E178" s="60" t="str">
        <f>Input_Usage[[#This Row],[Profile name]]&amp;" - "&amp;Input_Usage[[#This Row],[Usage type]]</f>
        <v>Small business - small - Peak</v>
      </c>
      <c r="F178" s="18" t="s">
        <v>67</v>
      </c>
      <c r="G178" s="18" t="s">
        <v>82</v>
      </c>
      <c r="H178" s="150" t="s">
        <v>278</v>
      </c>
      <c r="I178" s="150" t="s">
        <v>51</v>
      </c>
      <c r="J178" s="150"/>
      <c r="K178" s="88">
        <v>4900</v>
      </c>
      <c r="L178" s="88"/>
      <c r="M178" s="88">
        <v>4900</v>
      </c>
      <c r="N178" s="88"/>
      <c r="O178" s="88">
        <v>4900</v>
      </c>
      <c r="P178" s="88"/>
      <c r="Q178" s="88">
        <v>4900</v>
      </c>
      <c r="R178" s="88"/>
      <c r="S178" s="88">
        <v>4900</v>
      </c>
      <c r="T178" s="88"/>
      <c r="U178" s="88">
        <v>4900</v>
      </c>
      <c r="V178" s="88"/>
      <c r="W178" s="88">
        <v>4900</v>
      </c>
      <c r="X178" s="88"/>
      <c r="Y178" s="88">
        <v>4900</v>
      </c>
      <c r="Z178" s="88"/>
      <c r="AA178" s="88">
        <v>4900</v>
      </c>
      <c r="AB178" s="88"/>
      <c r="AC178" s="88">
        <v>4900</v>
      </c>
    </row>
    <row r="179" spans="2:29" outlineLevel="1" x14ac:dyDescent="0.25">
      <c r="C179" s="18" t="s">
        <v>89</v>
      </c>
      <c r="D179" s="18" t="s">
        <v>73</v>
      </c>
      <c r="E179" s="60" t="str">
        <f>Input_Usage[[#This Row],[Profile name]]&amp;" - "&amp;Input_Usage[[#This Row],[Usage type]]</f>
        <v>Small business - medium - Peak</v>
      </c>
      <c r="F179" s="18" t="s">
        <v>67</v>
      </c>
      <c r="G179" s="18" t="s">
        <v>82</v>
      </c>
      <c r="H179" s="150" t="s">
        <v>544</v>
      </c>
      <c r="I179" s="150" t="s">
        <v>51</v>
      </c>
      <c r="J179" s="150"/>
      <c r="K179" s="187">
        <v>9800</v>
      </c>
      <c r="L179" s="187"/>
      <c r="M179" s="187">
        <v>9800</v>
      </c>
      <c r="N179" s="187"/>
      <c r="O179" s="187">
        <v>9800</v>
      </c>
      <c r="P179" s="187"/>
      <c r="Q179" s="187">
        <v>9800</v>
      </c>
      <c r="R179" s="187"/>
      <c r="S179" s="187">
        <v>9800</v>
      </c>
      <c r="T179" s="187"/>
      <c r="U179" s="187">
        <v>9800</v>
      </c>
      <c r="V179" s="187"/>
      <c r="W179" s="187">
        <v>9800</v>
      </c>
      <c r="X179" s="187"/>
      <c r="Y179" s="187">
        <v>9800</v>
      </c>
      <c r="Z179" s="187"/>
      <c r="AA179" s="187">
        <v>9800</v>
      </c>
      <c r="AB179" s="88"/>
      <c r="AC179" s="88">
        <v>9800</v>
      </c>
    </row>
    <row r="180" spans="2:29" hidden="1" outlineLevel="1" x14ac:dyDescent="0.25">
      <c r="C180" s="18" t="s">
        <v>91</v>
      </c>
      <c r="D180" s="18" t="s">
        <v>73</v>
      </c>
      <c r="E180" s="60" t="str">
        <f>Input_Usage[[#This Row],[Profile name]]&amp;" - "&amp;Input_Usage[[#This Row],[Usage type]]</f>
        <v>Small business - large - Peak</v>
      </c>
      <c r="F180" s="18" t="s">
        <v>67</v>
      </c>
      <c r="G180" s="18" t="s">
        <v>82</v>
      </c>
      <c r="H180" s="150" t="s">
        <v>278</v>
      </c>
      <c r="I180" s="150" t="s">
        <v>51</v>
      </c>
      <c r="J180" s="150"/>
      <c r="K180" s="88">
        <v>19600</v>
      </c>
      <c r="L180" s="88"/>
      <c r="M180" s="88">
        <v>19600</v>
      </c>
      <c r="N180" s="88"/>
      <c r="O180" s="88">
        <v>19600</v>
      </c>
      <c r="P180" s="88"/>
      <c r="Q180" s="88">
        <v>19600</v>
      </c>
      <c r="R180" s="88"/>
      <c r="S180" s="88">
        <v>19600</v>
      </c>
      <c r="T180" s="88"/>
      <c r="U180" s="88">
        <v>19600</v>
      </c>
      <c r="V180" s="88"/>
      <c r="W180" s="88">
        <v>19600</v>
      </c>
      <c r="X180" s="88"/>
      <c r="Y180" s="88">
        <v>19600</v>
      </c>
      <c r="Z180" s="88"/>
      <c r="AA180" s="88">
        <v>19600</v>
      </c>
      <c r="AB180" s="88"/>
      <c r="AC180" s="88">
        <v>19600</v>
      </c>
    </row>
    <row r="181" spans="2:29" hidden="1" outlineLevel="1" x14ac:dyDescent="0.25">
      <c r="C181" s="18" t="s">
        <v>86</v>
      </c>
      <c r="D181" s="18" t="s">
        <v>74</v>
      </c>
      <c r="E181" s="60" t="str">
        <f>Input_Usage[[#This Row],[Profile name]]&amp;" - "&amp;Input_Usage[[#This Row],[Usage type]]</f>
        <v>Residential - small - Off peak</v>
      </c>
      <c r="F181" s="18" t="s">
        <v>66</v>
      </c>
      <c r="G181" s="18" t="s">
        <v>82</v>
      </c>
      <c r="H181" s="150" t="s">
        <v>278</v>
      </c>
      <c r="I181" s="150" t="s">
        <v>51</v>
      </c>
      <c r="J181" s="150"/>
      <c r="K181" s="88">
        <v>1340</v>
      </c>
      <c r="L181" s="88"/>
      <c r="M181" s="88">
        <v>1340</v>
      </c>
      <c r="N181" s="88"/>
      <c r="O181" s="88">
        <v>1340</v>
      </c>
      <c r="P181" s="88"/>
      <c r="Q181" s="88">
        <v>1340</v>
      </c>
      <c r="R181" s="88"/>
      <c r="S181" s="88">
        <v>1340</v>
      </c>
      <c r="T181" s="88"/>
      <c r="U181" s="88">
        <v>1340</v>
      </c>
      <c r="V181" s="88"/>
      <c r="W181" s="88">
        <v>1340</v>
      </c>
      <c r="X181" s="88"/>
      <c r="Y181" s="88">
        <v>1340</v>
      </c>
      <c r="Z181" s="88"/>
      <c r="AA181" s="88">
        <v>1340</v>
      </c>
      <c r="AB181" s="88"/>
      <c r="AC181" s="88">
        <v>1340</v>
      </c>
    </row>
    <row r="182" spans="2:29" outlineLevel="1" x14ac:dyDescent="0.25">
      <c r="C182" s="18" t="s">
        <v>88</v>
      </c>
      <c r="D182" s="18" t="s">
        <v>74</v>
      </c>
      <c r="E182" s="60" t="str">
        <f>Input_Usage[[#This Row],[Profile name]]&amp;" - "&amp;Input_Usage[[#This Row],[Usage type]]</f>
        <v>Residential - medium - Off peak</v>
      </c>
      <c r="F182" s="18" t="s">
        <v>66</v>
      </c>
      <c r="G182" s="18" t="s">
        <v>82</v>
      </c>
      <c r="H182" s="150" t="s">
        <v>544</v>
      </c>
      <c r="I182" s="150" t="s">
        <v>51</v>
      </c>
      <c r="J182" s="150"/>
      <c r="K182" s="187">
        <v>2680</v>
      </c>
      <c r="L182" s="187"/>
      <c r="M182" s="187">
        <v>2680</v>
      </c>
      <c r="N182" s="187"/>
      <c r="O182" s="187">
        <v>2680</v>
      </c>
      <c r="P182" s="187"/>
      <c r="Q182" s="187">
        <v>2680</v>
      </c>
      <c r="R182" s="187"/>
      <c r="S182" s="187">
        <v>2680</v>
      </c>
      <c r="T182" s="187"/>
      <c r="U182" s="187">
        <v>2680</v>
      </c>
      <c r="V182" s="187"/>
      <c r="W182" s="187">
        <v>2680</v>
      </c>
      <c r="X182" s="187"/>
      <c r="Y182" s="187">
        <v>2680</v>
      </c>
      <c r="Z182" s="187"/>
      <c r="AA182" s="187">
        <v>2680</v>
      </c>
      <c r="AB182" s="88"/>
      <c r="AC182" s="88">
        <v>2680</v>
      </c>
    </row>
    <row r="183" spans="2:29" hidden="1" outlineLevel="1" x14ac:dyDescent="0.25">
      <c r="C183" s="18" t="s">
        <v>90</v>
      </c>
      <c r="D183" s="18" t="s">
        <v>74</v>
      </c>
      <c r="E183" s="60" t="str">
        <f>Input_Usage[[#This Row],[Profile name]]&amp;" - "&amp;Input_Usage[[#This Row],[Usage type]]</f>
        <v>Residential - large - Off peak</v>
      </c>
      <c r="F183" s="18" t="s">
        <v>66</v>
      </c>
      <c r="G183" s="18" t="s">
        <v>82</v>
      </c>
      <c r="H183" s="150" t="s">
        <v>278</v>
      </c>
      <c r="I183" s="150" t="s">
        <v>51</v>
      </c>
      <c r="J183" s="150"/>
      <c r="K183" s="88">
        <v>5360</v>
      </c>
      <c r="L183" s="88"/>
      <c r="M183" s="88">
        <v>5360</v>
      </c>
      <c r="N183" s="88"/>
      <c r="O183" s="88">
        <v>5360</v>
      </c>
      <c r="P183" s="88"/>
      <c r="Q183" s="88">
        <v>5360</v>
      </c>
      <c r="R183" s="88"/>
      <c r="S183" s="88">
        <v>5360</v>
      </c>
      <c r="T183" s="88"/>
      <c r="U183" s="88">
        <v>5360</v>
      </c>
      <c r="V183" s="88"/>
      <c r="W183" s="88">
        <v>5360</v>
      </c>
      <c r="X183" s="88"/>
      <c r="Y183" s="88">
        <v>5360</v>
      </c>
      <c r="Z183" s="88"/>
      <c r="AA183" s="88">
        <v>5360</v>
      </c>
      <c r="AB183" s="88"/>
      <c r="AC183" s="88">
        <v>5360</v>
      </c>
    </row>
    <row r="184" spans="2:29" hidden="1" outlineLevel="1" x14ac:dyDescent="0.25">
      <c r="C184" s="18" t="s">
        <v>87</v>
      </c>
      <c r="D184" s="18" t="s">
        <v>74</v>
      </c>
      <c r="E184" s="60" t="str">
        <f>Input_Usage[[#This Row],[Profile name]]&amp;" - "&amp;Input_Usage[[#This Row],[Usage type]]</f>
        <v>Small business - small - Off peak</v>
      </c>
      <c r="F184" s="18" t="s">
        <v>67</v>
      </c>
      <c r="G184" s="18" t="s">
        <v>82</v>
      </c>
      <c r="H184" s="150" t="s">
        <v>278</v>
      </c>
      <c r="I184" s="150" t="s">
        <v>51</v>
      </c>
      <c r="J184" s="150"/>
      <c r="K184" s="88">
        <v>5100</v>
      </c>
      <c r="L184" s="88"/>
      <c r="M184" s="88">
        <v>5100</v>
      </c>
      <c r="N184" s="88"/>
      <c r="O184" s="88">
        <v>5100</v>
      </c>
      <c r="P184" s="88"/>
      <c r="Q184" s="88">
        <v>5100</v>
      </c>
      <c r="R184" s="88"/>
      <c r="S184" s="88">
        <v>5100</v>
      </c>
      <c r="T184" s="88"/>
      <c r="U184" s="88">
        <v>5100</v>
      </c>
      <c r="V184" s="88"/>
      <c r="W184" s="88">
        <v>5100</v>
      </c>
      <c r="X184" s="88"/>
      <c r="Y184" s="88">
        <v>5100</v>
      </c>
      <c r="Z184" s="88"/>
      <c r="AA184" s="88">
        <v>5100</v>
      </c>
      <c r="AB184" s="88"/>
      <c r="AC184" s="88">
        <v>5100</v>
      </c>
    </row>
    <row r="185" spans="2:29" outlineLevel="1" x14ac:dyDescent="0.25">
      <c r="C185" s="18" t="s">
        <v>89</v>
      </c>
      <c r="D185" s="18" t="s">
        <v>74</v>
      </c>
      <c r="E185" s="60" t="str">
        <f>Input_Usage[[#This Row],[Profile name]]&amp;" - "&amp;Input_Usage[[#This Row],[Usage type]]</f>
        <v>Small business - medium - Off peak</v>
      </c>
      <c r="F185" s="18" t="s">
        <v>67</v>
      </c>
      <c r="G185" s="18" t="s">
        <v>82</v>
      </c>
      <c r="H185" s="150" t="s">
        <v>544</v>
      </c>
      <c r="I185" s="150" t="s">
        <v>51</v>
      </c>
      <c r="J185" s="150"/>
      <c r="K185" s="187">
        <v>10200</v>
      </c>
      <c r="L185" s="187"/>
      <c r="M185" s="187">
        <v>10200</v>
      </c>
      <c r="N185" s="187"/>
      <c r="O185" s="187">
        <v>10200</v>
      </c>
      <c r="P185" s="187"/>
      <c r="Q185" s="187">
        <v>10200</v>
      </c>
      <c r="R185" s="187"/>
      <c r="S185" s="187">
        <v>10200</v>
      </c>
      <c r="T185" s="187"/>
      <c r="U185" s="187">
        <v>10200</v>
      </c>
      <c r="V185" s="187"/>
      <c r="W185" s="187">
        <v>10200</v>
      </c>
      <c r="X185" s="187"/>
      <c r="Y185" s="187">
        <v>10200</v>
      </c>
      <c r="Z185" s="187"/>
      <c r="AA185" s="187">
        <v>10200</v>
      </c>
      <c r="AB185" s="88"/>
      <c r="AC185" s="88">
        <v>10200</v>
      </c>
    </row>
    <row r="186" spans="2:29" hidden="1" outlineLevel="1" x14ac:dyDescent="0.25">
      <c r="C186" s="18" t="s">
        <v>91</v>
      </c>
      <c r="D186" s="18" t="s">
        <v>74</v>
      </c>
      <c r="E186" s="60" t="str">
        <f>Input_Usage[[#This Row],[Profile name]]&amp;" - "&amp;Input_Usage[[#This Row],[Usage type]]</f>
        <v>Small business - large - Off peak</v>
      </c>
      <c r="F186" s="18" t="s">
        <v>67</v>
      </c>
      <c r="G186" s="18" t="s">
        <v>82</v>
      </c>
      <c r="H186" s="150" t="s">
        <v>278</v>
      </c>
      <c r="I186" s="150" t="s">
        <v>51</v>
      </c>
      <c r="J186" s="150"/>
      <c r="K186" s="88">
        <v>20400</v>
      </c>
      <c r="L186" s="88"/>
      <c r="M186" s="88">
        <v>20400</v>
      </c>
      <c r="N186" s="88"/>
      <c r="O186" s="88">
        <v>20400</v>
      </c>
      <c r="P186" s="88"/>
      <c r="Q186" s="88">
        <v>20400</v>
      </c>
      <c r="R186" s="88"/>
      <c r="S186" s="88">
        <v>20400</v>
      </c>
      <c r="T186" s="88"/>
      <c r="U186" s="88">
        <v>20400</v>
      </c>
      <c r="V186" s="88"/>
      <c r="W186" s="88">
        <v>20400</v>
      </c>
      <c r="X186" s="88"/>
      <c r="Y186" s="88">
        <v>20400</v>
      </c>
      <c r="Z186" s="88"/>
      <c r="AA186" s="88">
        <v>20400</v>
      </c>
      <c r="AB186" s="88"/>
      <c r="AC186" s="88">
        <v>20400</v>
      </c>
    </row>
    <row r="188" spans="2:29" ht="16.5" thickBot="1" x14ac:dyDescent="0.3">
      <c r="B188" s="161">
        <f>MAX(B$3:B187)+0.01</f>
        <v>6.0299999999999994</v>
      </c>
      <c r="C188" s="23" t="s">
        <v>290</v>
      </c>
      <c r="D188" s="23"/>
      <c r="E188" s="23"/>
      <c r="F188" s="23"/>
      <c r="G188" s="23"/>
      <c r="H188" s="23"/>
      <c r="I188" s="23"/>
      <c r="J188" s="23"/>
      <c r="K188" s="23"/>
      <c r="L188" s="23"/>
      <c r="M188" s="23"/>
      <c r="N188" s="23"/>
      <c r="O188" s="23"/>
      <c r="P188" s="23"/>
      <c r="Q188" s="23"/>
      <c r="R188" s="23"/>
    </row>
    <row r="190" spans="2:29" ht="15.75" outlineLevel="1" x14ac:dyDescent="0.25">
      <c r="G190" s="29" t="s">
        <v>46</v>
      </c>
      <c r="H190" s="2"/>
      <c r="I190" s="2">
        <v>2021</v>
      </c>
      <c r="J190" s="2"/>
      <c r="K190" s="2">
        <v>2021</v>
      </c>
      <c r="L190" s="2"/>
      <c r="M190" s="2">
        <v>2021</v>
      </c>
      <c r="N190" s="2"/>
      <c r="O190" s="2">
        <v>2022</v>
      </c>
      <c r="P190" s="2"/>
      <c r="Q190" s="2">
        <v>2022</v>
      </c>
      <c r="R190" s="2"/>
      <c r="S190" s="2" t="s">
        <v>105</v>
      </c>
      <c r="T190" s="2"/>
      <c r="U190" s="2" t="s">
        <v>105</v>
      </c>
      <c r="V190" s="2"/>
      <c r="W190" s="168" t="s">
        <v>106</v>
      </c>
      <c r="X190" s="168"/>
      <c r="Y190" s="168" t="s">
        <v>106</v>
      </c>
      <c r="Z190" s="168"/>
      <c r="AA190" s="168" t="s">
        <v>1</v>
      </c>
      <c r="AB190" s="2"/>
      <c r="AC190" s="2" t="s">
        <v>1</v>
      </c>
    </row>
    <row r="191" spans="2:29" ht="15.75" outlineLevel="1" x14ac:dyDescent="0.25">
      <c r="G191" s="29" t="s">
        <v>47</v>
      </c>
      <c r="H191" s="30"/>
      <c r="I191" s="30" t="str">
        <f t="shared" ref="I191" si="0">"VDO "&amp;I190&amp;" - "&amp;IF(LEFT(I193,1)="F","Final",IF(LEFT(I193,1)="D","Draft",IF(LEFT(I193,2)="VD","Variation draft",IF(LEFT(I193,2)="VF","Variation final"))))</f>
        <v>VDO 2021 - Final</v>
      </c>
      <c r="J191" s="30"/>
      <c r="K191" s="30" t="str">
        <f>"VDO "&amp;K190&amp;" - "&amp;IF(LEFT(K193,1)="F","Final",IF(LEFT(K193,1)="D","Draft",IF(LEFT(K193,2)="VD","Variation draft",IF(LEFT(K193,2)="VF","Variation final"))))</f>
        <v>VDO 2021 - Variation draft</v>
      </c>
      <c r="L191" s="30"/>
      <c r="M191" s="30" t="str">
        <f>"VDO "&amp;M190&amp;" - "&amp;IF(LEFT(M193,1)="F","Final",IF(LEFT(M193,1)="D","Draft",IF(LEFT(M193,2)="VD","Variation draft",IF(LEFT(M193,2)="VF","Variation final"))))</f>
        <v>VDO 2021 - Variation final</v>
      </c>
      <c r="N191" s="30"/>
      <c r="O191" s="30" t="str">
        <f>"VDO "&amp;O190&amp;" - "&amp;IF(LEFT(O193,1)="F","Final",IF(LEFT(O193,1)="D","Draft",IF(LEFT(O193,2)="VD","Variation draft",IF(LEFT(O193,2)="VF","Variation final"))))</f>
        <v>VDO 2022 - Draft</v>
      </c>
      <c r="P191" s="30"/>
      <c r="Q191" s="30" t="str">
        <f>"VDO "&amp;Q190&amp;" - "&amp;IF(LEFT(Q193,1)="F","Final",IF(LEFT(Q193,1)="D","Draft",IF(LEFT(Q193,2)="VD","Variation draft",IF(LEFT(Q193,2)="VF","Variation final"))))</f>
        <v>VDO 2022 - Final</v>
      </c>
      <c r="R191" s="30"/>
      <c r="S191" s="30" t="str">
        <f>"VDO "&amp;S190&amp;" - "&amp;IF(LEFT(S193,1)="F","Final",IF(LEFT(S193,1)="D","Draft",IF(LEFT(S193,2)="VD","Variation draft",IF(LEFT(S193,2)="VF","Variation final"))))</f>
        <v>VDO 2022-23 - Draft</v>
      </c>
      <c r="T191" s="30"/>
      <c r="U191" s="30" t="str">
        <f>"VDO "&amp;U190&amp;" - "&amp;IF(LEFT(U193,1)="F","Final",IF(LEFT(U193,1)="D","Draft",IF(LEFT(U193,2)="VD","Variation draft",IF(LEFT(U193,2)="VF","Variation final"))))</f>
        <v>VDO 2022-23 - Final</v>
      </c>
      <c r="V191" s="30"/>
      <c r="W191" s="30" t="str">
        <f>"VDO "&amp;W190&amp;" - "&amp;IF(LEFT(W193,1)="F","Final",IF(LEFT(W193,1)="D","Draft",IF(LEFT(W193,2)="VD","Variation draft",IF(LEFT(W193,2)="VF","Variation final"))))</f>
        <v>VDO 2023-24 - Draft</v>
      </c>
      <c r="X191" s="30"/>
      <c r="Y191" s="30" t="str">
        <f>"VDO "&amp;Y190&amp;" - "&amp;IF(LEFT(Y193,1)="F","Final",IF(LEFT(Y193,1)="D","Draft",IF(LEFT(Y193,2)="VD","Variation draft",IF(LEFT(Y193,2)="VF","Variation final"))))</f>
        <v>VDO 2023-24 - Final</v>
      </c>
      <c r="Z191" s="30"/>
      <c r="AA191" s="30" t="str">
        <f>"VDO "&amp;AA190&amp;" - "&amp;IF(LEFT(AA193,1)="F","Final",IF(LEFT(AA193,1)="D","Draft",IF(LEFT(AA193,2)="VD","Variation draft",IF(LEFT(AA193,2)="VF","Variation final"))))</f>
        <v>VDO 2024-25 - Draft</v>
      </c>
      <c r="AB191" s="30"/>
      <c r="AC191" s="30" t="str">
        <f>"VDO "&amp;AC190&amp;" - "&amp;IF(LEFT(AC193,1)="F","Final",IF(LEFT(AC193,1)="D","Draft",IF(LEFT(AC193,2)="VD","Variation draft",IF(LEFT(AC193,2)="VF","Variation final"))))</f>
        <v>VDO 2024-25 - Final</v>
      </c>
    </row>
    <row r="192" spans="2:29" ht="15.75" outlineLevel="1" x14ac:dyDescent="0.25">
      <c r="C192" s="24" t="s">
        <v>291</v>
      </c>
    </row>
    <row r="193" spans="3:29" ht="15.75" outlineLevel="1" x14ac:dyDescent="0.25">
      <c r="C193" s="32" t="s">
        <v>48</v>
      </c>
      <c r="D193" s="32" t="s">
        <v>49</v>
      </c>
      <c r="E193" s="32" t="s">
        <v>108</v>
      </c>
      <c r="F193" s="32" t="s">
        <v>56</v>
      </c>
      <c r="G193" s="32" t="s">
        <v>57</v>
      </c>
      <c r="H193" s="32" t="s">
        <v>278</v>
      </c>
      <c r="I193" s="32" t="s">
        <v>110</v>
      </c>
      <c r="J193" s="32" t="s">
        <v>279</v>
      </c>
      <c r="K193" s="32" t="s">
        <v>112</v>
      </c>
      <c r="L193" s="32" t="s">
        <v>280</v>
      </c>
      <c r="M193" s="32" t="s">
        <v>114</v>
      </c>
      <c r="N193" s="32" t="s">
        <v>281</v>
      </c>
      <c r="O193" s="31" t="s">
        <v>116</v>
      </c>
      <c r="P193" s="31" t="s">
        <v>282</v>
      </c>
      <c r="Q193" s="31" t="s">
        <v>118</v>
      </c>
      <c r="R193" s="31" t="s">
        <v>283</v>
      </c>
      <c r="S193" s="31" t="s">
        <v>120</v>
      </c>
      <c r="T193" s="31" t="s">
        <v>284</v>
      </c>
      <c r="U193" s="31" t="s">
        <v>122</v>
      </c>
      <c r="V193" s="31" t="s">
        <v>285</v>
      </c>
      <c r="W193" s="32" t="s">
        <v>124</v>
      </c>
      <c r="X193" s="32" t="s">
        <v>286</v>
      </c>
      <c r="Y193" s="32" t="s">
        <v>126</v>
      </c>
      <c r="Z193" s="32" t="s">
        <v>287</v>
      </c>
      <c r="AA193" s="32" t="s">
        <v>128</v>
      </c>
      <c r="AB193" s="32" t="s">
        <v>288</v>
      </c>
      <c r="AC193" s="32" t="s">
        <v>50</v>
      </c>
    </row>
    <row r="194" spans="3:29" outlineLevel="1" x14ac:dyDescent="0.25">
      <c r="C194" s="42" t="s">
        <v>83</v>
      </c>
      <c r="D194" s="42" t="s">
        <v>201</v>
      </c>
      <c r="E194" s="42" t="s">
        <v>51</v>
      </c>
      <c r="F194" s="18" t="s">
        <v>292</v>
      </c>
      <c r="G194" s="18" t="s">
        <v>133</v>
      </c>
      <c r="H194" s="150" t="s">
        <v>278</v>
      </c>
      <c r="I194" s="181"/>
      <c r="J194" s="181"/>
      <c r="K194" s="181"/>
      <c r="L194" s="181"/>
      <c r="M194" s="181"/>
      <c r="N194" s="181"/>
      <c r="O194" s="181">
        <v>35.75</v>
      </c>
      <c r="P194" s="181"/>
      <c r="Q194" s="181">
        <v>35.75</v>
      </c>
      <c r="R194" s="181"/>
      <c r="S194" s="188">
        <f>Q78</f>
        <v>34.44</v>
      </c>
      <c r="T194" s="188"/>
      <c r="U194" s="188">
        <v>34.44</v>
      </c>
      <c r="V194" s="188"/>
      <c r="W194" s="188">
        <v>35.46</v>
      </c>
      <c r="X194" s="188"/>
      <c r="Y194" s="188">
        <v>35.46</v>
      </c>
      <c r="Z194" s="188"/>
      <c r="AA194" s="188">
        <v>54.83</v>
      </c>
      <c r="AB194" s="188"/>
      <c r="AC194" s="188"/>
    </row>
    <row r="195" spans="3:29" outlineLevel="1" x14ac:dyDescent="0.25">
      <c r="C195" s="42" t="s">
        <v>83</v>
      </c>
      <c r="D195" s="42" t="s">
        <v>205</v>
      </c>
      <c r="E195" s="42" t="s">
        <v>51</v>
      </c>
      <c r="F195" s="18" t="s">
        <v>259</v>
      </c>
      <c r="G195" s="18" t="s">
        <v>133</v>
      </c>
      <c r="H195" s="150" t="s">
        <v>278</v>
      </c>
      <c r="I195" s="179"/>
      <c r="J195" s="179"/>
      <c r="K195" s="179"/>
      <c r="L195" s="179"/>
      <c r="M195" s="179"/>
      <c r="N195" s="179"/>
      <c r="O195" s="179">
        <v>0.18540000000000001</v>
      </c>
      <c r="P195" s="179"/>
      <c r="Q195" s="179">
        <v>0.18540000000000001</v>
      </c>
      <c r="R195" s="179"/>
      <c r="S195" s="179">
        <v>0.18640000000000001</v>
      </c>
      <c r="T195" s="179"/>
      <c r="U195" s="189">
        <v>0.18640000000000001</v>
      </c>
      <c r="V195" s="189"/>
      <c r="W195" s="189">
        <v>0.188</v>
      </c>
      <c r="X195" s="188"/>
      <c r="Y195" s="189">
        <v>0.188</v>
      </c>
      <c r="Z195" s="189"/>
      <c r="AA195" s="189">
        <v>0.18959999999999999</v>
      </c>
      <c r="AB195" s="189"/>
      <c r="AC195" s="189"/>
    </row>
    <row r="196" spans="3:29" outlineLevel="1" x14ac:dyDescent="0.25">
      <c r="C196" s="42" t="s">
        <v>83</v>
      </c>
      <c r="D196" s="42" t="s">
        <v>202</v>
      </c>
      <c r="E196" s="42" t="s">
        <v>51</v>
      </c>
      <c r="F196" s="18" t="s">
        <v>292</v>
      </c>
      <c r="G196" s="18" t="s">
        <v>133</v>
      </c>
      <c r="H196" s="150" t="s">
        <v>278</v>
      </c>
      <c r="I196" s="183"/>
      <c r="J196" s="183"/>
      <c r="K196" s="183"/>
      <c r="L196" s="183"/>
      <c r="M196" s="183"/>
      <c r="N196" s="183"/>
      <c r="O196" s="183">
        <v>40</v>
      </c>
      <c r="P196" s="183"/>
      <c r="Q196" s="183">
        <v>40</v>
      </c>
      <c r="R196" s="183"/>
      <c r="S196" s="183">
        <v>40</v>
      </c>
      <c r="T196" s="183"/>
      <c r="U196" s="188">
        <v>40</v>
      </c>
      <c r="V196" s="188"/>
      <c r="W196" s="188">
        <v>40</v>
      </c>
      <c r="X196" s="188"/>
      <c r="Y196" s="188">
        <v>40</v>
      </c>
      <c r="Z196" s="188"/>
      <c r="AA196" s="188">
        <v>40</v>
      </c>
      <c r="AB196" s="188"/>
      <c r="AC196" s="188"/>
    </row>
    <row r="197" spans="3:29" outlineLevel="1" x14ac:dyDescent="0.25">
      <c r="C197" s="42" t="s">
        <v>83</v>
      </c>
      <c r="D197" s="42" t="s">
        <v>207</v>
      </c>
      <c r="E197" s="42" t="s">
        <v>51</v>
      </c>
      <c r="F197" s="18" t="s">
        <v>259</v>
      </c>
      <c r="G197" s="18" t="s">
        <v>133</v>
      </c>
      <c r="H197" s="150" t="s">
        <v>278</v>
      </c>
      <c r="I197" s="179"/>
      <c r="J197" s="179"/>
      <c r="K197" s="179"/>
      <c r="L197" s="179"/>
      <c r="M197" s="179"/>
      <c r="N197" s="179"/>
      <c r="O197" s="190">
        <v>0.28799999999999998</v>
      </c>
      <c r="P197" s="190"/>
      <c r="Q197" s="190">
        <v>0.28799999999999998</v>
      </c>
      <c r="R197" s="190"/>
      <c r="S197" s="179">
        <v>0.27260000000000001</v>
      </c>
      <c r="T197" s="179"/>
      <c r="U197" s="189">
        <v>0.27260000000000001</v>
      </c>
      <c r="V197" s="189"/>
      <c r="W197" s="189">
        <v>0.21779999999999999</v>
      </c>
      <c r="X197" s="188"/>
      <c r="Y197" s="189">
        <v>0.21779999999999999</v>
      </c>
      <c r="Z197" s="189"/>
      <c r="AA197" s="189">
        <v>0.1714</v>
      </c>
      <c r="AB197" s="189"/>
      <c r="AC197" s="189"/>
    </row>
    <row r="198" spans="3:29" outlineLevel="1" x14ac:dyDescent="0.25">
      <c r="C198" s="42" t="s">
        <v>83</v>
      </c>
      <c r="D198" s="42" t="s">
        <v>199</v>
      </c>
      <c r="E198" s="42" t="s">
        <v>51</v>
      </c>
      <c r="F198" s="18" t="s">
        <v>292</v>
      </c>
      <c r="G198" s="18" t="s">
        <v>133</v>
      </c>
      <c r="H198" s="150" t="s">
        <v>278</v>
      </c>
      <c r="I198" s="183"/>
      <c r="J198" s="183"/>
      <c r="K198" s="183"/>
      <c r="L198" s="183"/>
      <c r="M198" s="183"/>
      <c r="N198" s="183"/>
      <c r="O198" s="190">
        <v>32.379354863483861</v>
      </c>
      <c r="P198" s="190"/>
      <c r="Q198" s="190">
        <v>32.379354863483861</v>
      </c>
      <c r="R198" s="190"/>
      <c r="S198" s="183">
        <f>Q77</f>
        <v>56.939318273848677</v>
      </c>
      <c r="T198" s="183"/>
      <c r="U198" s="188">
        <v>56.939318273848677</v>
      </c>
      <c r="V198" s="188"/>
      <c r="W198" s="188">
        <v>73.62</v>
      </c>
      <c r="X198" s="188"/>
      <c r="Y198" s="188">
        <v>73.62</v>
      </c>
      <c r="Z198" s="188"/>
      <c r="AA198" s="188">
        <v>68.562227396360115</v>
      </c>
      <c r="AB198" s="188"/>
      <c r="AC198" s="188"/>
    </row>
    <row r="199" spans="3:29" outlineLevel="1" x14ac:dyDescent="0.25">
      <c r="C199" s="42" t="s">
        <v>83</v>
      </c>
      <c r="D199" s="42" t="s">
        <v>203</v>
      </c>
      <c r="E199" s="42" t="s">
        <v>51</v>
      </c>
      <c r="F199" s="18" t="s">
        <v>259</v>
      </c>
      <c r="G199" s="18" t="s">
        <v>133</v>
      </c>
      <c r="H199" s="150" t="s">
        <v>278</v>
      </c>
      <c r="I199" s="179"/>
      <c r="J199" s="179"/>
      <c r="K199" s="179"/>
      <c r="L199" s="179"/>
      <c r="M199" s="179"/>
      <c r="N199" s="179"/>
      <c r="O199" s="179">
        <v>0.17255000000000001</v>
      </c>
      <c r="P199" s="179"/>
      <c r="Q199" s="179">
        <v>0.17255000000000001</v>
      </c>
      <c r="R199" s="179"/>
      <c r="S199" s="191">
        <f>Q80</f>
        <v>0.17255000000000001</v>
      </c>
      <c r="T199" s="192"/>
      <c r="U199" s="189">
        <v>0.17255000000000001</v>
      </c>
      <c r="V199" s="189"/>
      <c r="W199" s="189">
        <v>0.16113</v>
      </c>
      <c r="X199" s="189"/>
      <c r="Y199" s="189">
        <v>0.16113</v>
      </c>
      <c r="Z199" s="189"/>
      <c r="AA199" s="189">
        <v>0.16306999999999999</v>
      </c>
      <c r="AB199" s="189"/>
      <c r="AC199" s="189"/>
    </row>
    <row r="200" spans="3:29" outlineLevel="1" x14ac:dyDescent="0.25"/>
    <row r="201" spans="3:29" ht="18.75" hidden="1" customHeight="1" outlineLevel="1" x14ac:dyDescent="0.25"/>
    <row r="202" spans="3:29" ht="15.75" hidden="1" outlineLevel="1" x14ac:dyDescent="0.25">
      <c r="G202" s="29" t="s">
        <v>46</v>
      </c>
      <c r="H202" s="2"/>
      <c r="I202" s="2">
        <v>2021</v>
      </c>
      <c r="J202" s="2"/>
      <c r="K202" s="2">
        <v>2021</v>
      </c>
      <c r="L202" s="2"/>
      <c r="M202" s="2">
        <v>2021</v>
      </c>
      <c r="N202" s="2"/>
      <c r="O202" s="2">
        <v>2022</v>
      </c>
      <c r="P202" s="2"/>
      <c r="Q202" s="2">
        <v>2022</v>
      </c>
      <c r="R202" s="2"/>
      <c r="S202" s="2" t="s">
        <v>105</v>
      </c>
      <c r="T202" s="2"/>
      <c r="U202" s="2" t="s">
        <v>105</v>
      </c>
      <c r="V202" s="2"/>
      <c r="W202" s="2" t="s">
        <v>106</v>
      </c>
      <c r="X202" s="2"/>
      <c r="Y202" s="2" t="s">
        <v>106</v>
      </c>
      <c r="Z202" s="2"/>
      <c r="AA202" s="2" t="s">
        <v>1</v>
      </c>
      <c r="AB202" s="2"/>
      <c r="AC202" s="2" t="s">
        <v>1</v>
      </c>
    </row>
    <row r="203" spans="3:29" ht="15.75" hidden="1" outlineLevel="1" x14ac:dyDescent="0.25">
      <c r="G203" s="29" t="s">
        <v>47</v>
      </c>
      <c r="H203" s="30"/>
      <c r="I203" s="30" t="str">
        <f>"VDO "&amp;I202&amp;" - "&amp;IF(LEFT(I205,1)="F","Final",IF(LEFT(I205,1)="D","Draft",IF(LEFT(I205,2)="VD","Variation draft",IF(LEFT(I205,2)="VF","Variation final"))))</f>
        <v>VDO 2021 - Final</v>
      </c>
      <c r="J203" s="30"/>
      <c r="K203" s="30" t="str">
        <f>"VDO "&amp;K202&amp;" - "&amp;IF(LEFT(K205,1)="F","Final",IF(LEFT(K205,1)="D","Draft",IF(LEFT(K205,2)="VD","Variation draft",IF(LEFT(K205,2)="VF","Variation final"))))</f>
        <v>VDO 2021 - Variation draft</v>
      </c>
      <c r="L203" s="30"/>
      <c r="M203" s="30" t="str">
        <f>"VDO "&amp;M202&amp;" - "&amp;IF(LEFT(M205,1)="F","Final",IF(LEFT(M205,1)="D","Draft",IF(LEFT(M205,2)="VD","Variation draft",IF(LEFT(M205,2)="VF","Variation final"))))</f>
        <v>VDO 2021 - Variation final</v>
      </c>
      <c r="N203" s="30"/>
      <c r="O203" s="30" t="str">
        <f>"VDO "&amp;O202&amp;" - "&amp;IF(LEFT(O205,1)="F","Final",IF(LEFT(O205,1)="D","Draft",IF(LEFT(O205,2)="VD","Variation draft",IF(LEFT(O205,2)="VF","Variation final"))))</f>
        <v>VDO 2022 - Draft</v>
      </c>
      <c r="P203" s="30"/>
      <c r="Q203" s="30" t="str">
        <f>"VDO "&amp;Q202&amp;" - "&amp;IF(LEFT(Q205,1)="F","Final",IF(LEFT(Q205,1)="D","Draft",IF(LEFT(Q205,2)="VD","Variation draft",IF(LEFT(Q205,2)="VF","Variation final"))))</f>
        <v>VDO 2022 - Final</v>
      </c>
      <c r="R203" s="30"/>
      <c r="S203" s="30" t="str">
        <f>"VDO "&amp;S202&amp;" - "&amp;IF(LEFT(S205,1)="F","Final",IF(LEFT(S205,1)="D","Draft",IF(LEFT(S205,2)="VD","Variation draft",IF(LEFT(S205,2)="VF","Variation final"))))</f>
        <v>VDO 2022-23 - Draft</v>
      </c>
      <c r="T203" s="30"/>
      <c r="U203" s="30" t="str">
        <f>"VDO "&amp;U202&amp;" - "&amp;IF(LEFT(U205,1)="F","Final",IF(LEFT(U205,1)="D","Draft",IF(LEFT(U205,2)="VD","Variation draft",IF(LEFT(U205,2)="VF","Variation final"))))</f>
        <v>VDO 2022-23 - Final</v>
      </c>
      <c r="V203" s="30"/>
      <c r="W203" s="30" t="str">
        <f>"VDO "&amp;W202&amp;" - "&amp;IF(LEFT(W205,1)="F","Final",IF(LEFT(W205,1)="D","Draft",IF(LEFT(W205,2)="VD","Variation draft",IF(LEFT(W205,2)="VF","Variation final"))))</f>
        <v>VDO 2023-24 - Draft</v>
      </c>
      <c r="X203" s="30"/>
      <c r="Y203" s="30" t="str">
        <f>"VDO "&amp;Y202&amp;" - "&amp;IF(LEFT(Y205,1)="F","Final",IF(LEFT(Y205,1)="D","Draft",IF(LEFT(Y205,2)="VD","Variation draft",IF(LEFT(Y205,2)="VF","Variation final"))))</f>
        <v>VDO 2023-24 - Final</v>
      </c>
      <c r="Z203" s="30"/>
      <c r="AA203" s="30" t="str">
        <f>"VDO "&amp;AA202&amp;" - "&amp;IF(LEFT(AA205,1)="F","Final",IF(LEFT(AA205,1)="D","Draft",IF(LEFT(AA205,2)="VD","Variation draft",IF(LEFT(AA205,2)="VF","Variation final"))))</f>
        <v>VDO 2024-25 - Draft</v>
      </c>
      <c r="AB203" s="30"/>
      <c r="AC203" s="30" t="str">
        <f>"VDO "&amp;AC202&amp;" - "&amp;IF(LEFT(AC205,1)="F","Final",IF(LEFT(AC205,1)="D","Draft",IF(LEFT(AC205,2)="VD","Variation draft",IF(LEFT(AC205,2)="VF","Variation final"))))</f>
        <v>VDO 2024-25 - Final</v>
      </c>
    </row>
    <row r="204" spans="3:29" ht="15.75" hidden="1" outlineLevel="1" x14ac:dyDescent="0.25">
      <c r="C204" s="24" t="s">
        <v>293</v>
      </c>
    </row>
    <row r="205" spans="3:29" ht="15.75" hidden="1" outlineLevel="1" x14ac:dyDescent="0.25">
      <c r="C205" s="32" t="s">
        <v>294</v>
      </c>
      <c r="D205" s="94" t="s">
        <v>295</v>
      </c>
      <c r="E205" s="32" t="s">
        <v>56</v>
      </c>
      <c r="F205" s="32" t="s">
        <v>278</v>
      </c>
      <c r="G205" s="32" t="s">
        <v>279</v>
      </c>
      <c r="H205" s="32" t="s">
        <v>280</v>
      </c>
      <c r="I205" s="32" t="s">
        <v>110</v>
      </c>
      <c r="J205" s="32" t="s">
        <v>281</v>
      </c>
      <c r="K205" s="32" t="s">
        <v>112</v>
      </c>
      <c r="L205" s="32" t="s">
        <v>282</v>
      </c>
      <c r="M205" s="32" t="s">
        <v>114</v>
      </c>
      <c r="N205" s="32" t="s">
        <v>283</v>
      </c>
      <c r="O205" s="83" t="s">
        <v>116</v>
      </c>
      <c r="P205" s="32" t="s">
        <v>284</v>
      </c>
      <c r="Q205" s="83" t="s">
        <v>118</v>
      </c>
      <c r="R205" s="32" t="s">
        <v>285</v>
      </c>
      <c r="S205" s="83" t="s">
        <v>120</v>
      </c>
      <c r="T205" s="32" t="s">
        <v>286</v>
      </c>
      <c r="U205" s="83" t="s">
        <v>122</v>
      </c>
      <c r="V205" s="32" t="s">
        <v>287</v>
      </c>
      <c r="W205" s="31" t="s">
        <v>124</v>
      </c>
      <c r="X205" s="32" t="s">
        <v>288</v>
      </c>
      <c r="Y205" s="32" t="s">
        <v>126</v>
      </c>
      <c r="Z205" s="32" t="s">
        <v>296</v>
      </c>
      <c r="AA205" s="32" t="s">
        <v>128</v>
      </c>
      <c r="AB205" s="32" t="s">
        <v>297</v>
      </c>
      <c r="AC205" s="32" t="s">
        <v>50</v>
      </c>
    </row>
    <row r="206" spans="3:29" hidden="1" outlineLevel="1" x14ac:dyDescent="0.25">
      <c r="C206" s="71" t="s">
        <v>298</v>
      </c>
      <c r="D206" s="71" t="s">
        <v>299</v>
      </c>
      <c r="E206" s="76" t="s">
        <v>300</v>
      </c>
      <c r="F206" s="18" t="s">
        <v>278</v>
      </c>
      <c r="G206" s="18" t="s">
        <v>278</v>
      </c>
      <c r="H206" s="150" t="s">
        <v>278</v>
      </c>
      <c r="I206" s="2">
        <v>365</v>
      </c>
      <c r="J206" s="2"/>
      <c r="K206" s="2">
        <v>365</v>
      </c>
      <c r="L206" s="2"/>
      <c r="M206" s="2">
        <v>365</v>
      </c>
      <c r="N206" s="2"/>
      <c r="O206" s="2">
        <v>365</v>
      </c>
      <c r="P206" s="2"/>
      <c r="Q206" s="2">
        <v>365</v>
      </c>
      <c r="R206" s="2"/>
      <c r="S206" s="2">
        <v>365</v>
      </c>
      <c r="T206" s="2"/>
      <c r="U206" s="2">
        <v>365</v>
      </c>
      <c r="V206" s="2"/>
      <c r="W206" s="2">
        <v>365</v>
      </c>
      <c r="X206" s="2"/>
      <c r="Y206" s="2">
        <v>365</v>
      </c>
      <c r="Z206" s="2"/>
      <c r="AA206" s="2">
        <v>365</v>
      </c>
      <c r="AB206" s="2"/>
      <c r="AC206" s="2">
        <v>365</v>
      </c>
    </row>
    <row r="207" spans="3:29" hidden="1" outlineLevel="1" x14ac:dyDescent="0.25">
      <c r="C207" s="71" t="s">
        <v>298</v>
      </c>
      <c r="D207" s="71" t="s">
        <v>301</v>
      </c>
      <c r="E207" s="76" t="s">
        <v>300</v>
      </c>
      <c r="F207" s="18" t="s">
        <v>278</v>
      </c>
      <c r="G207" s="18" t="s">
        <v>278</v>
      </c>
      <c r="H207" s="150" t="s">
        <v>278</v>
      </c>
      <c r="I207" s="2">
        <v>365</v>
      </c>
      <c r="J207" s="2"/>
      <c r="K207" s="2">
        <v>62</v>
      </c>
      <c r="L207" s="2"/>
      <c r="M207" s="2">
        <v>62</v>
      </c>
      <c r="N207" s="2"/>
      <c r="O207" s="2">
        <v>181</v>
      </c>
      <c r="P207" s="2"/>
      <c r="Q207" s="2">
        <v>181</v>
      </c>
      <c r="R207" s="2"/>
      <c r="S207" s="2">
        <v>365</v>
      </c>
      <c r="T207" s="2"/>
      <c r="U207" s="2">
        <v>365</v>
      </c>
      <c r="V207" s="2"/>
      <c r="W207" s="2">
        <v>365</v>
      </c>
      <c r="X207" s="2"/>
      <c r="Y207" s="2">
        <v>366</v>
      </c>
      <c r="Z207" s="2"/>
      <c r="AA207" s="2">
        <v>365</v>
      </c>
      <c r="AB207" s="2"/>
      <c r="AC207" s="2">
        <v>365</v>
      </c>
    </row>
    <row r="208" spans="3:29" hidden="1" outlineLevel="1" x14ac:dyDescent="0.25"/>
    <row r="209" spans="3:29" ht="15.75" outlineLevel="1" x14ac:dyDescent="0.25">
      <c r="G209" s="29" t="s">
        <v>46</v>
      </c>
      <c r="H209" s="2"/>
      <c r="I209" s="2">
        <v>2021</v>
      </c>
      <c r="J209" s="2"/>
      <c r="K209" s="2">
        <v>2021</v>
      </c>
      <c r="L209" s="2"/>
      <c r="M209" s="2">
        <v>2021</v>
      </c>
      <c r="N209" s="2"/>
      <c r="O209" s="2">
        <v>2022</v>
      </c>
      <c r="P209" s="2"/>
      <c r="Q209" s="2">
        <v>2022</v>
      </c>
      <c r="R209" s="2"/>
      <c r="S209" s="2" t="s">
        <v>105</v>
      </c>
      <c r="T209" s="2"/>
      <c r="U209" s="2" t="s">
        <v>105</v>
      </c>
      <c r="V209" s="2"/>
      <c r="W209" s="2" t="s">
        <v>106</v>
      </c>
      <c r="X209" s="2"/>
      <c r="Y209" s="2" t="s">
        <v>106</v>
      </c>
      <c r="Z209" s="2"/>
      <c r="AA209" s="2" t="s">
        <v>1</v>
      </c>
      <c r="AB209" s="2"/>
      <c r="AC209" s="2" t="s">
        <v>1</v>
      </c>
    </row>
    <row r="210" spans="3:29" ht="15.75" outlineLevel="1" x14ac:dyDescent="0.25">
      <c r="G210" s="29" t="s">
        <v>47</v>
      </c>
      <c r="H210" s="30"/>
      <c r="I210" s="30" t="str">
        <f>"VDO "&amp;I209&amp;" - "&amp;IF(LEFT(I212,1)="F","Final",IF(LEFT(I212,1)="D","Draft",IF(LEFT(I212,2)="VD","Variation draft",IF(LEFT(I212,2)="VF","Variation final"))))</f>
        <v>VDO 2021 - Final</v>
      </c>
      <c r="J210" s="30"/>
      <c r="K210" s="30" t="str">
        <f>"VDO "&amp;K209&amp;" - "&amp;IF(LEFT(K212,1)="F","Final",IF(LEFT(K212,1)="D","Draft",IF(LEFT(K212,2)="VD","Variation draft",IF(LEFT(K212,2)="VF","Variation final"))))</f>
        <v>VDO 2021 - Variation draft</v>
      </c>
      <c r="L210" s="30"/>
      <c r="M210" s="30" t="str">
        <f>"VDO "&amp;M209&amp;" - "&amp;IF(LEFT(M212,1)="F","Final",IF(LEFT(M212,1)="D","Draft",IF(LEFT(M212,2)="VD","Variation draft",IF(LEFT(M212,2)="VF","Variation final"))))</f>
        <v>VDO 2021 - Variation final</v>
      </c>
      <c r="N210" s="30"/>
      <c r="O210" s="30" t="str">
        <f>"VDO "&amp;O209&amp;" - "&amp;IF(LEFT(O212,1)="F","Final",IF(LEFT(O212,1)="D","Draft",IF(LEFT(O212,2)="VD","Variation draft",IF(LEFT(O212,2)="VF","Variation final"))))</f>
        <v>VDO 2022 - Draft</v>
      </c>
      <c r="P210" s="30"/>
      <c r="Q210" s="30" t="str">
        <f>"VDO "&amp;Q209&amp;" - "&amp;IF(LEFT(Q212,1)="F","Final",IF(LEFT(Q212,1)="D","Draft",IF(LEFT(Q212,2)="VD","Variation draft",IF(LEFT(Q212,2)="VF","Variation final"))))</f>
        <v>VDO 2022 - Final</v>
      </c>
      <c r="R210" s="30"/>
      <c r="S210" s="30" t="str">
        <f>"VDO "&amp;S209&amp;" - "&amp;IF(LEFT(S212,1)="F","Final",IF(LEFT(S212,1)="D","Draft",IF(LEFT(S212,2)="VD","Variation draft",IF(LEFT(S212,2)="VF","Variation final"))))</f>
        <v>VDO 2022-23 - Draft</v>
      </c>
      <c r="T210" s="30"/>
      <c r="U210" s="30" t="str">
        <f>"VDO "&amp;U209&amp;" - "&amp;IF(LEFT(U212,1)="F","Final",IF(LEFT(U212,1)="D","Draft",IF(LEFT(U212,2)="VD","Variation draft",IF(LEFT(U212,2)="VF","Variation final"))))</f>
        <v>VDO 2022-23 - Final</v>
      </c>
      <c r="V210" s="30"/>
      <c r="W210" s="30" t="str">
        <f>"VDO "&amp;W209&amp;" - "&amp;IF(LEFT(W212,1)="F","Final",IF(LEFT(W212,1)="D","Draft",IF(LEFT(W212,2)="VD","Variation draft",IF(LEFT(W212,2)="VF","Variation final"))))</f>
        <v>VDO 2023-24 - Draft</v>
      </c>
      <c r="X210" s="30"/>
      <c r="Y210" s="30" t="str">
        <f>"VDO "&amp;Y209&amp;" - "&amp;IF(LEFT(Y212,1)="F","Final",IF(LEFT(Y212,1)="D","Draft",IF(LEFT(Y212,2)="VD","Variation draft",IF(LEFT(Y212,2)="VF","Variation final"))))</f>
        <v>VDO 2023-24 - Final</v>
      </c>
      <c r="Z210" s="30"/>
      <c r="AA210" s="30" t="str">
        <f>"VDO "&amp;AA209&amp;" - "&amp;IF(LEFT(AA212,1)="F","Final",IF(LEFT(AA212,1)="D","Draft",IF(LEFT(AA212,2)="VD","Variation draft",IF(LEFT(AA212,2)="VF","Variation final"))))</f>
        <v>VDO 2024-25 - Draft</v>
      </c>
      <c r="AB210" s="30"/>
      <c r="AC210" s="30" t="str">
        <f>"VDO "&amp;AC209&amp;" - "&amp;IF(LEFT(AC212,1)="F","Final",IF(LEFT(AC212,1)="D","Draft",IF(LEFT(AC212,2)="VD","Variation draft",IF(LEFT(AC212,2)="VF","Variation final"))))</f>
        <v>VDO 2024-25 - Final</v>
      </c>
    </row>
    <row r="211" spans="3:29" ht="15.75" outlineLevel="1" x14ac:dyDescent="0.25">
      <c r="C211" s="24" t="s">
        <v>302</v>
      </c>
    </row>
    <row r="212" spans="3:29" ht="15.75" outlineLevel="1" x14ac:dyDescent="0.25">
      <c r="C212" s="118" t="s">
        <v>48</v>
      </c>
      <c r="D212" s="32" t="s">
        <v>303</v>
      </c>
      <c r="E212" s="32" t="s">
        <v>278</v>
      </c>
      <c r="F212" s="32" t="s">
        <v>279</v>
      </c>
      <c r="G212" s="32" t="s">
        <v>280</v>
      </c>
      <c r="H212" s="32" t="s">
        <v>281</v>
      </c>
      <c r="I212" s="32" t="s">
        <v>110</v>
      </c>
      <c r="J212" s="32" t="s">
        <v>282</v>
      </c>
      <c r="K212" s="32" t="s">
        <v>112</v>
      </c>
      <c r="L212" s="32" t="s">
        <v>283</v>
      </c>
      <c r="M212" s="32" t="s">
        <v>114</v>
      </c>
      <c r="N212" s="32" t="s">
        <v>284</v>
      </c>
      <c r="O212" s="83" t="s">
        <v>116</v>
      </c>
      <c r="P212" s="32" t="s">
        <v>285</v>
      </c>
      <c r="Q212" s="83" t="s">
        <v>118</v>
      </c>
      <c r="R212" s="32" t="s">
        <v>286</v>
      </c>
      <c r="S212" s="83" t="s">
        <v>120</v>
      </c>
      <c r="T212" s="32" t="s">
        <v>287</v>
      </c>
      <c r="U212" s="83" t="s">
        <v>122</v>
      </c>
      <c r="V212" s="32" t="s">
        <v>288</v>
      </c>
      <c r="W212" s="31" t="s">
        <v>124</v>
      </c>
      <c r="X212" s="32" t="s">
        <v>296</v>
      </c>
      <c r="Y212" s="32" t="s">
        <v>126</v>
      </c>
      <c r="Z212" s="32" t="s">
        <v>297</v>
      </c>
      <c r="AA212" s="32" t="s">
        <v>128</v>
      </c>
      <c r="AB212" s="32" t="s">
        <v>304</v>
      </c>
      <c r="AC212" s="32" t="s">
        <v>50</v>
      </c>
    </row>
    <row r="213" spans="3:29" outlineLevel="1" x14ac:dyDescent="0.25">
      <c r="C213" s="42" t="s">
        <v>83</v>
      </c>
      <c r="D213" s="42" t="s">
        <v>305</v>
      </c>
      <c r="E213" s="42" t="s">
        <v>278</v>
      </c>
      <c r="F213" s="42" t="s">
        <v>278</v>
      </c>
      <c r="G213" s="42" t="s">
        <v>278</v>
      </c>
      <c r="H213" s="150" t="s">
        <v>278</v>
      </c>
      <c r="I213" s="193" t="s">
        <v>306</v>
      </c>
      <c r="J213" s="193"/>
      <c r="K213" s="193" t="s">
        <v>306</v>
      </c>
      <c r="L213" s="193"/>
      <c r="M213" s="193" t="s">
        <v>307</v>
      </c>
      <c r="N213" s="193"/>
      <c r="O213" s="193" t="s">
        <v>307</v>
      </c>
      <c r="P213" s="193"/>
      <c r="Q213" s="193" t="s">
        <v>307</v>
      </c>
      <c r="R213" s="193"/>
      <c r="S213" s="193" t="s">
        <v>307</v>
      </c>
      <c r="T213" s="193"/>
      <c r="U213" s="193" t="s">
        <v>307</v>
      </c>
      <c r="V213" s="193"/>
      <c r="W213" s="193" t="s">
        <v>307</v>
      </c>
      <c r="X213" s="193"/>
      <c r="Y213" s="193" t="s">
        <v>307</v>
      </c>
      <c r="Z213" s="193"/>
      <c r="AA213" s="193" t="s">
        <v>306</v>
      </c>
      <c r="AB213" s="193"/>
      <c r="AC213" s="193" t="s">
        <v>307</v>
      </c>
    </row>
    <row r="214" spans="3:29" outlineLevel="1" x14ac:dyDescent="0.25">
      <c r="C214" s="42" t="s">
        <v>83</v>
      </c>
      <c r="D214" s="42" t="s">
        <v>308</v>
      </c>
      <c r="E214" s="42" t="s">
        <v>278</v>
      </c>
      <c r="F214" s="42" t="s">
        <v>278</v>
      </c>
      <c r="G214" s="42" t="s">
        <v>278</v>
      </c>
      <c r="H214" s="150" t="s">
        <v>278</v>
      </c>
      <c r="I214" s="193" t="s">
        <v>306</v>
      </c>
      <c r="J214" s="193"/>
      <c r="K214" s="193" t="s">
        <v>306</v>
      </c>
      <c r="L214" s="193"/>
      <c r="M214" s="193" t="s">
        <v>307</v>
      </c>
      <c r="N214" s="193"/>
      <c r="O214" s="193" t="s">
        <v>307</v>
      </c>
      <c r="P214" s="193"/>
      <c r="Q214" s="193" t="s">
        <v>307</v>
      </c>
      <c r="R214" s="193"/>
      <c r="S214" s="193" t="s">
        <v>307</v>
      </c>
      <c r="T214" s="193"/>
      <c r="U214" s="193" t="s">
        <v>307</v>
      </c>
      <c r="V214" s="193"/>
      <c r="W214" s="193" t="s">
        <v>307</v>
      </c>
      <c r="X214" s="193"/>
      <c r="Y214" s="193" t="s">
        <v>307</v>
      </c>
      <c r="Z214" s="193"/>
      <c r="AA214" s="193" t="s">
        <v>306</v>
      </c>
      <c r="AB214" s="193"/>
      <c r="AC214" s="193" t="s">
        <v>307</v>
      </c>
    </row>
    <row r="215" spans="3:29" outlineLevel="1" x14ac:dyDescent="0.25">
      <c r="C215" s="42" t="s">
        <v>83</v>
      </c>
      <c r="D215" s="42" t="s">
        <v>309</v>
      </c>
      <c r="E215" s="42" t="s">
        <v>278</v>
      </c>
      <c r="F215" s="42" t="s">
        <v>278</v>
      </c>
      <c r="G215" s="42" t="s">
        <v>278</v>
      </c>
      <c r="H215" s="150" t="s">
        <v>278</v>
      </c>
      <c r="I215" s="193" t="s">
        <v>306</v>
      </c>
      <c r="J215" s="193"/>
      <c r="K215" s="193" t="s">
        <v>306</v>
      </c>
      <c r="L215" s="193"/>
      <c r="M215" s="193" t="s">
        <v>306</v>
      </c>
      <c r="N215" s="193"/>
      <c r="O215" s="193" t="s">
        <v>306</v>
      </c>
      <c r="P215" s="193"/>
      <c r="Q215" s="193" t="s">
        <v>306</v>
      </c>
      <c r="R215" s="193"/>
      <c r="S215" s="193" t="s">
        <v>306</v>
      </c>
      <c r="T215" s="193"/>
      <c r="U215" s="193" t="s">
        <v>306</v>
      </c>
      <c r="V215" s="193"/>
      <c r="W215" s="193" t="s">
        <v>306</v>
      </c>
      <c r="X215" s="193"/>
      <c r="Y215" s="193" t="s">
        <v>306</v>
      </c>
      <c r="Z215" s="193"/>
      <c r="AA215" s="193" t="s">
        <v>306</v>
      </c>
      <c r="AB215" s="193"/>
      <c r="AC215" s="193" t="s">
        <v>306</v>
      </c>
    </row>
    <row r="216" spans="3:29" outlineLevel="1" x14ac:dyDescent="0.25">
      <c r="C216" s="42" t="s">
        <v>81</v>
      </c>
      <c r="D216" s="42" t="s">
        <v>310</v>
      </c>
      <c r="E216" s="42" t="s">
        <v>278</v>
      </c>
      <c r="F216" s="42" t="s">
        <v>278</v>
      </c>
      <c r="G216" s="42" t="s">
        <v>278</v>
      </c>
      <c r="H216" s="150" t="s">
        <v>278</v>
      </c>
      <c r="I216" s="193" t="s">
        <v>306</v>
      </c>
      <c r="J216" s="193"/>
      <c r="K216" s="193" t="s">
        <v>306</v>
      </c>
      <c r="L216" s="193"/>
      <c r="M216" s="193" t="s">
        <v>306</v>
      </c>
      <c r="N216" s="193"/>
      <c r="O216" s="194" t="s">
        <v>307</v>
      </c>
      <c r="P216" s="194"/>
      <c r="Q216" s="194" t="s">
        <v>307</v>
      </c>
      <c r="R216" s="194"/>
      <c r="S216" s="194" t="s">
        <v>306</v>
      </c>
      <c r="T216" s="194"/>
      <c r="U216" s="194" t="s">
        <v>306</v>
      </c>
      <c r="V216" s="194"/>
      <c r="W216" s="194" t="s">
        <v>306</v>
      </c>
      <c r="X216" s="194"/>
      <c r="Y216" s="194" t="s">
        <v>306</v>
      </c>
      <c r="Z216" s="194"/>
      <c r="AA216" s="194" t="s">
        <v>306</v>
      </c>
      <c r="AB216" s="194"/>
      <c r="AC216" s="194" t="s">
        <v>306</v>
      </c>
    </row>
    <row r="217" spans="3:29" outlineLevel="1" x14ac:dyDescent="0.25">
      <c r="C217" s="42" t="s">
        <v>81</v>
      </c>
      <c r="D217" s="42" t="s">
        <v>311</v>
      </c>
      <c r="E217" s="42" t="s">
        <v>278</v>
      </c>
      <c r="F217" s="42" t="s">
        <v>278</v>
      </c>
      <c r="G217" s="42" t="s">
        <v>278</v>
      </c>
      <c r="H217" s="150" t="s">
        <v>278</v>
      </c>
      <c r="I217" s="193" t="s">
        <v>306</v>
      </c>
      <c r="J217" s="193"/>
      <c r="K217" s="193" t="s">
        <v>306</v>
      </c>
      <c r="L217" s="193"/>
      <c r="M217" s="193" t="s">
        <v>306</v>
      </c>
      <c r="N217" s="193"/>
      <c r="O217" s="194" t="s">
        <v>307</v>
      </c>
      <c r="P217" s="194"/>
      <c r="Q217" s="194" t="s">
        <v>307</v>
      </c>
      <c r="R217" s="194"/>
      <c r="S217" s="194" t="s">
        <v>306</v>
      </c>
      <c r="T217" s="194"/>
      <c r="U217" s="194" t="s">
        <v>306</v>
      </c>
      <c r="V217" s="194"/>
      <c r="W217" s="194" t="s">
        <v>306</v>
      </c>
      <c r="X217" s="194"/>
      <c r="Y217" s="194" t="s">
        <v>306</v>
      </c>
      <c r="Z217" s="194"/>
      <c r="AA217" s="194" t="s">
        <v>306</v>
      </c>
      <c r="AB217" s="194"/>
      <c r="AC217" s="194" t="s">
        <v>306</v>
      </c>
    </row>
    <row r="218" spans="3:29" outlineLevel="1" x14ac:dyDescent="0.25">
      <c r="C218" s="42" t="s">
        <v>81</v>
      </c>
      <c r="D218" s="42" t="s">
        <v>312</v>
      </c>
      <c r="E218" s="42" t="s">
        <v>278</v>
      </c>
      <c r="F218" s="42" t="s">
        <v>278</v>
      </c>
      <c r="G218" s="42" t="s">
        <v>278</v>
      </c>
      <c r="H218" s="150" t="s">
        <v>278</v>
      </c>
      <c r="I218" s="193" t="s">
        <v>306</v>
      </c>
      <c r="J218" s="193"/>
      <c r="K218" s="193" t="s">
        <v>306</v>
      </c>
      <c r="L218" s="193"/>
      <c r="M218" s="193" t="s">
        <v>306</v>
      </c>
      <c r="N218" s="193"/>
      <c r="O218" s="194" t="s">
        <v>307</v>
      </c>
      <c r="P218" s="194"/>
      <c r="Q218" s="194" t="s">
        <v>307</v>
      </c>
      <c r="R218" s="194"/>
      <c r="S218" s="194" t="s">
        <v>306</v>
      </c>
      <c r="T218" s="194"/>
      <c r="U218" s="194" t="s">
        <v>306</v>
      </c>
      <c r="V218" s="194"/>
      <c r="W218" s="194" t="s">
        <v>306</v>
      </c>
      <c r="X218" s="194"/>
      <c r="Y218" s="194" t="s">
        <v>306</v>
      </c>
      <c r="Z218" s="194"/>
      <c r="AA218" s="194" t="s">
        <v>306</v>
      </c>
      <c r="AB218" s="194"/>
      <c r="AC218" s="194" t="s">
        <v>306</v>
      </c>
    </row>
    <row r="219" spans="3:29" outlineLevel="1" x14ac:dyDescent="0.25">
      <c r="C219" s="42" t="s">
        <v>81</v>
      </c>
      <c r="D219" s="42" t="s">
        <v>313</v>
      </c>
      <c r="E219" s="42" t="s">
        <v>278</v>
      </c>
      <c r="F219" s="42" t="s">
        <v>278</v>
      </c>
      <c r="G219" s="42" t="s">
        <v>278</v>
      </c>
      <c r="H219" s="150" t="s">
        <v>278</v>
      </c>
      <c r="I219" s="193" t="s">
        <v>306</v>
      </c>
      <c r="J219" s="193"/>
      <c r="K219" s="193" t="s">
        <v>306</v>
      </c>
      <c r="L219" s="193"/>
      <c r="M219" s="193" t="s">
        <v>306</v>
      </c>
      <c r="N219" s="193"/>
      <c r="O219" s="194" t="s">
        <v>307</v>
      </c>
      <c r="P219" s="194"/>
      <c r="Q219" s="194" t="s">
        <v>307</v>
      </c>
      <c r="R219" s="194"/>
      <c r="S219" s="194" t="s">
        <v>306</v>
      </c>
      <c r="T219" s="194"/>
      <c r="U219" s="194" t="s">
        <v>306</v>
      </c>
      <c r="V219" s="194"/>
      <c r="W219" s="194" t="s">
        <v>306</v>
      </c>
      <c r="X219" s="194"/>
      <c r="Y219" s="194" t="s">
        <v>306</v>
      </c>
      <c r="Z219" s="194"/>
      <c r="AA219" s="194" t="s">
        <v>306</v>
      </c>
      <c r="AB219" s="194"/>
      <c r="AC219" s="194" t="s">
        <v>306</v>
      </c>
    </row>
    <row r="220" spans="3:29" outlineLevel="1" x14ac:dyDescent="0.25"/>
    <row r="221" spans="3:29" ht="15.75" outlineLevel="1" x14ac:dyDescent="0.25">
      <c r="C221" s="24" t="s">
        <v>314</v>
      </c>
    </row>
    <row r="222" spans="3:29" ht="15.75" outlineLevel="1" x14ac:dyDescent="0.25">
      <c r="C222" s="118" t="s">
        <v>315</v>
      </c>
      <c r="D222" s="32" t="s">
        <v>316</v>
      </c>
      <c r="E222" s="34" t="s">
        <v>96</v>
      </c>
    </row>
    <row r="223" spans="3:29" outlineLevel="1" x14ac:dyDescent="0.25">
      <c r="C223" s="116" t="s">
        <v>317</v>
      </c>
      <c r="D223" s="91" t="s">
        <v>317</v>
      </c>
      <c r="E223" s="117" t="s">
        <v>58</v>
      </c>
    </row>
    <row r="224" spans="3:29" outlineLevel="1" x14ac:dyDescent="0.25">
      <c r="C224" s="116" t="s">
        <v>318</v>
      </c>
      <c r="D224" s="91" t="s">
        <v>318</v>
      </c>
      <c r="E224" s="117" t="s">
        <v>317</v>
      </c>
    </row>
    <row r="225" spans="3:5" outlineLevel="1" x14ac:dyDescent="0.25">
      <c r="C225" s="116" t="s">
        <v>319</v>
      </c>
      <c r="D225" s="91" t="s">
        <v>319</v>
      </c>
      <c r="E225" s="117" t="s">
        <v>317</v>
      </c>
    </row>
    <row r="226" spans="3:5" outlineLevel="1" x14ac:dyDescent="0.25">
      <c r="C226" s="116" t="s">
        <v>320</v>
      </c>
      <c r="D226" s="91" t="s">
        <v>320</v>
      </c>
      <c r="E226" s="117" t="s">
        <v>317</v>
      </c>
    </row>
    <row r="227" spans="3:5" outlineLevel="1" x14ac:dyDescent="0.25">
      <c r="C227" s="119" t="s">
        <v>321</v>
      </c>
      <c r="D227" s="120" t="s">
        <v>321</v>
      </c>
      <c r="E227" s="117" t="s">
        <v>317</v>
      </c>
    </row>
    <row r="228" spans="3:5" outlineLevel="1" x14ac:dyDescent="0.25">
      <c r="C228" s="116" t="s">
        <v>322</v>
      </c>
      <c r="D228" s="91" t="s">
        <v>322</v>
      </c>
      <c r="E228" s="117" t="s">
        <v>321</v>
      </c>
    </row>
    <row r="229" spans="3:5" outlineLevel="1" x14ac:dyDescent="0.25">
      <c r="C229" s="116" t="s">
        <v>323</v>
      </c>
      <c r="D229" s="120" t="s">
        <v>323</v>
      </c>
      <c r="E229" s="146" t="s">
        <v>321</v>
      </c>
    </row>
    <row r="230" spans="3:5" outlineLevel="1" x14ac:dyDescent="0.25">
      <c r="C230" s="116" t="s">
        <v>324</v>
      </c>
      <c r="D230" s="120" t="s">
        <v>324</v>
      </c>
      <c r="E230" s="146" t="s">
        <v>323</v>
      </c>
    </row>
    <row r="231" spans="3:5" outlineLevel="1" x14ac:dyDescent="0.25">
      <c r="C231" s="116" t="s">
        <v>103</v>
      </c>
      <c r="D231" s="120" t="s">
        <v>103</v>
      </c>
      <c r="E231" s="146" t="s">
        <v>323</v>
      </c>
    </row>
    <row r="232" spans="3:5" outlineLevel="1" x14ac:dyDescent="0.25">
      <c r="C232" s="116" t="s">
        <v>101</v>
      </c>
      <c r="D232" s="116" t="s">
        <v>101</v>
      </c>
      <c r="E232" s="120" t="s">
        <v>103</v>
      </c>
    </row>
    <row r="233" spans="3:5" outlineLevel="1" x14ac:dyDescent="0.25">
      <c r="C233" s="119" t="s">
        <v>325</v>
      </c>
      <c r="D233" s="119" t="s">
        <v>325</v>
      </c>
      <c r="E233" s="120" t="s">
        <v>103</v>
      </c>
    </row>
    <row r="234" spans="3:5" outlineLevel="1" x14ac:dyDescent="0.25"/>
    <row r="235" spans="3:5" outlineLevel="1" x14ac:dyDescent="0.25"/>
  </sheetData>
  <sheetProtection algorithmName="SHA-512" hashValue="3yiwUxhWlE19+AdGwyYoRzX6wJ4C3otbcetwzFk7YrSuapD00MuactJHNKiurp64O8/NBcTMGocyb1dErwF4Ww==" saltValue="p+5lN/jb7n9idb4qJWNtUQ==" spinCount="100000" sheet="1" objects="1" scenarios="1"/>
  <mergeCells count="1">
    <mergeCell ref="A2:A3"/>
  </mergeCells>
  <phoneticPr fontId="30" type="noConversion"/>
  <pageMargins left="0.7" right="0.7" top="0.75" bottom="0.75" header="0.3" footer="0.3"/>
  <pageSetup paperSize="9" orientation="portrait" r:id="rId1"/>
  <headerFooter>
    <oddHeader>&amp;C&amp;B&amp;"Arial"&amp;12&amp;Kff0000​‌OFFICIAL‌​</oddHeader>
  </headerFooter>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4">
        <x14:dataValidation type="list" allowBlank="1" showInputMessage="1" showErrorMessage="1" xr:uid="{91387222-6A44-4153-A021-02393A24BC27}">
          <x14:formula1>
            <xm:f>'Lookup refs'!$C$8:$C$10</xm:f>
          </x14:formula1>
          <xm:sqref>E18:E141</xm:sqref>
        </x14:dataValidation>
        <x14:dataValidation type="list" allowBlank="1" showInputMessage="1" showErrorMessage="1" xr:uid="{6E9DAD93-16AF-4726-A2A9-3D3AE290FDD5}">
          <x14:formula1>
            <xm:f>'Lookup refs'!$E$8:$E$20</xm:f>
          </x14:formula1>
          <xm:sqref>F194:F199 F18:F141</xm:sqref>
        </x14:dataValidation>
        <x14:dataValidation type="list" allowBlank="1" showInputMessage="1" showErrorMessage="1" xr:uid="{DB7F5277-E0C5-4ABC-A2EC-0899E5776FE1}">
          <x14:formula1>
            <xm:f>'Lookup refs'!$G$8:$G$10</xm:f>
          </x14:formula1>
          <xm:sqref>G194:G199 G18:G141 F150 F186</xm:sqref>
        </x14:dataValidation>
        <x14:dataValidation type="list" allowBlank="1" showInputMessage="1" showErrorMessage="1" xr:uid="{911958A1-B048-461E-BF28-94BB6660ACDD}">
          <x14:formula1>
            <xm:f>'Lookup refs'!$O$8:$O$12</xm:f>
          </x14:formula1>
          <xm:sqref>E9:E10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DB55-A1B8-4BF5-ACF4-AC560D0EC1E6}">
  <sheetPr codeName="Sheet12">
    <tabColor rgb="FFD3DFE9"/>
    <pageSetUpPr autoPageBreaks="0"/>
  </sheetPr>
  <dimension ref="A1:Z35"/>
  <sheetViews>
    <sheetView showGridLines="0" topLeftCell="B1" zoomScaleNormal="100" workbookViewId="0">
      <pane ySplit="3" topLeftCell="A4" activePane="bottomLeft" state="frozen"/>
      <selection activeCell="B33" sqref="B33"/>
      <selection pane="bottomLeft" activeCell="F36" sqref="F36"/>
    </sheetView>
  </sheetViews>
  <sheetFormatPr defaultColWidth="9.42578125" defaultRowHeight="15" outlineLevelCol="1" x14ac:dyDescent="0.25"/>
  <cols>
    <col min="1" max="1" width="100.5703125" hidden="1" customWidth="1" outlineLevel="1"/>
    <col min="2" max="2" width="10.5703125" style="5" customWidth="1" collapsed="1"/>
    <col min="3" max="3" width="50.5703125" customWidth="1"/>
    <col min="4" max="26" width="25.5703125" customWidth="1"/>
  </cols>
  <sheetData>
    <row r="1" spans="1:26" ht="15" customHeight="1" x14ac:dyDescent="0.25">
      <c r="A1" s="1" t="s">
        <v>32</v>
      </c>
      <c r="B1" s="16"/>
      <c r="C1" s="17"/>
      <c r="D1" s="17"/>
      <c r="E1" s="17"/>
      <c r="F1" s="17"/>
      <c r="G1" s="17"/>
      <c r="H1" s="17"/>
      <c r="I1" s="17"/>
      <c r="J1" s="17"/>
      <c r="K1" s="17"/>
      <c r="L1" s="17"/>
      <c r="M1" s="17"/>
      <c r="N1" s="17"/>
      <c r="O1" s="17"/>
      <c r="P1" s="17"/>
      <c r="Q1" s="17"/>
      <c r="R1" s="17"/>
      <c r="S1" s="17"/>
      <c r="T1" s="17"/>
      <c r="U1" s="17"/>
      <c r="V1" s="17"/>
      <c r="W1" s="17"/>
      <c r="X1" s="17"/>
      <c r="Y1" s="17"/>
      <c r="Z1" s="17"/>
    </row>
    <row r="2" spans="1:26" s="3" customFormat="1" ht="50.1" customHeight="1" x14ac:dyDescent="0.25">
      <c r="A2" s="234" t="s">
        <v>33</v>
      </c>
      <c r="B2" s="20"/>
      <c r="C2" s="20" t="str">
        <f>Disclaimer!$B$1</f>
        <v>VDO calculation model</v>
      </c>
      <c r="D2" s="20"/>
      <c r="E2" s="20"/>
      <c r="F2" s="20"/>
      <c r="G2" s="20"/>
      <c r="H2" s="20"/>
      <c r="I2" s="20"/>
      <c r="J2" s="20"/>
      <c r="K2" s="20"/>
      <c r="L2" s="20"/>
      <c r="M2" s="20"/>
      <c r="N2" s="20"/>
      <c r="O2" s="20"/>
      <c r="P2" s="20"/>
      <c r="Q2" s="20"/>
      <c r="R2" s="20"/>
      <c r="S2" s="20"/>
      <c r="T2" s="20"/>
      <c r="U2" s="20"/>
      <c r="V2" s="20"/>
      <c r="W2" s="20"/>
      <c r="X2" s="20"/>
      <c r="Y2" s="20"/>
      <c r="Z2" s="20"/>
    </row>
    <row r="3" spans="1:26" s="3" customFormat="1" ht="30" customHeight="1" x14ac:dyDescent="0.25">
      <c r="A3" s="235"/>
      <c r="B3" s="22">
        <v>7</v>
      </c>
      <c r="C3" s="21" t="s">
        <v>327</v>
      </c>
      <c r="D3" s="21"/>
      <c r="E3" s="21"/>
      <c r="F3" s="21"/>
      <c r="G3" s="21"/>
      <c r="H3" s="21"/>
      <c r="I3" s="21"/>
      <c r="J3" s="21"/>
      <c r="K3" s="21"/>
      <c r="L3" s="21"/>
      <c r="M3" s="21"/>
      <c r="N3" s="21"/>
      <c r="O3" s="21"/>
      <c r="P3" s="21"/>
      <c r="Q3" s="21"/>
      <c r="R3" s="21"/>
      <c r="S3" s="21"/>
      <c r="T3" s="21"/>
      <c r="U3" s="21"/>
      <c r="V3" s="21"/>
      <c r="W3" s="21"/>
      <c r="X3" s="21"/>
      <c r="Y3" s="21"/>
      <c r="Z3" s="21"/>
    </row>
    <row r="4" spans="1:26" x14ac:dyDescent="0.25">
      <c r="B4"/>
    </row>
    <row r="5" spans="1:26" ht="16.5" thickBot="1" x14ac:dyDescent="0.3">
      <c r="A5" s="1" t="s">
        <v>35</v>
      </c>
      <c r="B5" s="161">
        <f>MAX(B$3:B4)+0.01</f>
        <v>7.01</v>
      </c>
      <c r="C5" s="23" t="s">
        <v>328</v>
      </c>
      <c r="D5" s="23"/>
      <c r="E5" s="23"/>
    </row>
    <row r="7" spans="1:26" ht="15.75" x14ac:dyDescent="0.25">
      <c r="C7" s="39" t="s">
        <v>329</v>
      </c>
      <c r="D7" s="31" t="s">
        <v>330</v>
      </c>
    </row>
    <row r="8" spans="1:26" x14ac:dyDescent="0.25">
      <c r="C8" s="131" t="s">
        <v>331</v>
      </c>
      <c r="E8" s="12"/>
    </row>
    <row r="9" spans="1:26" x14ac:dyDescent="0.25">
      <c r="C9" t="s">
        <v>99</v>
      </c>
      <c r="D9" s="30">
        <f>INDEX(Year_IN[],MATCH($C9,Year_IN[Description],0),MATCH("End date",Year_IN[#Headers],0))-
INDEX(Year_IN[],MATCH($C9,Year_IN[Description],0),MATCH("Start date",Year_IN[#Headers],0))+1</f>
        <v>365</v>
      </c>
      <c r="E9" s="12" t="s">
        <v>332</v>
      </c>
    </row>
    <row r="10" spans="1:26" x14ac:dyDescent="0.25">
      <c r="C10" t="s">
        <v>102</v>
      </c>
      <c r="D10" s="30">
        <f>INDEX(Year_IN[],MATCH($C10,Year_IN[Description],0),MATCH("End date",Year_IN[#Headers],0))-
INDEX(Year_IN[],MATCH($C10,Year_IN[Description],0),MATCH("Start date",Year_IN[#Headers],0))+1</f>
        <v>366</v>
      </c>
      <c r="E10" s="12" t="s">
        <v>333</v>
      </c>
    </row>
    <row r="11" spans="1:26" x14ac:dyDescent="0.25">
      <c r="E11" s="12"/>
    </row>
    <row r="12" spans="1:26" x14ac:dyDescent="0.25">
      <c r="C12" s="131" t="s">
        <v>334</v>
      </c>
      <c r="E12" s="12"/>
    </row>
    <row r="13" spans="1:26" x14ac:dyDescent="0.25">
      <c r="C13" t="s">
        <v>335</v>
      </c>
      <c r="D13" s="193">
        <v>12</v>
      </c>
      <c r="E13" s="12" t="s">
        <v>336</v>
      </c>
    </row>
    <row r="14" spans="1:26" x14ac:dyDescent="0.25">
      <c r="C14" t="s">
        <v>337</v>
      </c>
      <c r="D14" s="193">
        <v>3</v>
      </c>
      <c r="E14" s="12" t="s">
        <v>338</v>
      </c>
    </row>
    <row r="15" spans="1:26" x14ac:dyDescent="0.25">
      <c r="E15" s="12"/>
    </row>
    <row r="16" spans="1:26" x14ac:dyDescent="0.25">
      <c r="C16" s="131" t="s">
        <v>339</v>
      </c>
      <c r="E16" s="12"/>
    </row>
    <row r="17" spans="1:5" x14ac:dyDescent="0.25">
      <c r="C17" t="s">
        <v>99</v>
      </c>
      <c r="D17" s="195">
        <f>DiY/7</f>
        <v>52.142857142857146</v>
      </c>
      <c r="E17" s="12" t="s">
        <v>340</v>
      </c>
    </row>
    <row r="18" spans="1:5" x14ac:dyDescent="0.25">
      <c r="C18" t="s">
        <v>102</v>
      </c>
      <c r="D18" s="195" cm="1">
        <f t="array" ref="D18">DiPY/7</f>
        <v>52.285714285714285</v>
      </c>
      <c r="E18" s="12" t="s">
        <v>341</v>
      </c>
    </row>
    <row r="20" spans="1:5" x14ac:dyDescent="0.25">
      <c r="C20" s="7" t="s">
        <v>342</v>
      </c>
      <c r="D20" s="196" t="s">
        <v>343</v>
      </c>
      <c r="E20" s="12" t="s">
        <v>344</v>
      </c>
    </row>
    <row r="21" spans="1:5" x14ac:dyDescent="0.25">
      <c r="C21" s="7" t="s">
        <v>345</v>
      </c>
      <c r="D21" s="193">
        <v>6</v>
      </c>
      <c r="E21" s="27" t="s">
        <v>326</v>
      </c>
    </row>
    <row r="23" spans="1:5" x14ac:dyDescent="0.25">
      <c r="C23" t="s">
        <v>346</v>
      </c>
      <c r="D23" s="197">
        <v>0.1</v>
      </c>
      <c r="E23" s="12" t="s">
        <v>347</v>
      </c>
    </row>
    <row r="27" spans="1:5" ht="16.5" thickBot="1" x14ac:dyDescent="0.3">
      <c r="A27" s="1" t="s">
        <v>35</v>
      </c>
      <c r="B27" s="161">
        <f>MAX(B$3:B26)+0.01</f>
        <v>7.02</v>
      </c>
      <c r="C27" s="23" t="s">
        <v>348</v>
      </c>
      <c r="D27" s="23"/>
      <c r="E27" s="23"/>
    </row>
    <row r="30" spans="1:5" x14ac:dyDescent="0.25">
      <c r="C30" t="s">
        <v>47</v>
      </c>
      <c r="D30" t="s">
        <v>349</v>
      </c>
    </row>
    <row r="31" spans="1:5" x14ac:dyDescent="0.25">
      <c r="C31" s="60" t="s">
        <v>126</v>
      </c>
      <c r="D31" s="60">
        <v>1</v>
      </c>
    </row>
    <row r="32" spans="1:5" x14ac:dyDescent="0.25">
      <c r="C32" s="60" t="s">
        <v>350</v>
      </c>
      <c r="D32" s="60">
        <v>2</v>
      </c>
    </row>
    <row r="33" spans="3:4" x14ac:dyDescent="0.25">
      <c r="C33" s="60" t="s">
        <v>351</v>
      </c>
      <c r="D33" s="60">
        <v>3</v>
      </c>
    </row>
    <row r="34" spans="3:4" x14ac:dyDescent="0.25">
      <c r="C34" s="60" t="s">
        <v>128</v>
      </c>
      <c r="D34" s="60">
        <v>4</v>
      </c>
    </row>
    <row r="35" spans="3:4" x14ac:dyDescent="0.25">
      <c r="C35" s="60" t="s">
        <v>50</v>
      </c>
      <c r="D35" s="60">
        <v>5</v>
      </c>
    </row>
  </sheetData>
  <sheetProtection algorithmName="SHA-512" hashValue="BBUKtPebqTN9/I1WDzIRvXumy193xa76Q8Cdc8BinNV0h5zeagTIdOcxixqDPy5OemvadnPSLAvm9fZFoAH+wQ==" saltValue="tsF+xo+puXm9JXhgVUFAag==" spinCount="100000" sheet="1" objects="1" scenarios="1"/>
  <mergeCells count="1">
    <mergeCell ref="A2:A3"/>
  </mergeCells>
  <pageMargins left="0.7" right="0.7" top="0.75" bottom="0.75" header="0.3" footer="0.3"/>
  <pageSetup paperSize="9" orientation="portrait" r:id="rId1"/>
  <headerFooter>
    <oddHeader>&amp;C&amp;B&amp;"Arial"&amp;12&amp;Kff0000​‌OFFICIAL‌​</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A701-190F-4971-BB2B-9D28766803C5}">
  <sheetPr>
    <tabColor theme="4" tint="0.79998168889431442"/>
    <pageSetUpPr autoPageBreaks="0"/>
  </sheetPr>
  <dimension ref="A1:Z100"/>
  <sheetViews>
    <sheetView showGridLines="0" topLeftCell="B1" zoomScale="80" zoomScaleNormal="80" workbookViewId="0">
      <pane ySplit="3" topLeftCell="A4" activePane="bottomLeft" state="frozen"/>
      <selection activeCell="B33" sqref="B33"/>
      <selection pane="bottomLeft" activeCell="H12" sqref="H12"/>
    </sheetView>
  </sheetViews>
  <sheetFormatPr defaultColWidth="9.42578125" defaultRowHeight="15" outlineLevelCol="1" x14ac:dyDescent="0.25"/>
  <cols>
    <col min="1" max="1" width="100.5703125" hidden="1" customWidth="1" outlineLevel="1"/>
    <col min="2" max="2" width="10.5703125" style="5" customWidth="1" collapsed="1"/>
    <col min="3" max="3" width="64.7109375" customWidth="1"/>
    <col min="4" max="26" width="25.5703125" customWidth="1"/>
  </cols>
  <sheetData>
    <row r="1" spans="1:26" ht="15" customHeight="1" x14ac:dyDescent="0.25">
      <c r="A1" s="1" t="s">
        <v>32</v>
      </c>
      <c r="B1" s="16"/>
      <c r="C1" s="17"/>
      <c r="D1" s="17"/>
      <c r="E1" s="17"/>
      <c r="F1" s="17"/>
      <c r="G1" s="17"/>
      <c r="H1" s="17"/>
      <c r="I1" s="17"/>
      <c r="J1" s="17"/>
      <c r="K1" s="17"/>
      <c r="L1" s="17"/>
      <c r="M1" s="17"/>
      <c r="N1" s="17"/>
      <c r="O1" s="17"/>
      <c r="P1" s="17"/>
      <c r="Q1" s="17"/>
      <c r="R1" s="17"/>
      <c r="S1" s="17"/>
      <c r="T1" s="17"/>
      <c r="U1" s="17"/>
      <c r="V1" s="17"/>
      <c r="W1" s="17"/>
      <c r="X1" s="17"/>
      <c r="Y1" s="17"/>
      <c r="Z1" s="17"/>
    </row>
    <row r="2" spans="1:26" s="3" customFormat="1" ht="50.1" customHeight="1" x14ac:dyDescent="0.25">
      <c r="A2" s="234" t="s">
        <v>492</v>
      </c>
      <c r="B2" s="20"/>
      <c r="C2" s="198" t="str">
        <f>Disclaimer!$B$1</f>
        <v>VDO calculation model</v>
      </c>
      <c r="D2" s="198"/>
      <c r="E2" s="198"/>
      <c r="F2" s="20"/>
      <c r="G2" s="20"/>
      <c r="H2" s="20"/>
      <c r="I2" s="20"/>
      <c r="J2" s="20"/>
      <c r="K2" s="20"/>
      <c r="L2" s="20"/>
      <c r="M2" s="20"/>
      <c r="N2" s="20"/>
      <c r="O2" s="20"/>
      <c r="P2" s="20"/>
      <c r="Q2" s="20"/>
      <c r="R2" s="20"/>
      <c r="S2" s="20"/>
      <c r="T2" s="20"/>
      <c r="U2" s="20"/>
      <c r="V2" s="20"/>
      <c r="W2" s="20"/>
      <c r="X2" s="20"/>
      <c r="Y2" s="20"/>
      <c r="Z2" s="20"/>
    </row>
    <row r="3" spans="1:26" s="3" customFormat="1" ht="30" customHeight="1" x14ac:dyDescent="0.25">
      <c r="A3" s="235"/>
      <c r="B3" s="22">
        <f ca="1">_xlfn.SHEET()</f>
        <v>8</v>
      </c>
      <c r="C3" s="199" t="s">
        <v>27</v>
      </c>
      <c r="D3" s="199"/>
      <c r="E3" s="199"/>
      <c r="F3" s="21"/>
      <c r="G3" s="21"/>
      <c r="H3" s="21"/>
      <c r="I3" s="21"/>
      <c r="J3" s="21"/>
      <c r="K3" s="21"/>
      <c r="L3" s="21"/>
      <c r="M3" s="21"/>
      <c r="N3" s="21"/>
      <c r="O3" s="21"/>
      <c r="P3" s="21"/>
      <c r="Q3" s="21"/>
      <c r="R3" s="21"/>
      <c r="S3" s="21"/>
      <c r="T3" s="21"/>
      <c r="U3" s="21"/>
      <c r="V3" s="21"/>
      <c r="W3" s="21"/>
      <c r="X3" s="21"/>
      <c r="Y3" s="21"/>
      <c r="Z3" s="21"/>
    </row>
    <row r="4" spans="1:26" x14ac:dyDescent="0.25">
      <c r="B4"/>
    </row>
    <row r="5" spans="1:26" ht="16.5" thickBot="1" x14ac:dyDescent="0.3">
      <c r="A5" s="1" t="s">
        <v>35</v>
      </c>
      <c r="B5" s="161">
        <f ca="1">MAX(B$3:B4)+0.01</f>
        <v>8.01</v>
      </c>
      <c r="C5" s="200" t="s">
        <v>493</v>
      </c>
      <c r="D5" s="200"/>
      <c r="E5" s="200"/>
      <c r="F5" s="23"/>
      <c r="G5" s="23"/>
      <c r="H5" s="23"/>
      <c r="I5" s="23"/>
    </row>
    <row r="7" spans="1:26" ht="15.75" x14ac:dyDescent="0.25">
      <c r="C7" s="32" t="s">
        <v>494</v>
      </c>
      <c r="D7" s="32" t="s">
        <v>495</v>
      </c>
      <c r="E7" s="34" t="s">
        <v>496</v>
      </c>
    </row>
    <row r="8" spans="1:26" x14ac:dyDescent="0.25">
      <c r="C8" s="18" t="s">
        <v>497</v>
      </c>
      <c r="D8" s="201">
        <v>43465</v>
      </c>
      <c r="E8" s="202">
        <f>IFERROR(INDEX(CPI[Indice],MATCH(D8,CPI[Period],0),1),"-")</f>
        <v>114.1</v>
      </c>
    </row>
    <row r="9" spans="1:26" x14ac:dyDescent="0.25">
      <c r="C9" s="18" t="s">
        <v>498</v>
      </c>
      <c r="D9" s="201">
        <v>43738</v>
      </c>
      <c r="E9" s="202">
        <f>IFERROR(INDEX(CPI[Indice],MATCH(D9,CPI[Period],0),1),"-")</f>
        <v>115.4</v>
      </c>
    </row>
    <row r="10" spans="1:26" x14ac:dyDescent="0.25">
      <c r="C10" s="18" t="s">
        <v>499</v>
      </c>
      <c r="D10" s="201">
        <v>44012</v>
      </c>
      <c r="E10" s="202">
        <f>IFERROR(INDEX(CPI[Indice],MATCH(D10,CPI[Period],0),1),"-")</f>
        <v>114.4</v>
      </c>
    </row>
    <row r="11" spans="1:26" x14ac:dyDescent="0.25">
      <c r="C11" s="18" t="s">
        <v>317</v>
      </c>
      <c r="D11" s="201">
        <v>44104</v>
      </c>
      <c r="E11" s="202">
        <f>IFERROR(INDEX(CPI[Indice],MATCH(D11,CPI[Period],0),1),"-")</f>
        <v>116.2</v>
      </c>
    </row>
    <row r="12" spans="1:26" x14ac:dyDescent="0.25">
      <c r="C12" s="18" t="s">
        <v>318</v>
      </c>
      <c r="D12" s="201">
        <v>44104</v>
      </c>
      <c r="E12" s="202">
        <f>IFERROR(INDEX(CPI[Indice],MATCH(D12,CPI[Period],0),1),"-")</f>
        <v>116.2</v>
      </c>
    </row>
    <row r="13" spans="1:26" x14ac:dyDescent="0.25">
      <c r="C13" s="18" t="s">
        <v>319</v>
      </c>
      <c r="D13" s="201">
        <v>44104</v>
      </c>
      <c r="E13" s="202">
        <f>IFERROR(INDEX(CPI[Indice],MATCH(D13,CPI[Period],0),1),"-")</f>
        <v>116.2</v>
      </c>
    </row>
    <row r="14" spans="1:26" x14ac:dyDescent="0.25">
      <c r="C14" s="18" t="s">
        <v>320</v>
      </c>
      <c r="D14" s="201">
        <v>44377</v>
      </c>
      <c r="E14" s="202">
        <f>IFERROR(INDEX(CPI[Indice],MATCH(D14,CPI[Period],0),1),"-")</f>
        <v>118.8</v>
      </c>
    </row>
    <row r="15" spans="1:26" x14ac:dyDescent="0.25">
      <c r="C15" s="18" t="s">
        <v>321</v>
      </c>
      <c r="D15" s="201">
        <v>44469</v>
      </c>
      <c r="E15" s="202">
        <f>IFERROR(INDEX(CPI[Indice],MATCH(D15,CPI[Period],0),1),"-")</f>
        <v>119.7</v>
      </c>
    </row>
    <row r="16" spans="1:26" x14ac:dyDescent="0.25">
      <c r="C16" s="18" t="s">
        <v>322</v>
      </c>
      <c r="D16" s="201">
        <v>44561</v>
      </c>
      <c r="E16" s="202">
        <f>IFERROR(INDEX(CPI[Indice],MATCH(D16,CPI[Period],0),1),"-")</f>
        <v>121.3</v>
      </c>
    </row>
    <row r="17" spans="1:9" x14ac:dyDescent="0.25">
      <c r="C17" s="18" t="s">
        <v>323</v>
      </c>
      <c r="D17" s="203">
        <v>44651</v>
      </c>
      <c r="E17" s="204">
        <f>IFERROR(INDEX(CPI[Indice],MATCH(D17,CPI[Period],0),1),"-")</f>
        <v>123.9</v>
      </c>
    </row>
    <row r="18" spans="1:9" x14ac:dyDescent="0.25">
      <c r="C18" s="18" t="s">
        <v>324</v>
      </c>
      <c r="D18" s="203">
        <v>44926</v>
      </c>
      <c r="E18" s="204">
        <f>IFERROR(INDEX(CPI[Indice],MATCH(D18,CPI[Period],0),1),"-")</f>
        <v>130.80000000000001</v>
      </c>
    </row>
    <row r="19" spans="1:9" x14ac:dyDescent="0.25">
      <c r="C19" s="18" t="s">
        <v>103</v>
      </c>
      <c r="D19" s="203">
        <v>45016</v>
      </c>
      <c r="E19" s="205">
        <f>IFERROR(INDEX(CPI[Indice],MATCH(D19,CPI[Period],0),1),"-")</f>
        <v>132.6</v>
      </c>
    </row>
    <row r="20" spans="1:9" x14ac:dyDescent="0.25">
      <c r="C20" s="18" t="s">
        <v>101</v>
      </c>
      <c r="D20" s="203">
        <v>45291</v>
      </c>
      <c r="E20" s="205">
        <v>136.1</v>
      </c>
    </row>
    <row r="21" spans="1:9" x14ac:dyDescent="0.25">
      <c r="C21" s="18" t="s">
        <v>325</v>
      </c>
      <c r="D21" s="203">
        <v>45382</v>
      </c>
      <c r="E21" s="206">
        <f>IFERROR(INDEX(CPI[Indice],MATCH(D21,CPI[Period],0),1),"-")</f>
        <v>0</v>
      </c>
    </row>
    <row r="23" spans="1:9" ht="16.5" thickBot="1" x14ac:dyDescent="0.3">
      <c r="A23" s="1" t="s">
        <v>35</v>
      </c>
      <c r="B23" s="161">
        <f ca="1">MAX(B$3:B22)+0.01</f>
        <v>8.02</v>
      </c>
      <c r="C23" s="200" t="s">
        <v>500</v>
      </c>
      <c r="D23" s="200"/>
      <c r="E23" s="200"/>
      <c r="F23" s="23"/>
      <c r="G23" s="23"/>
      <c r="H23" s="23"/>
      <c r="I23" s="23"/>
    </row>
    <row r="25" spans="1:9" ht="15.75" x14ac:dyDescent="0.25">
      <c r="C25" s="24" t="s">
        <v>501</v>
      </c>
    </row>
    <row r="26" spans="1:9" ht="15.75" x14ac:dyDescent="0.25">
      <c r="C26" s="24" t="s">
        <v>502</v>
      </c>
    </row>
    <row r="28" spans="1:9" ht="15.75" x14ac:dyDescent="0.25">
      <c r="C28" s="39" t="s">
        <v>503</v>
      </c>
      <c r="D28" s="207">
        <v>45322</v>
      </c>
    </row>
    <row r="29" spans="1:9" ht="15.75" x14ac:dyDescent="0.25">
      <c r="C29" s="39" t="s">
        <v>504</v>
      </c>
      <c r="D29" s="208" t="s">
        <v>505</v>
      </c>
    </row>
    <row r="31" spans="1:9" ht="15.75" x14ac:dyDescent="0.25">
      <c r="C31" s="32" t="s">
        <v>506</v>
      </c>
      <c r="D31" s="34" t="s">
        <v>496</v>
      </c>
      <c r="E31" s="209"/>
    </row>
    <row r="32" spans="1:9" x14ac:dyDescent="0.25">
      <c r="C32" s="210">
        <v>41090</v>
      </c>
      <c r="D32" s="211">
        <v>100.4</v>
      </c>
    </row>
    <row r="33" spans="3:4" x14ac:dyDescent="0.25">
      <c r="C33" s="210">
        <v>41182</v>
      </c>
      <c r="D33" s="211">
        <v>101.8</v>
      </c>
    </row>
    <row r="34" spans="3:4" x14ac:dyDescent="0.25">
      <c r="C34" s="210">
        <v>41274</v>
      </c>
      <c r="D34" s="211">
        <v>102</v>
      </c>
    </row>
    <row r="35" spans="3:4" x14ac:dyDescent="0.25">
      <c r="C35" s="210">
        <v>41364</v>
      </c>
      <c r="D35" s="211">
        <v>102.4</v>
      </c>
    </row>
    <row r="36" spans="3:4" x14ac:dyDescent="0.25">
      <c r="C36" s="210">
        <v>41455</v>
      </c>
      <c r="D36" s="211">
        <v>102.8</v>
      </c>
    </row>
    <row r="37" spans="3:4" x14ac:dyDescent="0.25">
      <c r="C37" s="210">
        <v>41547</v>
      </c>
      <c r="D37" s="211">
        <v>104</v>
      </c>
    </row>
    <row r="38" spans="3:4" x14ac:dyDescent="0.25">
      <c r="C38" s="210">
        <v>41639</v>
      </c>
      <c r="D38" s="211">
        <v>104.8</v>
      </c>
    </row>
    <row r="39" spans="3:4" x14ac:dyDescent="0.25">
      <c r="C39" s="210">
        <v>41729</v>
      </c>
      <c r="D39" s="211">
        <v>105.4</v>
      </c>
    </row>
    <row r="40" spans="3:4" x14ac:dyDescent="0.25">
      <c r="C40" s="210">
        <v>41820</v>
      </c>
      <c r="D40" s="211">
        <v>105.9</v>
      </c>
    </row>
    <row r="41" spans="3:4" x14ac:dyDescent="0.25">
      <c r="C41" s="210">
        <v>41912</v>
      </c>
      <c r="D41" s="211">
        <v>106.4</v>
      </c>
    </row>
    <row r="42" spans="3:4" x14ac:dyDescent="0.25">
      <c r="C42" s="210">
        <v>42004</v>
      </c>
      <c r="D42" s="211">
        <v>106.6</v>
      </c>
    </row>
    <row r="43" spans="3:4" x14ac:dyDescent="0.25">
      <c r="C43" s="210">
        <v>42094</v>
      </c>
      <c r="D43" s="211">
        <v>106.8</v>
      </c>
    </row>
    <row r="44" spans="3:4" x14ac:dyDescent="0.25">
      <c r="C44" s="210">
        <v>42185</v>
      </c>
      <c r="D44" s="211">
        <v>107.5</v>
      </c>
    </row>
    <row r="45" spans="3:4" x14ac:dyDescent="0.25">
      <c r="C45" s="210">
        <v>42277</v>
      </c>
      <c r="D45" s="211">
        <v>108</v>
      </c>
    </row>
    <row r="46" spans="3:4" x14ac:dyDescent="0.25">
      <c r="C46" s="210">
        <v>42369</v>
      </c>
      <c r="D46" s="211">
        <v>108.4</v>
      </c>
    </row>
    <row r="47" spans="3:4" x14ac:dyDescent="0.25">
      <c r="C47" s="210">
        <v>42460</v>
      </c>
      <c r="D47" s="211">
        <v>108.2</v>
      </c>
    </row>
    <row r="48" spans="3:4" x14ac:dyDescent="0.25">
      <c r="C48" s="210">
        <v>42551</v>
      </c>
      <c r="D48" s="211">
        <v>108.6</v>
      </c>
    </row>
    <row r="49" spans="3:4" x14ac:dyDescent="0.25">
      <c r="C49" s="210">
        <v>42643</v>
      </c>
      <c r="D49" s="211">
        <v>109.4</v>
      </c>
    </row>
    <row r="50" spans="3:4" x14ac:dyDescent="0.25">
      <c r="C50" s="210">
        <v>42735</v>
      </c>
      <c r="D50" s="211">
        <v>110</v>
      </c>
    </row>
    <row r="51" spans="3:4" x14ac:dyDescent="0.25">
      <c r="C51" s="210">
        <v>42825</v>
      </c>
      <c r="D51" s="211">
        <v>110.5</v>
      </c>
    </row>
    <row r="52" spans="3:4" x14ac:dyDescent="0.25">
      <c r="C52" s="210">
        <v>42916</v>
      </c>
      <c r="D52" s="211">
        <v>110.7</v>
      </c>
    </row>
    <row r="53" spans="3:4" x14ac:dyDescent="0.25">
      <c r="C53" s="210">
        <v>43008</v>
      </c>
      <c r="D53" s="211">
        <v>111.4</v>
      </c>
    </row>
    <row r="54" spans="3:4" x14ac:dyDescent="0.25">
      <c r="C54" s="210">
        <v>43100</v>
      </c>
      <c r="D54" s="211">
        <v>112.1</v>
      </c>
    </row>
    <row r="55" spans="3:4" x14ac:dyDescent="0.25">
      <c r="C55" s="210">
        <v>43190</v>
      </c>
      <c r="D55" s="211">
        <v>112.6</v>
      </c>
    </row>
    <row r="56" spans="3:4" x14ac:dyDescent="0.25">
      <c r="C56" s="210">
        <v>43281</v>
      </c>
      <c r="D56" s="211">
        <v>113</v>
      </c>
    </row>
    <row r="57" spans="3:4" x14ac:dyDescent="0.25">
      <c r="C57" s="210">
        <v>43373</v>
      </c>
      <c r="D57" s="211">
        <v>113.5</v>
      </c>
    </row>
    <row r="58" spans="3:4" x14ac:dyDescent="0.25">
      <c r="C58" s="210">
        <v>43465</v>
      </c>
      <c r="D58" s="211">
        <v>114.1</v>
      </c>
    </row>
    <row r="59" spans="3:4" x14ac:dyDescent="0.25">
      <c r="C59" s="210">
        <v>43555</v>
      </c>
      <c r="D59" s="211">
        <v>114.1</v>
      </c>
    </row>
    <row r="60" spans="3:4" x14ac:dyDescent="0.25">
      <c r="C60" s="210">
        <v>43646</v>
      </c>
      <c r="D60" s="211">
        <v>114.8</v>
      </c>
    </row>
    <row r="61" spans="3:4" x14ac:dyDescent="0.25">
      <c r="C61" s="210">
        <v>43738</v>
      </c>
      <c r="D61" s="211">
        <v>115.4</v>
      </c>
    </row>
    <row r="62" spans="3:4" x14ac:dyDescent="0.25">
      <c r="C62" s="210">
        <v>43830</v>
      </c>
      <c r="D62" s="211">
        <v>116.2</v>
      </c>
    </row>
    <row r="63" spans="3:4" x14ac:dyDescent="0.25">
      <c r="C63" s="210">
        <v>43921</v>
      </c>
      <c r="D63" s="211">
        <v>116.6</v>
      </c>
    </row>
    <row r="64" spans="3:4" x14ac:dyDescent="0.25">
      <c r="C64" s="210">
        <v>44012</v>
      </c>
      <c r="D64" s="211">
        <v>114.4</v>
      </c>
    </row>
    <row r="65" spans="3:4" x14ac:dyDescent="0.25">
      <c r="C65" s="210">
        <v>44104</v>
      </c>
      <c r="D65" s="211">
        <v>116.2</v>
      </c>
    </row>
    <row r="66" spans="3:4" x14ac:dyDescent="0.25">
      <c r="C66" s="210">
        <v>44196</v>
      </c>
      <c r="D66" s="211">
        <v>117.2</v>
      </c>
    </row>
    <row r="67" spans="3:4" x14ac:dyDescent="0.25">
      <c r="C67" s="210">
        <v>44286</v>
      </c>
      <c r="D67" s="211">
        <v>117.9</v>
      </c>
    </row>
    <row r="68" spans="3:4" x14ac:dyDescent="0.25">
      <c r="C68" s="210">
        <v>44377</v>
      </c>
      <c r="D68" s="211">
        <v>118.8</v>
      </c>
    </row>
    <row r="69" spans="3:4" x14ac:dyDescent="0.25">
      <c r="C69" s="210">
        <v>44469</v>
      </c>
      <c r="D69" s="211">
        <v>119.7</v>
      </c>
    </row>
    <row r="70" spans="3:4" x14ac:dyDescent="0.25">
      <c r="C70" s="210">
        <v>44561</v>
      </c>
      <c r="D70" s="211">
        <v>121.3</v>
      </c>
    </row>
    <row r="71" spans="3:4" x14ac:dyDescent="0.25">
      <c r="C71" s="210">
        <v>44651</v>
      </c>
      <c r="D71" s="211">
        <v>123.9</v>
      </c>
    </row>
    <row r="72" spans="3:4" x14ac:dyDescent="0.25">
      <c r="C72" s="210">
        <v>44742</v>
      </c>
      <c r="D72" s="211">
        <v>126.1</v>
      </c>
    </row>
    <row r="73" spans="3:4" x14ac:dyDescent="0.25">
      <c r="C73" s="210">
        <v>44834</v>
      </c>
      <c r="D73" s="211">
        <v>128.4</v>
      </c>
    </row>
    <row r="74" spans="3:4" x14ac:dyDescent="0.25">
      <c r="C74" s="210">
        <v>44926</v>
      </c>
      <c r="D74" s="211">
        <v>130.80000000000001</v>
      </c>
    </row>
    <row r="75" spans="3:4" x14ac:dyDescent="0.25">
      <c r="C75" s="210">
        <v>45016</v>
      </c>
      <c r="D75" s="211">
        <v>132.6</v>
      </c>
    </row>
    <row r="76" spans="3:4" x14ac:dyDescent="0.25">
      <c r="C76" s="210">
        <v>45107</v>
      </c>
      <c r="D76" s="211">
        <v>133.69999999999999</v>
      </c>
    </row>
    <row r="77" spans="3:4" x14ac:dyDescent="0.25">
      <c r="C77" s="210">
        <v>45199</v>
      </c>
      <c r="D77" s="211">
        <v>135.30000000000001</v>
      </c>
    </row>
    <row r="78" spans="3:4" x14ac:dyDescent="0.25">
      <c r="C78" s="210">
        <v>45291</v>
      </c>
      <c r="D78" s="211">
        <v>136.1</v>
      </c>
    </row>
    <row r="79" spans="3:4" x14ac:dyDescent="0.25">
      <c r="C79" s="210">
        <v>45382</v>
      </c>
      <c r="D79" s="212"/>
    </row>
    <row r="81" spans="1:14" hidden="1" x14ac:dyDescent="0.25"/>
    <row r="82" spans="1:14" ht="16.5" hidden="1" thickBot="1" x14ac:dyDescent="0.3">
      <c r="A82" s="1" t="s">
        <v>35</v>
      </c>
      <c r="B82" s="161">
        <f ca="1">MAX(B$3:B81)+0.01</f>
        <v>8.0299999999999994</v>
      </c>
      <c r="C82" s="23" t="s">
        <v>507</v>
      </c>
      <c r="D82" s="23"/>
      <c r="E82" s="23"/>
      <c r="F82" s="23"/>
      <c r="G82" s="23"/>
      <c r="H82" s="23"/>
      <c r="I82" s="23"/>
    </row>
    <row r="83" spans="1:14" hidden="1" x14ac:dyDescent="0.25">
      <c r="M83" s="148"/>
    </row>
    <row r="84" spans="1:14" hidden="1" x14ac:dyDescent="0.25">
      <c r="C84" t="s">
        <v>49</v>
      </c>
      <c r="D84" t="s">
        <v>317</v>
      </c>
      <c r="E84" t="s">
        <v>318</v>
      </c>
      <c r="F84" t="s">
        <v>319</v>
      </c>
      <c r="G84" t="s">
        <v>320</v>
      </c>
      <c r="H84" t="s">
        <v>321</v>
      </c>
      <c r="I84" t="s">
        <v>322</v>
      </c>
      <c r="J84" t="s">
        <v>323</v>
      </c>
      <c r="K84" t="s">
        <v>324</v>
      </c>
      <c r="L84" t="s">
        <v>103</v>
      </c>
      <c r="M84" t="s">
        <v>101</v>
      </c>
      <c r="N84" t="s">
        <v>325</v>
      </c>
    </row>
    <row r="85" spans="1:14" hidden="1" x14ac:dyDescent="0.25">
      <c r="C85" t="s">
        <v>131</v>
      </c>
      <c r="D85" s="2" t="s">
        <v>307</v>
      </c>
      <c r="E85" s="2" t="s">
        <v>307</v>
      </c>
      <c r="F85" s="2" t="s">
        <v>307</v>
      </c>
      <c r="G85" s="2" t="s">
        <v>307</v>
      </c>
      <c r="H85" s="2" t="s">
        <v>307</v>
      </c>
      <c r="I85" s="2" t="s">
        <v>307</v>
      </c>
      <c r="J85" s="2" t="s">
        <v>307</v>
      </c>
      <c r="K85" s="2" t="s">
        <v>307</v>
      </c>
      <c r="L85" s="2" t="s">
        <v>307</v>
      </c>
      <c r="M85" s="2" t="s">
        <v>307</v>
      </c>
      <c r="N85" s="2" t="s">
        <v>307</v>
      </c>
    </row>
    <row r="86" spans="1:14" hidden="1" x14ac:dyDescent="0.25">
      <c r="C86" t="s">
        <v>137</v>
      </c>
      <c r="D86" s="2" t="s">
        <v>306</v>
      </c>
      <c r="E86" s="2" t="s">
        <v>306</v>
      </c>
      <c r="F86" s="2" t="s">
        <v>306</v>
      </c>
      <c r="G86" s="2" t="s">
        <v>306</v>
      </c>
      <c r="H86" s="2" t="s">
        <v>306</v>
      </c>
      <c r="I86" s="2" t="s">
        <v>306</v>
      </c>
      <c r="J86" s="2" t="s">
        <v>306</v>
      </c>
      <c r="K86" s="2" t="s">
        <v>306</v>
      </c>
      <c r="L86" s="2" t="s">
        <v>306</v>
      </c>
      <c r="M86" s="2" t="s">
        <v>306</v>
      </c>
      <c r="N86" s="2" t="s">
        <v>306</v>
      </c>
    </row>
    <row r="87" spans="1:14" hidden="1" x14ac:dyDescent="0.25">
      <c r="C87" t="s">
        <v>138</v>
      </c>
      <c r="D87" s="2" t="s">
        <v>307</v>
      </c>
      <c r="E87" s="2" t="s">
        <v>307</v>
      </c>
      <c r="F87" s="2" t="s">
        <v>307</v>
      </c>
      <c r="G87" s="2" t="s">
        <v>307</v>
      </c>
      <c r="H87" s="2" t="s">
        <v>307</v>
      </c>
      <c r="I87" s="2" t="s">
        <v>307</v>
      </c>
      <c r="J87" s="2" t="s">
        <v>307</v>
      </c>
      <c r="K87" s="2" t="s">
        <v>307</v>
      </c>
      <c r="L87" s="2" t="s">
        <v>307</v>
      </c>
      <c r="M87" s="2" t="s">
        <v>307</v>
      </c>
      <c r="N87" s="2" t="s">
        <v>307</v>
      </c>
    </row>
    <row r="88" spans="1:14" hidden="1" x14ac:dyDescent="0.25">
      <c r="C88" t="s">
        <v>140</v>
      </c>
      <c r="D88" s="2" t="s">
        <v>307</v>
      </c>
      <c r="E88" s="2" t="s">
        <v>307</v>
      </c>
      <c r="F88" s="2" t="s">
        <v>307</v>
      </c>
      <c r="G88" s="2" t="s">
        <v>307</v>
      </c>
      <c r="H88" s="2" t="s">
        <v>306</v>
      </c>
      <c r="I88" s="2" t="s">
        <v>306</v>
      </c>
      <c r="J88" s="2" t="s">
        <v>306</v>
      </c>
      <c r="K88" s="2" t="s">
        <v>306</v>
      </c>
      <c r="L88" s="2" t="s">
        <v>306</v>
      </c>
      <c r="M88" s="2" t="s">
        <v>306</v>
      </c>
      <c r="N88" s="2" t="s">
        <v>306</v>
      </c>
    </row>
    <row r="89" spans="1:14" hidden="1" x14ac:dyDescent="0.25">
      <c r="C89" t="s">
        <v>142</v>
      </c>
      <c r="D89" s="2" t="s">
        <v>307</v>
      </c>
      <c r="E89" s="2" t="s">
        <v>307</v>
      </c>
      <c r="F89" s="2" t="s">
        <v>307</v>
      </c>
      <c r="G89" s="2" t="s">
        <v>307</v>
      </c>
      <c r="H89" s="2" t="s">
        <v>307</v>
      </c>
      <c r="I89" s="2" t="s">
        <v>307</v>
      </c>
      <c r="J89" s="2" t="s">
        <v>307</v>
      </c>
      <c r="K89" s="2" t="s">
        <v>307</v>
      </c>
      <c r="L89" s="2" t="s">
        <v>307</v>
      </c>
      <c r="M89" s="2" t="s">
        <v>307</v>
      </c>
      <c r="N89" s="2" t="s">
        <v>307</v>
      </c>
    </row>
    <row r="90" spans="1:14" hidden="1" x14ac:dyDescent="0.25">
      <c r="C90" t="s">
        <v>144</v>
      </c>
      <c r="D90" s="2" t="s">
        <v>307</v>
      </c>
      <c r="E90" s="2" t="s">
        <v>307</v>
      </c>
      <c r="F90" s="2" t="s">
        <v>307</v>
      </c>
      <c r="G90" s="2" t="s">
        <v>306</v>
      </c>
      <c r="H90" s="2" t="s">
        <v>306</v>
      </c>
      <c r="I90" s="2" t="s">
        <v>307</v>
      </c>
      <c r="J90" s="2" t="s">
        <v>306</v>
      </c>
      <c r="K90" s="2" t="s">
        <v>306</v>
      </c>
      <c r="L90" s="2" t="s">
        <v>306</v>
      </c>
      <c r="M90" s="2" t="s">
        <v>306</v>
      </c>
      <c r="N90" s="2" t="s">
        <v>306</v>
      </c>
    </row>
    <row r="91" spans="1:14" hidden="1" x14ac:dyDescent="0.25">
      <c r="C91" t="s">
        <v>146</v>
      </c>
      <c r="D91" s="2" t="s">
        <v>307</v>
      </c>
      <c r="E91" s="2" t="s">
        <v>307</v>
      </c>
      <c r="F91" s="2" t="s">
        <v>307</v>
      </c>
      <c r="G91" s="2" t="s">
        <v>306</v>
      </c>
      <c r="H91" s="2" t="s">
        <v>306</v>
      </c>
      <c r="I91" s="2" t="s">
        <v>307</v>
      </c>
      <c r="J91" s="2" t="s">
        <v>306</v>
      </c>
      <c r="K91" s="2" t="s">
        <v>306</v>
      </c>
      <c r="L91" s="2" t="s">
        <v>306</v>
      </c>
      <c r="M91" s="2" t="s">
        <v>306</v>
      </c>
      <c r="N91" s="2" t="s">
        <v>306</v>
      </c>
    </row>
    <row r="92" spans="1:14" hidden="1" x14ac:dyDescent="0.25">
      <c r="C92" t="s">
        <v>209</v>
      </c>
      <c r="D92" s="2" t="s">
        <v>307</v>
      </c>
      <c r="E92" s="2" t="s">
        <v>307</v>
      </c>
      <c r="F92" s="2" t="s">
        <v>307</v>
      </c>
      <c r="G92" s="2" t="s">
        <v>306</v>
      </c>
      <c r="H92" s="2" t="s">
        <v>306</v>
      </c>
      <c r="I92" s="2" t="s">
        <v>307</v>
      </c>
      <c r="J92" s="2" t="s">
        <v>306</v>
      </c>
      <c r="K92" s="2" t="s">
        <v>306</v>
      </c>
      <c r="L92" s="2" t="s">
        <v>306</v>
      </c>
      <c r="M92" s="2" t="s">
        <v>306</v>
      </c>
      <c r="N92" s="2" t="s">
        <v>306</v>
      </c>
    </row>
    <row r="93" spans="1:14" hidden="1" x14ac:dyDescent="0.25">
      <c r="C93" t="s">
        <v>213</v>
      </c>
      <c r="D93" s="2" t="s">
        <v>306</v>
      </c>
      <c r="E93" s="2" t="s">
        <v>306</v>
      </c>
      <c r="F93" s="2" t="s">
        <v>306</v>
      </c>
      <c r="G93" s="2" t="s">
        <v>306</v>
      </c>
      <c r="H93" s="2" t="s">
        <v>306</v>
      </c>
      <c r="I93" s="2" t="s">
        <v>307</v>
      </c>
      <c r="J93" s="2" t="s">
        <v>306</v>
      </c>
      <c r="K93" s="2" t="s">
        <v>306</v>
      </c>
      <c r="L93" s="2" t="s">
        <v>306</v>
      </c>
      <c r="M93" s="2" t="s">
        <v>306</v>
      </c>
      <c r="N93" s="2" t="s">
        <v>306</v>
      </c>
    </row>
    <row r="94" spans="1:14" hidden="1" x14ac:dyDescent="0.25">
      <c r="C94" t="s">
        <v>214</v>
      </c>
      <c r="D94" s="147" t="s">
        <v>306</v>
      </c>
      <c r="E94" s="147" t="s">
        <v>306</v>
      </c>
      <c r="F94" s="147" t="s">
        <v>306</v>
      </c>
      <c r="G94" s="147" t="s">
        <v>306</v>
      </c>
      <c r="H94" s="147" t="s">
        <v>306</v>
      </c>
      <c r="I94" s="147" t="s">
        <v>307</v>
      </c>
      <c r="J94" s="2" t="s">
        <v>306</v>
      </c>
      <c r="K94" s="2" t="s">
        <v>306</v>
      </c>
      <c r="L94" s="2" t="s">
        <v>306</v>
      </c>
      <c r="M94" s="2" t="s">
        <v>306</v>
      </c>
      <c r="N94" s="2" t="s">
        <v>306</v>
      </c>
    </row>
    <row r="95" spans="1:14" hidden="1" x14ac:dyDescent="0.25">
      <c r="C95" t="s">
        <v>147</v>
      </c>
      <c r="D95" s="147" t="s">
        <v>306</v>
      </c>
      <c r="E95" s="147" t="s">
        <v>306</v>
      </c>
      <c r="F95" s="147" t="s">
        <v>306</v>
      </c>
      <c r="G95" s="147" t="s">
        <v>306</v>
      </c>
      <c r="H95" s="147" t="s">
        <v>306</v>
      </c>
      <c r="I95" s="147" t="s">
        <v>306</v>
      </c>
      <c r="J95" s="147" t="s">
        <v>306</v>
      </c>
      <c r="K95" s="147" t="s">
        <v>306</v>
      </c>
      <c r="L95" s="147" t="s">
        <v>306</v>
      </c>
      <c r="M95" s="147" t="s">
        <v>306</v>
      </c>
      <c r="N95" s="147" t="s">
        <v>306</v>
      </c>
    </row>
    <row r="96" spans="1:14" hidden="1" x14ac:dyDescent="0.25">
      <c r="C96" t="s">
        <v>148</v>
      </c>
      <c r="D96" s="147" t="s">
        <v>306</v>
      </c>
      <c r="E96" s="147" t="s">
        <v>306</v>
      </c>
      <c r="F96" s="147" t="s">
        <v>306</v>
      </c>
      <c r="G96" s="147" t="s">
        <v>306</v>
      </c>
      <c r="H96" s="147" t="s">
        <v>306</v>
      </c>
      <c r="I96" s="147" t="s">
        <v>306</v>
      </c>
      <c r="J96" s="147" t="s">
        <v>306</v>
      </c>
      <c r="K96" s="147" t="s">
        <v>306</v>
      </c>
      <c r="L96" s="147" t="s">
        <v>306</v>
      </c>
      <c r="M96" s="147" t="s">
        <v>306</v>
      </c>
      <c r="N96" s="147" t="s">
        <v>306</v>
      </c>
    </row>
    <row r="97" spans="3:14" hidden="1" x14ac:dyDescent="0.25">
      <c r="C97" t="s">
        <v>149</v>
      </c>
      <c r="D97" s="147" t="s">
        <v>306</v>
      </c>
      <c r="E97" s="147" t="s">
        <v>306</v>
      </c>
      <c r="F97" s="147" t="s">
        <v>306</v>
      </c>
      <c r="G97" s="147" t="s">
        <v>306</v>
      </c>
      <c r="H97" s="147" t="s">
        <v>306</v>
      </c>
      <c r="I97" s="147" t="s">
        <v>306</v>
      </c>
      <c r="J97" s="147" t="s">
        <v>306</v>
      </c>
      <c r="K97" s="147" t="s">
        <v>306</v>
      </c>
      <c r="L97" s="147" t="s">
        <v>306</v>
      </c>
      <c r="M97" s="147" t="s">
        <v>306</v>
      </c>
      <c r="N97" s="147" t="s">
        <v>306</v>
      </c>
    </row>
    <row r="98" spans="3:14" hidden="1" x14ac:dyDescent="0.25">
      <c r="C98" t="s">
        <v>216</v>
      </c>
      <c r="D98" s="147" t="s">
        <v>306</v>
      </c>
      <c r="E98" s="147" t="s">
        <v>306</v>
      </c>
      <c r="F98" s="147" t="s">
        <v>306</v>
      </c>
      <c r="G98" s="147" t="s">
        <v>306</v>
      </c>
      <c r="H98" s="147" t="s">
        <v>306</v>
      </c>
      <c r="I98" s="147" t="s">
        <v>306</v>
      </c>
      <c r="J98" s="147" t="s">
        <v>306</v>
      </c>
      <c r="K98" s="147" t="s">
        <v>306</v>
      </c>
      <c r="L98" s="147" t="s">
        <v>306</v>
      </c>
      <c r="M98" s="147" t="s">
        <v>306</v>
      </c>
      <c r="N98" s="147" t="s">
        <v>306</v>
      </c>
    </row>
    <row r="99" spans="3:14" hidden="1" x14ac:dyDescent="0.25">
      <c r="C99" t="s">
        <v>217</v>
      </c>
      <c r="D99" s="147" t="s">
        <v>306</v>
      </c>
      <c r="E99" s="147" t="s">
        <v>306</v>
      </c>
      <c r="F99" s="147" t="s">
        <v>306</v>
      </c>
      <c r="G99" s="147" t="s">
        <v>306</v>
      </c>
      <c r="H99" s="147" t="s">
        <v>306</v>
      </c>
      <c r="I99" s="147" t="s">
        <v>306</v>
      </c>
      <c r="J99" s="147" t="s">
        <v>306</v>
      </c>
      <c r="K99" s="147" t="s">
        <v>306</v>
      </c>
      <c r="L99" s="147" t="s">
        <v>306</v>
      </c>
      <c r="M99" s="147" t="s">
        <v>306</v>
      </c>
      <c r="N99" s="147" t="s">
        <v>306</v>
      </c>
    </row>
    <row r="100" spans="3:14" hidden="1" x14ac:dyDescent="0.25">
      <c r="C100" t="s">
        <v>218</v>
      </c>
      <c r="D100" s="147" t="s">
        <v>306</v>
      </c>
      <c r="E100" s="147" t="s">
        <v>306</v>
      </c>
      <c r="F100" s="147" t="s">
        <v>306</v>
      </c>
      <c r="G100" s="147" t="s">
        <v>306</v>
      </c>
      <c r="H100" s="147" t="s">
        <v>306</v>
      </c>
      <c r="I100" s="147" t="s">
        <v>306</v>
      </c>
      <c r="J100" s="147" t="s">
        <v>306</v>
      </c>
      <c r="K100" s="147" t="s">
        <v>306</v>
      </c>
      <c r="L100" s="147" t="s">
        <v>306</v>
      </c>
      <c r="M100" s="147" t="s">
        <v>306</v>
      </c>
      <c r="N100" s="147" t="s">
        <v>306</v>
      </c>
    </row>
  </sheetData>
  <sheetProtection algorithmName="SHA-512" hashValue="pxbQWlNcKK/70O6FpKbot5Sp2TeEy/775Sirn/n4pZZvhucn1DaPOfoAaekOF6yrH2uoMOu/l+Gqq/O/GcWZDA==" saltValue="uw6qw+kZAvRxlnNqIq/TZg==" spinCount="100000" sheet="1" objects="1" scenarios="1"/>
  <mergeCells count="1">
    <mergeCell ref="A2:A3"/>
  </mergeCells>
  <phoneticPr fontId="30" type="noConversion"/>
  <pageMargins left="0.7" right="0.7" top="0.75" bottom="0.75" header="0.3" footer="0.3"/>
  <pageSetup paperSize="9" orientation="portrait" r:id="rId1"/>
  <headerFooter>
    <oddHeader>&amp;C&amp;B&amp;"Arial"&amp;12&amp;Kff0000​‌OFFICIAL‌​</oddHeader>
  </headerFooter>
  <tableParts count="3">
    <tablePart r:id="rId2"/>
    <tablePart r:id="rId3"/>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0750735-AC25-4CD6-90CF-6D1FD29F38AF}">
          <x14:formula1>
            <xm:f>'Lookup refs'!$M$8:$M$9</xm:f>
          </x14:formula1>
          <xm:sqref>D85:J100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8B75-F4F5-4252-87E0-2C383E67EA33}">
  <sheetPr>
    <tabColor rgb="FF236192"/>
    <outlinePr summaryBelow="0"/>
    <pageSetUpPr autoPageBreaks="0"/>
  </sheetPr>
  <dimension ref="A1:T447"/>
  <sheetViews>
    <sheetView showGridLines="0" topLeftCell="B1" zoomScale="85" zoomScaleNormal="85" workbookViewId="0">
      <pane ySplit="3" topLeftCell="A4" activePane="bottomLeft" state="frozen"/>
      <selection activeCell="B33" sqref="B33"/>
      <selection pane="bottomLeft" activeCell="D24" sqref="D24"/>
    </sheetView>
  </sheetViews>
  <sheetFormatPr defaultColWidth="9.42578125" defaultRowHeight="15" outlineLevelRow="1" outlineLevelCol="1" x14ac:dyDescent="0.25"/>
  <cols>
    <col min="1" max="1" width="100.5703125" hidden="1" customWidth="1" outlineLevel="1"/>
    <col min="2" max="2" width="10.5703125" style="5" customWidth="1" collapsed="1"/>
    <col min="3" max="3" width="53.42578125" bestFit="1" customWidth="1"/>
    <col min="4" max="17" width="20.5703125" customWidth="1"/>
  </cols>
  <sheetData>
    <row r="1" spans="1:17" ht="15" customHeight="1" x14ac:dyDescent="0.25">
      <c r="A1" s="1" t="s">
        <v>32</v>
      </c>
      <c r="B1" s="16"/>
      <c r="C1" s="17"/>
      <c r="D1" s="17"/>
      <c r="E1" s="17"/>
      <c r="F1" s="17"/>
      <c r="G1" s="17"/>
      <c r="H1" s="17"/>
      <c r="I1" s="17"/>
      <c r="J1" s="17"/>
      <c r="K1" s="17"/>
      <c r="L1" s="17"/>
      <c r="M1" s="17"/>
      <c r="N1" s="17"/>
      <c r="O1" s="17"/>
      <c r="P1" s="17"/>
      <c r="Q1" s="17"/>
    </row>
    <row r="2" spans="1:17" s="3" customFormat="1" ht="50.1" customHeight="1" x14ac:dyDescent="0.25">
      <c r="A2" s="234" t="s">
        <v>33</v>
      </c>
      <c r="B2" s="20"/>
      <c r="C2" s="20" t="str">
        <f>Disclaimer!$B$1</f>
        <v>VDO calculation model</v>
      </c>
      <c r="D2" s="20"/>
      <c r="E2" s="20"/>
      <c r="F2" s="20"/>
      <c r="G2" s="20"/>
      <c r="H2" s="20"/>
      <c r="I2" s="20"/>
      <c r="J2" s="20"/>
      <c r="K2" s="20"/>
      <c r="L2" s="20"/>
      <c r="M2" s="20"/>
      <c r="N2" s="20"/>
      <c r="O2" s="20"/>
      <c r="P2" s="20"/>
      <c r="Q2" s="20"/>
    </row>
    <row r="3" spans="1:17" s="3" customFormat="1" ht="30" customHeight="1" x14ac:dyDescent="0.25">
      <c r="A3" s="234"/>
      <c r="B3" s="22">
        <f ca="1">_xlfn.SHEET()</f>
        <v>9</v>
      </c>
      <c r="C3" s="21" t="s">
        <v>398</v>
      </c>
      <c r="D3" s="21"/>
      <c r="E3" s="21"/>
      <c r="F3" s="21"/>
      <c r="G3" s="21"/>
      <c r="H3" s="21"/>
      <c r="I3" s="21"/>
      <c r="J3" s="21"/>
      <c r="K3" s="21"/>
      <c r="L3" s="21"/>
      <c r="M3" s="21"/>
      <c r="N3" s="21"/>
      <c r="O3" s="21"/>
      <c r="P3" s="21"/>
      <c r="Q3" s="21"/>
    </row>
    <row r="4" spans="1:17" x14ac:dyDescent="0.25">
      <c r="B4"/>
    </row>
    <row r="5" spans="1:17" ht="15.75" x14ac:dyDescent="0.25">
      <c r="B5"/>
      <c r="C5" s="39" t="s">
        <v>47</v>
      </c>
      <c r="D5" s="30" t="str">
        <f>Calc_Rates!$D$5</f>
        <v>VDO 2024-25 - Draft</v>
      </c>
      <c r="G5" s="169"/>
    </row>
    <row r="6" spans="1:17" x14ac:dyDescent="0.25">
      <c r="B6"/>
    </row>
    <row r="7" spans="1:17" ht="16.5" thickBot="1" x14ac:dyDescent="0.3">
      <c r="B7" s="161">
        <f ca="1">MAX(B$3:B6)+0.01</f>
        <v>9.01</v>
      </c>
      <c r="C7" s="23" t="s">
        <v>399</v>
      </c>
      <c r="D7" s="23"/>
      <c r="E7" s="23"/>
      <c r="F7" s="23"/>
      <c r="G7" s="23"/>
      <c r="H7" s="23"/>
      <c r="I7" s="23"/>
      <c r="J7" s="23"/>
      <c r="K7" s="23"/>
      <c r="L7" s="23"/>
      <c r="M7" s="23"/>
      <c r="N7" s="23"/>
      <c r="O7" s="23"/>
      <c r="P7" s="23"/>
      <c r="Q7" s="23"/>
    </row>
    <row r="9" spans="1:17" ht="15.75" outlineLevel="1" x14ac:dyDescent="0.25">
      <c r="C9" s="39" t="s">
        <v>400</v>
      </c>
      <c r="D9" s="104">
        <v>12</v>
      </c>
      <c r="H9" s="31" t="s">
        <v>49</v>
      </c>
      <c r="I9" s="31" t="s">
        <v>56</v>
      </c>
      <c r="J9" s="31" t="s">
        <v>57</v>
      </c>
      <c r="K9" s="35" t="s">
        <v>59</v>
      </c>
      <c r="L9" s="35" t="s">
        <v>60</v>
      </c>
      <c r="M9" s="35" t="s">
        <v>61</v>
      </c>
      <c r="N9" s="35" t="s">
        <v>62</v>
      </c>
      <c r="O9" s="35" t="s">
        <v>63</v>
      </c>
      <c r="P9" s="35" t="s">
        <v>401</v>
      </c>
    </row>
    <row r="10" spans="1:17" ht="15.75" outlineLevel="1" x14ac:dyDescent="0.25">
      <c r="C10" s="39" t="s">
        <v>402</v>
      </c>
      <c r="D10" s="105">
        <f>D9/MiY</f>
        <v>1</v>
      </c>
      <c r="H10" s="42" t="s">
        <v>403</v>
      </c>
      <c r="I10" s="18" t="s">
        <v>179</v>
      </c>
      <c r="J10" s="42" t="s">
        <v>133</v>
      </c>
      <c r="K10" s="95">
        <f>INDEX(Calc_TUV_Env_1[[Ausnet]:[United Energy]],MATCH($H10,Calc_TUV_Env_1[[Cost item]:[Cost item]],0),MATCH(K$9,Calc_TUV_Env_1[[#Headers],[Ausnet]:[United Energy]],0))*1000</f>
        <v>0</v>
      </c>
      <c r="L10" s="95">
        <f>INDEX(Calc_TUV_Env_1[[Ausnet]:[United Energy]],MATCH($H10,Calc_TUV_Env_1[[Cost item]:[Cost item]],0),MATCH(L$9,Calc_TUV_Env_1[[#Headers],[Ausnet]:[United Energy]],0))*1000</f>
        <v>0</v>
      </c>
      <c r="M10" s="95">
        <f>INDEX(Calc_TUV_Env_1[[Ausnet]:[United Energy]],MATCH($H10,Calc_TUV_Env_1[[Cost item]:[Cost item]],0),MATCH(M$9,Calc_TUV_Env_1[[#Headers],[Ausnet]:[United Energy]],0))*1000</f>
        <v>0</v>
      </c>
      <c r="N10" s="95">
        <f>INDEX(Calc_TUV_Env_1[[Ausnet]:[United Energy]],MATCH($H10,Calc_TUV_Env_1[[Cost item]:[Cost item]],0),MATCH(N$9,Calc_TUV_Env_1[[#Headers],[Ausnet]:[United Energy]],0))*1000</f>
        <v>0</v>
      </c>
      <c r="O10" s="95">
        <f>INDEX(Calc_TUV_Env_1[[Ausnet]:[United Energy]],MATCH($H10,Calc_TUV_Env_1[[Cost item]:[Cost item]],0),MATCH(O$9,Calc_TUV_Env_1[[#Headers],[Ausnet]:[United Energy]],0))*1000</f>
        <v>0</v>
      </c>
      <c r="P10" s="95">
        <f>IFERROR(AVERAGE(K10:O10),"-")</f>
        <v>0</v>
      </c>
    </row>
    <row r="11" spans="1:17" ht="15.75" outlineLevel="1" x14ac:dyDescent="0.25">
      <c r="C11" s="39" t="s">
        <v>404</v>
      </c>
      <c r="D11" s="104" t="s">
        <v>306</v>
      </c>
      <c r="H11" s="42" t="s">
        <v>405</v>
      </c>
      <c r="I11" s="18" t="s">
        <v>179</v>
      </c>
      <c r="J11" s="42" t="s">
        <v>133</v>
      </c>
      <c r="K11" s="95">
        <f>INDEX(Calc_TUV_Env_1[[Ausnet]:[United Energy]],MATCH($H11,Calc_TUV_Env_1[[Cost item]:[Cost item]],0),MATCH(K$9,Calc_TUV_Env_1[[#Headers],[Ausnet]:[United Energy]],0))*1000</f>
        <v>0</v>
      </c>
      <c r="L11" s="95">
        <f>INDEX(Calc_TUV_Env_1[[Ausnet]:[United Energy]],MATCH($H11,Calc_TUV_Env_1[[Cost item]:[Cost item]],0),MATCH(L$9,Calc_TUV_Env_1[[#Headers],[Ausnet]:[United Energy]],0))*1000</f>
        <v>0</v>
      </c>
      <c r="M11" s="95">
        <f>INDEX(Calc_TUV_Env_1[[Ausnet]:[United Energy]],MATCH($H11,Calc_TUV_Env_1[[Cost item]:[Cost item]],0),MATCH(M$9,Calc_TUV_Env_1[[#Headers],[Ausnet]:[United Energy]],0))*1000</f>
        <v>0</v>
      </c>
      <c r="N11" s="95">
        <f>INDEX(Calc_TUV_Env_1[[Ausnet]:[United Energy]],MATCH($H11,Calc_TUV_Env_1[[Cost item]:[Cost item]],0),MATCH(N$9,Calc_TUV_Env_1[[#Headers],[Ausnet]:[United Energy]],0))*1000</f>
        <v>0</v>
      </c>
      <c r="O11" s="95">
        <f>INDEX(Calc_TUV_Env_1[[Ausnet]:[United Energy]],MATCH($H11,Calc_TUV_Env_1[[Cost item]:[Cost item]],0),MATCH(O$9,Calc_TUV_Env_1[[#Headers],[Ausnet]:[United Energy]],0))*1000</f>
        <v>0</v>
      </c>
      <c r="P11" s="95">
        <f>IFERROR(AVERAGE(K11:O11),"-")</f>
        <v>0</v>
      </c>
    </row>
    <row r="12" spans="1:17" outlineLevel="1" x14ac:dyDescent="0.25">
      <c r="H12" s="42" t="s">
        <v>406</v>
      </c>
      <c r="I12" s="18" t="s">
        <v>179</v>
      </c>
      <c r="J12" s="42" t="s">
        <v>133</v>
      </c>
      <c r="K12" s="95">
        <f>INDEX(Calc_TUV_Env_1[[Ausnet]:[United Energy]],MATCH($H12,Calc_TUV_Env_1[[Cost item]:[Cost item]],0),MATCH(K$9,Calc_TUV_Env_1[[#Headers],[Ausnet]:[United Energy]],0))*1000</f>
        <v>0</v>
      </c>
      <c r="L12" s="95">
        <f>INDEX(Calc_TUV_Env_1[[Ausnet]:[United Energy]],MATCH($H12,Calc_TUV_Env_1[[Cost item]:[Cost item]],0),MATCH(L$9,Calc_TUV_Env_1[[#Headers],[Ausnet]:[United Energy]],0))*1000</f>
        <v>0</v>
      </c>
      <c r="M12" s="95">
        <f>INDEX(Calc_TUV_Env_1[[Ausnet]:[United Energy]],MATCH($H12,Calc_TUV_Env_1[[Cost item]:[Cost item]],0),MATCH(M$9,Calc_TUV_Env_1[[#Headers],[Ausnet]:[United Energy]],0))*1000</f>
        <v>0</v>
      </c>
      <c r="N12" s="95">
        <f>INDEX(Calc_TUV_Env_1[[Ausnet]:[United Energy]],MATCH($H12,Calc_TUV_Env_1[[Cost item]:[Cost item]],0),MATCH(N$9,Calc_TUV_Env_1[[#Headers],[Ausnet]:[United Energy]],0))*1000</f>
        <v>0</v>
      </c>
      <c r="O12" s="95">
        <f>INDEX(Calc_TUV_Env_1[[Ausnet]:[United Energy]],MATCH($H12,Calc_TUV_Env_1[[Cost item]:[Cost item]],0),MATCH(O$9,Calc_TUV_Env_1[[#Headers],[Ausnet]:[United Energy]],0))*1000</f>
        <v>0</v>
      </c>
      <c r="P12" s="95">
        <f>IFERROR(AVERAGE(K12:O12),"-")</f>
        <v>0</v>
      </c>
    </row>
    <row r="13" spans="1:17" ht="15.75" outlineLevel="1" x14ac:dyDescent="0.25">
      <c r="C13" s="24"/>
    </row>
    <row r="14" spans="1:17" ht="15.75" outlineLevel="1" x14ac:dyDescent="0.25">
      <c r="C14" s="24" t="s">
        <v>407</v>
      </c>
    </row>
    <row r="15" spans="1:17" ht="15.75" outlineLevel="1" x14ac:dyDescent="0.25">
      <c r="C15" s="32" t="s">
        <v>49</v>
      </c>
      <c r="D15" s="32" t="s">
        <v>47</v>
      </c>
      <c r="E15" s="32" t="s">
        <v>408</v>
      </c>
      <c r="F15" s="32" t="s">
        <v>409</v>
      </c>
      <c r="G15" s="32" t="s">
        <v>410</v>
      </c>
      <c r="H15" s="32" t="s">
        <v>108</v>
      </c>
      <c r="I15" s="32" t="s">
        <v>56</v>
      </c>
      <c r="J15" s="31" t="s">
        <v>57</v>
      </c>
      <c r="K15" s="43" t="s">
        <v>59</v>
      </c>
      <c r="L15" s="43" t="s">
        <v>60</v>
      </c>
      <c r="M15" s="43" t="s">
        <v>61</v>
      </c>
      <c r="N15" s="43" t="s">
        <v>62</v>
      </c>
      <c r="O15" s="43" t="s">
        <v>63</v>
      </c>
    </row>
    <row r="16" spans="1:17" outlineLevel="1" x14ac:dyDescent="0.25">
      <c r="C16" s="18"/>
      <c r="D16" s="18"/>
      <c r="E16" s="18"/>
      <c r="F16" s="18"/>
      <c r="G16" s="18"/>
      <c r="H16" s="18"/>
      <c r="I16" s="18"/>
      <c r="J16" s="18"/>
      <c r="K16" s="18"/>
      <c r="L16" s="18"/>
      <c r="M16" s="18"/>
      <c r="N16" s="18"/>
      <c r="O16" s="18"/>
    </row>
    <row r="17" spans="3:15" outlineLevel="1" x14ac:dyDescent="0.25">
      <c r="C17" s="40" t="s">
        <v>305</v>
      </c>
      <c r="D17" s="40"/>
      <c r="E17" s="40"/>
      <c r="F17" s="40"/>
      <c r="G17" s="30" t="str">
        <f>INDEX(Input_TU_YesNo[],MATCH(Calc_TUV_Env_1[[#This Row],[Cost item]],Input_TU_YesNo[Component],0),MATCH($D$5,Inputs!$C$210:$BM$210,0))</f>
        <v>No</v>
      </c>
      <c r="H17" s="49"/>
      <c r="I17" s="18"/>
      <c r="J17" s="18"/>
      <c r="L17" s="18"/>
      <c r="M17" s="18"/>
      <c r="N17" s="18"/>
      <c r="O17" s="18"/>
    </row>
    <row r="18" spans="3:15" outlineLevel="1" x14ac:dyDescent="0.25">
      <c r="C18" s="18" t="s">
        <v>201</v>
      </c>
      <c r="D18" s="60" t="str">
        <f>$D$5</f>
        <v>VDO 2024-25 - Draft</v>
      </c>
      <c r="E18" s="18" t="s">
        <v>316</v>
      </c>
      <c r="F18" s="60" t="str">
        <f>INDEX(Inputs!$C$17:$AZ$17,1,MATCH($D18,Inputs!$C$15:$AZ$15,0))</f>
        <v>D-NextVDO_Input</v>
      </c>
      <c r="G18" s="41"/>
      <c r="H18" s="18" t="s">
        <v>178</v>
      </c>
      <c r="I18" s="18" t="s">
        <v>200</v>
      </c>
      <c r="J18" s="42" t="s">
        <v>133</v>
      </c>
      <c r="K18" s="46">
        <f>IFERROR(INDEX(Input_TUEnv_Actual[],MATCH($C18,Input_TUEnv_Actual[Cost item],0),MATCH($F18,Input_TUEnv_Actual[#Headers],0)),"-")</f>
        <v>54.83</v>
      </c>
      <c r="L18" s="46">
        <f>IFERROR(INDEX(Input_TUEnv_Actual[],MATCH($C18,Input_TUEnv_Actual[Cost item],0),MATCH($F18,Input_TUEnv_Actual[#Headers],0)),"-")</f>
        <v>54.83</v>
      </c>
      <c r="M18" s="46">
        <f>IFERROR(INDEX(Input_TUEnv_Actual[],MATCH($C18,Input_TUEnv_Actual[Cost item],0),MATCH($F18,Input_TUEnv_Actual[#Headers],0)),"-")</f>
        <v>54.83</v>
      </c>
      <c r="N18" s="46">
        <f>IFERROR(INDEX(Input_TUEnv_Actual[],MATCH($C18,Input_TUEnv_Actual[Cost item],0),MATCH($F18,Input_TUEnv_Actual[#Headers],0)),"-")</f>
        <v>54.83</v>
      </c>
      <c r="O18" s="46">
        <f>IFERROR(INDEX(Input_TUEnv_Actual[],MATCH($C18,Input_TUEnv_Actual[Cost item],0),MATCH($F18,Input_TUEnv_Actual[#Headers],0)),"-")</f>
        <v>54.83</v>
      </c>
    </row>
    <row r="19" spans="3:15" outlineLevel="1" x14ac:dyDescent="0.25">
      <c r="C19" s="18" t="s">
        <v>205</v>
      </c>
      <c r="D19" s="60" t="str">
        <f>$D$5</f>
        <v>VDO 2024-25 - Draft</v>
      </c>
      <c r="E19" s="18" t="s">
        <v>316</v>
      </c>
      <c r="F19" s="60" t="str">
        <f>INDEX(Inputs!$C$17:$AZ$17,1,MATCH($D19,Inputs!$C$15:$AZ$15,0))</f>
        <v>D-NextVDO_Input</v>
      </c>
      <c r="G19" s="41"/>
      <c r="H19" s="18" t="s">
        <v>178</v>
      </c>
      <c r="I19" s="18" t="s">
        <v>204</v>
      </c>
      <c r="J19" s="42" t="s">
        <v>133</v>
      </c>
      <c r="K19" s="48">
        <f>IFERROR(INDEX(Input_TUEnv_Actual[],MATCH($C19,Input_TUEnv_Actual[Cost item],0),MATCH($F19,Input_TUEnv_Actual[#Headers],0)),"-")</f>
        <v>0.18959999999999999</v>
      </c>
      <c r="L19" s="48">
        <f>IFERROR(INDEX(Input_TUEnv_Actual[],MATCH($C19,Input_TUEnv_Actual[Cost item],0),MATCH($F19,Input_TUEnv_Actual[#Headers],0)),"-")</f>
        <v>0.18959999999999999</v>
      </c>
      <c r="M19" s="48">
        <f>IFERROR(INDEX(Input_TUEnv_Actual[],MATCH($C19,Input_TUEnv_Actual[Cost item],0),MATCH($F19,Input_TUEnv_Actual[#Headers],0)),"-")</f>
        <v>0.18959999999999999</v>
      </c>
      <c r="N19" s="48">
        <f>IFERROR(INDEX(Input_TUEnv_Actual[],MATCH($C19,Input_TUEnv_Actual[Cost item],0),MATCH($F19,Input_TUEnv_Actual[#Headers],0)),"-")</f>
        <v>0.18959999999999999</v>
      </c>
      <c r="O19" s="48">
        <f>IFERROR(INDEX(Input_TUEnv_Actual[],MATCH($C19,Input_TUEnv_Actual[Cost item],0),MATCH($F19,Input_TUEnv_Actual[#Headers],0)),"-")</f>
        <v>0.18959999999999999</v>
      </c>
    </row>
    <row r="20" spans="3:15" outlineLevel="1" x14ac:dyDescent="0.25">
      <c r="C20" s="18" t="s">
        <v>411</v>
      </c>
      <c r="D20" s="60" t="str">
        <f>$D$5</f>
        <v>VDO 2024-25 - Draft</v>
      </c>
      <c r="E20" s="18" t="s">
        <v>316</v>
      </c>
      <c r="F20" s="60" t="str">
        <f>INDEX(Inputs!$C$17:$AZ$17,1,MATCH($D20,Inputs!$C$15:$AZ$15,0))</f>
        <v>D-NextVDO_Input</v>
      </c>
      <c r="G20" s="41"/>
      <c r="H20" s="18" t="s">
        <v>178</v>
      </c>
      <c r="I20" s="18" t="s">
        <v>69</v>
      </c>
      <c r="J20" s="42" t="s">
        <v>133</v>
      </c>
      <c r="K20" s="45">
        <f>K18*K19/1000</f>
        <v>1.0395767999999998E-2</v>
      </c>
      <c r="L20" s="45">
        <f>L18*L19/1000</f>
        <v>1.0395767999999998E-2</v>
      </c>
      <c r="M20" s="45">
        <f>M18*M19/1000</f>
        <v>1.0395767999999998E-2</v>
      </c>
      <c r="N20" s="45">
        <f>N18*N19/1000</f>
        <v>1.0395767999999998E-2</v>
      </c>
      <c r="O20" s="45">
        <f>O18*O19/1000</f>
        <v>1.0395767999999998E-2</v>
      </c>
    </row>
    <row r="21" spans="3:15" outlineLevel="1" x14ac:dyDescent="0.25">
      <c r="C21" s="18" t="s">
        <v>201</v>
      </c>
      <c r="D21" s="60" t="str">
        <f>INDEX(Input_DecisionActual[[Decision]:[Decision]],MATCH($D$5,Input_DecisionActual[[VDO period]:[VDO period]],0),1)</f>
        <v>VDO 2023-24 - Final</v>
      </c>
      <c r="E21" s="18" t="s">
        <v>96</v>
      </c>
      <c r="F21" s="60" t="str">
        <f>IF($D21="-","-",INDEX(Inputs!$C$17:$AZ$17,1,MATCH($D21,Inputs!$C$15:$AZ$15,0)))</f>
        <v>F-CurrentVDO_Input</v>
      </c>
      <c r="G21" s="41"/>
      <c r="H21" s="18" t="s">
        <v>178</v>
      </c>
      <c r="I21" s="18" t="s">
        <v>200</v>
      </c>
      <c r="J21" s="42" t="s">
        <v>133</v>
      </c>
      <c r="K21" s="47">
        <f>IFERROR(INDEX(Inputs!$C$18:$AZ$141,MATCH($C21,Input_ForRateCalc[Cost item],0),MATCH($F21,Inputs!$C$17:$AZ$17,0)),"-")</f>
        <v>54.83</v>
      </c>
      <c r="L21" s="47">
        <f>IFERROR(INDEX(Inputs!$C$18:$AZ$141,MATCH($C21,Input_ForRateCalc[Cost item],0),MATCH($F21,Inputs!$C$17:$AZ$17,0)),"-")</f>
        <v>54.83</v>
      </c>
      <c r="M21" s="47">
        <f>IFERROR(INDEX(Inputs!$C$18:$AZ$141,MATCH($C21,Input_ForRateCalc[Cost item],0),MATCH($F21,Inputs!$C$17:$AZ$17,0)),"-")</f>
        <v>54.83</v>
      </c>
      <c r="N21" s="47">
        <f>IFERROR(INDEX(Inputs!$C$18:$AZ$141,MATCH($C21,Input_ForRateCalc[Cost item],0),MATCH($F21,Inputs!$C$17:$AZ$17,0)),"-")</f>
        <v>54.83</v>
      </c>
      <c r="O21" s="47">
        <f>IFERROR(INDEX(Inputs!$C$18:$AZ$141,MATCH($C21,Input_ForRateCalc[Cost item],0),MATCH($F21,Inputs!$C$17:$AZ$17,0)),"-")</f>
        <v>54.83</v>
      </c>
    </row>
    <row r="22" spans="3:15" outlineLevel="1" x14ac:dyDescent="0.25">
      <c r="C22" s="18" t="s">
        <v>205</v>
      </c>
      <c r="D22" s="60" t="str">
        <f>INDEX(Input_DecisionActual[[Decision]:[Decision]],MATCH($D$5,Input_DecisionActual[[VDO period]:[VDO period]],0),1)</f>
        <v>VDO 2023-24 - Final</v>
      </c>
      <c r="E22" s="18" t="s">
        <v>96</v>
      </c>
      <c r="F22" s="60" t="str">
        <f>IF($D22="-","-",INDEX(Inputs!$C$17:$AZ$17,1,MATCH($D22,Inputs!$C$15:$AZ$15,0)))</f>
        <v>F-CurrentVDO_Input</v>
      </c>
      <c r="G22" s="41"/>
      <c r="H22" s="18" t="s">
        <v>178</v>
      </c>
      <c r="I22" s="18" t="s">
        <v>204</v>
      </c>
      <c r="J22" s="42" t="s">
        <v>133</v>
      </c>
      <c r="K22" s="48">
        <f>IFERROR(INDEX(Inputs!$C$18:$AZ$141,MATCH($C22,Input_ForRateCalc[Cost item],0),MATCH($F22,Inputs!$C$17:$AZ$17,0)),"-")</f>
        <v>0.18959999999999999</v>
      </c>
      <c r="L22" s="48">
        <f>IFERROR(INDEX(Inputs!$C$18:$AZ$141,MATCH($C22,Input_ForRateCalc[Cost item],0),MATCH($F22,Inputs!$C$17:$AZ$17,0)),"-")</f>
        <v>0.18959999999999999</v>
      </c>
      <c r="M22" s="48">
        <f>IFERROR(INDEX(Inputs!$C$18:$AZ$141,MATCH($C22,Input_ForRateCalc[Cost item],0),MATCH($F22,Inputs!$C$17:$AZ$17,0)),"-")</f>
        <v>0.18959999999999999</v>
      </c>
      <c r="N22" s="48">
        <f>IFERROR(INDEX(Inputs!$C$18:$AZ$141,MATCH($C22,Input_ForRateCalc[Cost item],0),MATCH($F22,Inputs!$C$17:$AZ$17,0)),"-")</f>
        <v>0.18959999999999999</v>
      </c>
      <c r="O22" s="48">
        <f>IFERROR(INDEX(Inputs!$C$18:$AZ$141,MATCH($C22,Input_ForRateCalc[Cost item],0),MATCH($F22,Inputs!$C$17:$AZ$17,0)),"-")</f>
        <v>0.18959999999999999</v>
      </c>
    </row>
    <row r="23" spans="3:15" outlineLevel="1" x14ac:dyDescent="0.25">
      <c r="C23" s="18" t="s">
        <v>411</v>
      </c>
      <c r="D23" s="60" t="str">
        <f>INDEX(Input_DecisionActual[[Decision]:[Decision]],MATCH($D$5,Input_DecisionActual[[VDO period]:[VDO period]],0),1)</f>
        <v>VDO 2023-24 - Final</v>
      </c>
      <c r="E23" s="18" t="s">
        <v>96</v>
      </c>
      <c r="F23" s="60" t="str">
        <f>IF($D23="-","-",INDEX(Inputs!$C$17:$AZ$17,1,MATCH($D23,Inputs!$C$15:$AZ$15,0)))</f>
        <v>F-CurrentVDO_Input</v>
      </c>
      <c r="G23" s="41"/>
      <c r="H23" s="18" t="s">
        <v>178</v>
      </c>
      <c r="I23" s="18" t="s">
        <v>69</v>
      </c>
      <c r="J23" s="42" t="s">
        <v>133</v>
      </c>
      <c r="K23" s="45">
        <f>IFERROR(K21*K22/1000,"-")</f>
        <v>1.0395767999999998E-2</v>
      </c>
      <c r="L23" s="45">
        <f>IFERROR(L21*L22/1000,"-")</f>
        <v>1.0395767999999998E-2</v>
      </c>
      <c r="M23" s="45">
        <f>IFERROR(M21*M22/1000,"-")</f>
        <v>1.0395767999999998E-2</v>
      </c>
      <c r="N23" s="45">
        <f>IFERROR(N21*N22/1000,"-")</f>
        <v>1.0395767999999998E-2</v>
      </c>
      <c r="O23" s="45">
        <f>IFERROR(O21*O22/1000,"-")</f>
        <v>1.0395767999999998E-2</v>
      </c>
    </row>
    <row r="24" spans="3:15" outlineLevel="1" x14ac:dyDescent="0.25">
      <c r="C24" s="18" t="s">
        <v>412</v>
      </c>
      <c r="D24" s="18"/>
      <c r="E24" s="18"/>
      <c r="F24" s="18"/>
      <c r="G24" s="18"/>
      <c r="H24" s="18" t="s">
        <v>178</v>
      </c>
      <c r="I24" s="18" t="s">
        <v>69</v>
      </c>
      <c r="J24" s="18" t="s">
        <v>133</v>
      </c>
      <c r="K24" s="89">
        <f>IFERROR(K20-K23,"-")</f>
        <v>0</v>
      </c>
      <c r="L24" s="89">
        <f>IFERROR(L20-L23,"-")</f>
        <v>0</v>
      </c>
      <c r="M24" s="89">
        <f>IFERROR(M20-M23,"-")</f>
        <v>0</v>
      </c>
      <c r="N24" s="89">
        <f>IFERROR(N20-N23,"-")</f>
        <v>0</v>
      </c>
      <c r="O24" s="89">
        <f>IFERROR(O20-O23,"-")</f>
        <v>0</v>
      </c>
    </row>
    <row r="25" spans="3:15" outlineLevel="1" x14ac:dyDescent="0.25">
      <c r="C25" s="18" t="s">
        <v>413</v>
      </c>
      <c r="D25" s="60" t="str">
        <f>INDEX(Input_DecisionActual[[Decision]:[Decision]],MATCH($D$5,Input_DecisionActual[[VDO period]:[VDO period]],0),1)</f>
        <v>VDO 2023-24 - Final</v>
      </c>
      <c r="E25" s="18" t="s">
        <v>96</v>
      </c>
      <c r="F25" s="60" t="str">
        <f>IF($D25="-","-",INDEX(Inputs!$C$17:$AZ$17,1,MATCH($D25,Inputs!$C$15:$AZ$15,0)))</f>
        <v>F-CurrentVDO_Input</v>
      </c>
      <c r="G25" s="18"/>
      <c r="H25" s="18" t="s">
        <v>178</v>
      </c>
      <c r="I25" s="18" t="s">
        <v>69</v>
      </c>
      <c r="J25" s="18" t="s">
        <v>133</v>
      </c>
      <c r="K25" s="90">
        <f>IFERROR(K24*(INDEX(Inputs!$C$18:$AZ$141,MATCH("Marginal loss factor - "&amp;K$15,Input_ForRateCalc[Cost item],0),MATCH($F25,Inputs!$C$17:$AZ$17,0))*INDEX(Inputs!$C$18:$AZ$141,MATCH("Distribution loss factor - "&amp;K$15,Input_ForRateCalc[Cost item],0),MATCH($F25,Inputs!$C$17:$AZ$17,0))-1),"-")</f>
        <v>0</v>
      </c>
      <c r="L25" s="90">
        <f>IFERROR(L24*(INDEX(Inputs!$C$18:$AZ$141,MATCH("Marginal loss factor - "&amp;L$15,Input_ForRateCalc[Cost item],0),MATCH($F25,Inputs!$C$17:$AZ$17,0))*INDEX(Inputs!$C$18:$AZ$141,MATCH("Distribution loss factor - "&amp;L$15,Input_ForRateCalc[Cost item],0),MATCH($F25,Inputs!$C$17:$AZ$17,0))-1),"-")</f>
        <v>0</v>
      </c>
      <c r="M25" s="90">
        <f>IFERROR(M24*(INDEX(Inputs!$C$18:$AZ$141,MATCH("Marginal loss factor - "&amp;M$15,Input_ForRateCalc[Cost item],0),MATCH($F25,Inputs!$C$17:$AZ$17,0))*INDEX(Inputs!$C$18:$AZ$141,MATCH("Distribution loss factor - "&amp;M$15,Input_ForRateCalc[Cost item],0),MATCH($F25,Inputs!$C$17:$AZ$17,0))-1),"-")</f>
        <v>0</v>
      </c>
      <c r="N25" s="90">
        <f>IFERROR(N24*(INDEX(Inputs!$C$18:$AZ$141,MATCH("Marginal loss factor - "&amp;N$15,Input_ForRateCalc[Cost item],0),MATCH($F25,Inputs!$C$17:$AZ$17,0))*INDEX(Inputs!$C$18:$AZ$141,MATCH("Distribution loss factor - "&amp;N$15,Input_ForRateCalc[Cost item],0),MATCH($F25,Inputs!$C$17:$AZ$17,0))-1),"-")</f>
        <v>0</v>
      </c>
      <c r="O25" s="90">
        <f>IFERROR(O24*(INDEX(Inputs!$C$18:$AZ$141,MATCH("Marginal loss factor - "&amp;O$15,Input_ForRateCalc[Cost item],0),MATCH($F25,Inputs!$C$17:$AZ$17,0))*INDEX(Inputs!$C$18:$AZ$141,MATCH("Distribution loss factor - "&amp;O$15,Input_ForRateCalc[Cost item],0),MATCH($F25,Inputs!$C$17:$AZ$17,0))-1),"-")</f>
        <v>0</v>
      </c>
    </row>
    <row r="26" spans="3:15" outlineLevel="1" x14ac:dyDescent="0.25">
      <c r="C26" s="18" t="s">
        <v>414</v>
      </c>
      <c r="D26" s="60" t="str">
        <f>INDEX(Input_DecisionActual[[Decision]:[Decision]],MATCH($D$5,Input_DecisionActual[[VDO period]:[VDO period]],0),1)</f>
        <v>VDO 2023-24 - Final</v>
      </c>
      <c r="E26" s="18" t="s">
        <v>96</v>
      </c>
      <c r="F26" s="60" t="str">
        <f>IF($D26="-","-",INDEX(Inputs!$C$17:$AZ$17,1,MATCH($D26,Inputs!$C$15:$AZ$15,0)))</f>
        <v>F-CurrentVDO_Input</v>
      </c>
      <c r="G26" s="18"/>
      <c r="H26" s="18" t="s">
        <v>178</v>
      </c>
      <c r="I26" s="18" t="s">
        <v>69</v>
      </c>
      <c r="J26" s="18" t="s">
        <v>133</v>
      </c>
      <c r="K26" s="90">
        <f>IFERROR(SUM(K24:K25)*(INDEX(Inputs!$C$18:$AZ$141,MATCH("Retail operating margin",Input_ForRateCalc[Cost item],0),MATCH($F26,Inputs!$C$17:$AZ$17,0))),"-")</f>
        <v>0</v>
      </c>
      <c r="L26" s="90">
        <f>IFERROR(SUM(L24:L25)*(INDEX(Inputs!$C$18:$AZ$141,MATCH("Retail operating margin",Input_ForRateCalc[Cost item],0),MATCH($F26,Inputs!$C$17:$AZ$17,0))),"-")</f>
        <v>0</v>
      </c>
      <c r="M26" s="90">
        <f>IFERROR(SUM(M24:M25)*(INDEX(Inputs!$C$18:$AZ$141,MATCH("Retail operating margin",Input_ForRateCalc[Cost item],0),MATCH($F26,Inputs!$C$17:$AZ$17,0))),"-")</f>
        <v>0</v>
      </c>
      <c r="N26" s="90">
        <f>IFERROR(SUM(N24:N25)*(INDEX(Inputs!$C$18:$AZ$141,MATCH("Retail operating margin",Input_ForRateCalc[Cost item],0),MATCH($F26,Inputs!$C$17:$AZ$17,0))),"-")</f>
        <v>0</v>
      </c>
      <c r="O26" s="90">
        <f>IFERROR(SUM(O24:O25)*(INDEX(Inputs!$C$18:$AZ$141,MATCH("Retail operating margin",Input_ForRateCalc[Cost item],0),MATCH($F26,Inputs!$C$17:$AZ$17,0))),"-")</f>
        <v>0</v>
      </c>
    </row>
    <row r="27" spans="3:15" outlineLevel="1" x14ac:dyDescent="0.25">
      <c r="C27" s="18" t="s">
        <v>415</v>
      </c>
      <c r="D27" s="18"/>
      <c r="E27" s="18"/>
      <c r="F27" s="18"/>
      <c r="G27" s="18"/>
      <c r="H27" s="18" t="s">
        <v>178</v>
      </c>
      <c r="I27" s="18" t="s">
        <v>69</v>
      </c>
      <c r="J27" s="18" t="s">
        <v>133</v>
      </c>
      <c r="K27" s="90">
        <f>SUM(K24:K26)*GST</f>
        <v>0</v>
      </c>
      <c r="L27" s="90">
        <f>SUM(L24:L26)*GST</f>
        <v>0</v>
      </c>
      <c r="M27" s="90">
        <f>SUM(M24:M26)*GST</f>
        <v>0</v>
      </c>
      <c r="N27" s="90">
        <f>SUM(N24:N26)*GST</f>
        <v>0</v>
      </c>
      <c r="O27" s="90">
        <f>SUM(O24:O26)*GST</f>
        <v>0</v>
      </c>
    </row>
    <row r="28" spans="3:15" outlineLevel="1" x14ac:dyDescent="0.25">
      <c r="C28" s="42" t="s">
        <v>403</v>
      </c>
      <c r="D28" s="42"/>
      <c r="E28" s="42"/>
      <c r="F28" s="42"/>
      <c r="H28" s="42" t="s">
        <v>178</v>
      </c>
      <c r="I28" s="42" t="s">
        <v>69</v>
      </c>
      <c r="J28" s="42" t="s">
        <v>133</v>
      </c>
      <c r="K28" s="90">
        <f>SUM(K24:K27)</f>
        <v>0</v>
      </c>
      <c r="L28" s="90">
        <f>SUM(L24:L27)</f>
        <v>0</v>
      </c>
      <c r="M28" s="90">
        <f>SUM(M24:M27)</f>
        <v>0</v>
      </c>
      <c r="N28" s="90">
        <f>SUM(N24:N27)</f>
        <v>0</v>
      </c>
      <c r="O28" s="90">
        <f>SUM(O24:O27)</f>
        <v>0</v>
      </c>
    </row>
    <row r="29" spans="3:15" outlineLevel="1" x14ac:dyDescent="0.25">
      <c r="C29" s="18"/>
      <c r="D29" s="18"/>
      <c r="E29" s="18"/>
      <c r="F29" s="18"/>
      <c r="G29" s="18"/>
      <c r="H29" s="18"/>
      <c r="I29" s="18"/>
      <c r="J29" s="18"/>
      <c r="K29" s="90"/>
      <c r="L29" s="90"/>
      <c r="M29" s="90"/>
      <c r="N29" s="90"/>
      <c r="O29" s="90"/>
    </row>
    <row r="30" spans="3:15" outlineLevel="1" x14ac:dyDescent="0.25">
      <c r="C30" s="40" t="s">
        <v>308</v>
      </c>
      <c r="D30" s="40"/>
      <c r="E30" s="40"/>
      <c r="F30" s="40"/>
      <c r="G30" s="30" t="str">
        <f>INDEX(Input_TU_YesNo[],MATCH(Calc_TUV_Env_1[[#This Row],[Cost item]],Input_TU_YesNo[Component],0),MATCH($D$5,Inputs!$C$210:$BM$210,0))</f>
        <v>No</v>
      </c>
      <c r="H30" s="49"/>
      <c r="I30" s="18"/>
      <c r="J30" s="18"/>
      <c r="K30" s="18"/>
      <c r="L30" s="18"/>
      <c r="M30" s="18"/>
      <c r="N30" s="18"/>
      <c r="O30" s="18"/>
    </row>
    <row r="31" spans="3:15" outlineLevel="1" x14ac:dyDescent="0.25">
      <c r="C31" s="18" t="s">
        <v>202</v>
      </c>
      <c r="D31" s="60" t="str">
        <f>$D$5</f>
        <v>VDO 2024-25 - Draft</v>
      </c>
      <c r="E31" s="18" t="s">
        <v>316</v>
      </c>
      <c r="F31" s="60" t="str">
        <f>INDEX(Inputs!$C$17:$AZ$17,1,MATCH($D31,Inputs!$C$15:$AZ$15,0))</f>
        <v>D-NextVDO_Input</v>
      </c>
      <c r="G31" s="41"/>
      <c r="H31" s="18" t="s">
        <v>178</v>
      </c>
      <c r="I31" s="18" t="s">
        <v>200</v>
      </c>
      <c r="J31" s="42" t="s">
        <v>133</v>
      </c>
      <c r="K31" s="46">
        <f>IFERROR(INDEX(Input_TUEnv_Actual[],MATCH($C31,Input_TUEnv_Actual[Cost item],0),MATCH($F31,Input_TUEnv_Actual[#Headers],0)),"-")</f>
        <v>40</v>
      </c>
      <c r="L31" s="46">
        <f>IFERROR(INDEX(Input_TUEnv_Actual[],MATCH($C31,Input_TUEnv_Actual[Cost item],0),MATCH($F31,Input_TUEnv_Actual[#Headers],0)),"-")</f>
        <v>40</v>
      </c>
      <c r="M31" s="46">
        <f>IFERROR(INDEX(Input_TUEnv_Actual[],MATCH($C31,Input_TUEnv_Actual[Cost item],0),MATCH($F31,Input_TUEnv_Actual[#Headers],0)),"-")</f>
        <v>40</v>
      </c>
      <c r="N31" s="46">
        <f>IFERROR(INDEX(Input_TUEnv_Actual[],MATCH($C31,Input_TUEnv_Actual[Cost item],0),MATCH($F31,Input_TUEnv_Actual[#Headers],0)),"-")</f>
        <v>40</v>
      </c>
      <c r="O31" s="46">
        <f>IFERROR(INDEX(Input_TUEnv_Actual[],MATCH($C31,Input_TUEnv_Actual[Cost item],0),MATCH($F31,Input_TUEnv_Actual[#Headers],0)),"-")</f>
        <v>40</v>
      </c>
    </row>
    <row r="32" spans="3:15" outlineLevel="1" x14ac:dyDescent="0.25">
      <c r="C32" s="42" t="s">
        <v>207</v>
      </c>
      <c r="D32" s="60" t="str">
        <f>$D$5</f>
        <v>VDO 2024-25 - Draft</v>
      </c>
      <c r="E32" s="18" t="s">
        <v>316</v>
      </c>
      <c r="F32" s="60" t="str">
        <f>INDEX(Inputs!$C$17:$AZ$17,1,MATCH($D32,Inputs!$C$15:$AZ$15,0))</f>
        <v>D-NextVDO_Input</v>
      </c>
      <c r="G32" s="41"/>
      <c r="H32" s="18" t="s">
        <v>178</v>
      </c>
      <c r="I32" s="18" t="s">
        <v>204</v>
      </c>
      <c r="J32" s="42" t="s">
        <v>133</v>
      </c>
      <c r="K32" s="48">
        <f>IFERROR(INDEX(Input_TUEnv_Actual[],MATCH($C32,Input_TUEnv_Actual[Cost item],0),MATCH($F32,Input_TUEnv_Actual[#Headers],0)),"-")</f>
        <v>0.1714</v>
      </c>
      <c r="L32" s="48">
        <f>IFERROR(INDEX(Input_TUEnv_Actual[],MATCH($C32,Input_TUEnv_Actual[Cost item],0),MATCH($F32,Input_TUEnv_Actual[#Headers],0)),"-")</f>
        <v>0.1714</v>
      </c>
      <c r="M32" s="48">
        <f>IFERROR(INDEX(Input_TUEnv_Actual[],MATCH($C32,Input_TUEnv_Actual[Cost item],0),MATCH($F32,Input_TUEnv_Actual[#Headers],0)),"-")</f>
        <v>0.1714</v>
      </c>
      <c r="N32" s="48">
        <f>IFERROR(INDEX(Input_TUEnv_Actual[],MATCH($C32,Input_TUEnv_Actual[Cost item],0),MATCH($F32,Input_TUEnv_Actual[#Headers],0)),"-")</f>
        <v>0.1714</v>
      </c>
      <c r="O32" s="48">
        <f>IFERROR(INDEX(Input_TUEnv_Actual[],MATCH($C32,Input_TUEnv_Actual[Cost item],0),MATCH($F32,Input_TUEnv_Actual[#Headers],0)),"-")</f>
        <v>0.1714</v>
      </c>
    </row>
    <row r="33" spans="3:15" outlineLevel="1" x14ac:dyDescent="0.25">
      <c r="C33" s="18" t="s">
        <v>411</v>
      </c>
      <c r="D33" s="60" t="str">
        <f>$D$5</f>
        <v>VDO 2024-25 - Draft</v>
      </c>
      <c r="E33" s="18" t="s">
        <v>316</v>
      </c>
      <c r="F33" s="60" t="str">
        <f>INDEX(Inputs!$C$17:$AZ$17,1,MATCH($D33,Inputs!$C$15:$AZ$15,0))</f>
        <v>D-NextVDO_Input</v>
      </c>
      <c r="G33" s="41"/>
      <c r="H33" s="18" t="s">
        <v>178</v>
      </c>
      <c r="I33" s="18" t="s">
        <v>69</v>
      </c>
      <c r="J33" s="42" t="s">
        <v>133</v>
      </c>
      <c r="K33" s="45">
        <f>K31*K32/1000</f>
        <v>6.8560000000000001E-3</v>
      </c>
      <c r="L33" s="45">
        <f>L31*L32/1000</f>
        <v>6.8560000000000001E-3</v>
      </c>
      <c r="M33" s="45">
        <f>M31*M32/1000</f>
        <v>6.8560000000000001E-3</v>
      </c>
      <c r="N33" s="45">
        <f>N31*N32/1000</f>
        <v>6.8560000000000001E-3</v>
      </c>
      <c r="O33" s="45">
        <f>O31*O32/1000</f>
        <v>6.8560000000000001E-3</v>
      </c>
    </row>
    <row r="34" spans="3:15" outlineLevel="1" x14ac:dyDescent="0.25">
      <c r="C34" s="18" t="s">
        <v>202</v>
      </c>
      <c r="D34" s="60" t="str">
        <f>INDEX(Input_DecisionActual[[Decision]:[Decision]],MATCH($D$5,Input_DecisionActual[[VDO period]:[VDO period]],0),1)</f>
        <v>VDO 2023-24 - Final</v>
      </c>
      <c r="E34" s="18" t="s">
        <v>96</v>
      </c>
      <c r="F34" s="60" t="str">
        <f>IF($D34="-","-",INDEX(Inputs!$C$17:$AZ$17,1,MATCH($D34,Inputs!$C$15:$AZ$15,0)))</f>
        <v>F-CurrentVDO_Input</v>
      </c>
      <c r="G34" s="41"/>
      <c r="H34" s="18" t="s">
        <v>178</v>
      </c>
      <c r="I34" s="18" t="s">
        <v>200</v>
      </c>
      <c r="J34" s="42" t="s">
        <v>133</v>
      </c>
      <c r="K34" s="47">
        <f>IFERROR(INDEX(Inputs!$C$18:$AZ$141,MATCH($C34,Input_ForRateCalc[Cost item],0),MATCH($F34,Inputs!$C$17:$AZ$17,0)),"-")</f>
        <v>40</v>
      </c>
      <c r="L34" s="47">
        <f>IFERROR(INDEX(Inputs!$C$18:$AZ$141,MATCH($C34,Input_ForRateCalc[Cost item],0),MATCH($F34,Inputs!$C$17:$AZ$17,0)),"-")</f>
        <v>40</v>
      </c>
      <c r="M34" s="47">
        <f>IFERROR(INDEX(Inputs!$C$18:$AZ$141,MATCH($C34,Input_ForRateCalc[Cost item],0),MATCH($F34,Inputs!$C$17:$AZ$17,0)),"-")</f>
        <v>40</v>
      </c>
      <c r="N34" s="47">
        <f>IFERROR(INDEX(Inputs!$C$18:$AZ$141,MATCH($C34,Input_ForRateCalc[Cost item],0),MATCH($F34,Inputs!$C$17:$AZ$17,0)),"-")</f>
        <v>40</v>
      </c>
      <c r="O34" s="47">
        <f>IFERROR(INDEX(Inputs!$C$18:$AZ$141,MATCH($C34,Input_ForRateCalc[Cost item],0),MATCH($F34,Inputs!$C$17:$AZ$17,0)),"-")</f>
        <v>40</v>
      </c>
    </row>
    <row r="35" spans="3:15" outlineLevel="1" x14ac:dyDescent="0.25">
      <c r="C35" s="42" t="s">
        <v>207</v>
      </c>
      <c r="D35" s="60" t="str">
        <f>INDEX(Input_DecisionActual[[Decision]:[Decision]],MATCH($D$5,Input_DecisionActual[[VDO period]:[VDO period]],0),1)</f>
        <v>VDO 2023-24 - Final</v>
      </c>
      <c r="E35" s="18" t="s">
        <v>96</v>
      </c>
      <c r="F35" s="60" t="str">
        <f>IF($D35="-","-",INDEX(Inputs!$C$17:$AZ$17,1,MATCH($D35,Inputs!$C$15:$AZ$15,0)))</f>
        <v>F-CurrentVDO_Input</v>
      </c>
      <c r="G35" s="41"/>
      <c r="H35" s="18" t="s">
        <v>178</v>
      </c>
      <c r="I35" s="18" t="s">
        <v>204</v>
      </c>
      <c r="J35" s="42" t="s">
        <v>133</v>
      </c>
      <c r="K35" s="48">
        <f>IFERROR(INDEX(Inputs!$C$18:$AZ$141,MATCH($C35,Input_ForRateCalc[Cost item],0),MATCH($F35,Inputs!$C$17:$AZ$17,0)),"-")</f>
        <v>0.1714</v>
      </c>
      <c r="L35" s="48">
        <f>IFERROR(INDEX(Inputs!$C$18:$AZ$141,MATCH($C35,Input_ForRateCalc[Cost item],0),MATCH($F35,Inputs!$C$17:$AZ$17,0)),"-")</f>
        <v>0.1714</v>
      </c>
      <c r="M35" s="48">
        <f>IFERROR(INDEX(Inputs!$C$18:$AZ$141,MATCH($C35,Input_ForRateCalc[Cost item],0),MATCH($F35,Inputs!$C$17:$AZ$17,0)),"-")</f>
        <v>0.1714</v>
      </c>
      <c r="N35" s="48">
        <f>IFERROR(INDEX(Inputs!$C$18:$AZ$141,MATCH($C35,Input_ForRateCalc[Cost item],0),MATCH($F35,Inputs!$C$17:$AZ$17,0)),"-")</f>
        <v>0.1714</v>
      </c>
      <c r="O35" s="48">
        <f>IFERROR(INDEX(Inputs!$C$18:$AZ$141,MATCH($C35,Input_ForRateCalc[Cost item],0),MATCH($F35,Inputs!$C$17:$AZ$17,0)),"-")</f>
        <v>0.1714</v>
      </c>
    </row>
    <row r="36" spans="3:15" outlineLevel="1" x14ac:dyDescent="0.25">
      <c r="C36" s="18" t="s">
        <v>411</v>
      </c>
      <c r="D36" s="60" t="str">
        <f>INDEX(Input_DecisionActual[[Decision]:[Decision]],MATCH($D$5,Input_DecisionActual[[VDO period]:[VDO period]],0),1)</f>
        <v>VDO 2023-24 - Final</v>
      </c>
      <c r="E36" s="18" t="s">
        <v>96</v>
      </c>
      <c r="F36" s="60" t="str">
        <f>IF($D36="-","-",INDEX(Inputs!$C$17:$AZ$17,1,MATCH($D36,Inputs!$C$15:$AZ$15,0)))</f>
        <v>F-CurrentVDO_Input</v>
      </c>
      <c r="G36" s="41"/>
      <c r="H36" s="18" t="s">
        <v>178</v>
      </c>
      <c r="I36" s="18" t="s">
        <v>69</v>
      </c>
      <c r="J36" s="42" t="s">
        <v>133</v>
      </c>
      <c r="K36" s="45">
        <f>IFERROR(K34*K35/1000,"-")</f>
        <v>6.8560000000000001E-3</v>
      </c>
      <c r="L36" s="45">
        <f>IFERROR(L34*L35/1000,"-")</f>
        <v>6.8560000000000001E-3</v>
      </c>
      <c r="M36" s="45">
        <f>IFERROR(M34*M35/1000,"-")</f>
        <v>6.8560000000000001E-3</v>
      </c>
      <c r="N36" s="45">
        <f>IFERROR(N34*N35/1000,"-")</f>
        <v>6.8560000000000001E-3</v>
      </c>
      <c r="O36" s="45">
        <f>IFERROR(O34*O35/1000,"-")</f>
        <v>6.8560000000000001E-3</v>
      </c>
    </row>
    <row r="37" spans="3:15" outlineLevel="1" x14ac:dyDescent="0.25">
      <c r="C37" s="18" t="s">
        <v>412</v>
      </c>
      <c r="D37" s="18"/>
      <c r="E37" s="18"/>
      <c r="F37" s="18"/>
      <c r="G37" s="18"/>
      <c r="H37" s="18" t="s">
        <v>178</v>
      </c>
      <c r="I37" s="18" t="s">
        <v>69</v>
      </c>
      <c r="J37" s="18" t="s">
        <v>133</v>
      </c>
      <c r="K37" s="89">
        <f>IFERROR(K33-K36,"-")</f>
        <v>0</v>
      </c>
      <c r="L37" s="89">
        <f>IFERROR(L33-L36,"-")</f>
        <v>0</v>
      </c>
      <c r="M37" s="89">
        <f>IFERROR(M33-M36,"-")</f>
        <v>0</v>
      </c>
      <c r="N37" s="89">
        <f>IFERROR(N33-N36,"-")</f>
        <v>0</v>
      </c>
      <c r="O37" s="89">
        <f>IFERROR(O33-O36,"-")</f>
        <v>0</v>
      </c>
    </row>
    <row r="38" spans="3:15" outlineLevel="1" x14ac:dyDescent="0.25">
      <c r="C38" s="18" t="s">
        <v>413</v>
      </c>
      <c r="D38" s="60" t="str">
        <f>INDEX(Input_DecisionActual[[Decision]:[Decision]],MATCH($D$5,Input_DecisionActual[[VDO period]:[VDO period]],0),1)</f>
        <v>VDO 2023-24 - Final</v>
      </c>
      <c r="E38" s="18" t="s">
        <v>96</v>
      </c>
      <c r="F38" s="60" t="str">
        <f>IF($D38="-","-",INDEX(Inputs!$C$17:$AZ$17,1,MATCH($D38,Inputs!$C$15:$AZ$15,0)))</f>
        <v>F-CurrentVDO_Input</v>
      </c>
      <c r="G38" s="18"/>
      <c r="H38" s="18" t="s">
        <v>178</v>
      </c>
      <c r="I38" s="18" t="s">
        <v>69</v>
      </c>
      <c r="J38" s="18" t="s">
        <v>133</v>
      </c>
      <c r="K38" s="90">
        <f>IFERROR(K37*(INDEX(Inputs!$C$18:$AZ$141,MATCH("Marginal loss factor - "&amp;K$15,Input_ForRateCalc[Cost item],0),MATCH($F38,Inputs!$C$17:$AZ$17,0))*INDEX(Inputs!$C$18:$AZ$141,MATCH("Distribution loss factor - "&amp;K$15,Input_ForRateCalc[Cost item],0),MATCH($F38,Inputs!$C$17:$AZ$17,0))-1),"-")</f>
        <v>0</v>
      </c>
      <c r="L38" s="90">
        <f>IFERROR(L37*(INDEX(Inputs!$C$18:$AZ$141,MATCH("Marginal loss factor - "&amp;L$15,Input_ForRateCalc[Cost item],0),MATCH($F38,Inputs!$C$17:$AZ$17,0))*INDEX(Inputs!$C$18:$AZ$141,MATCH("Distribution loss factor - "&amp;L$15,Input_ForRateCalc[Cost item],0),MATCH($F38,Inputs!$C$17:$AZ$17,0))-1),"-")</f>
        <v>0</v>
      </c>
      <c r="M38" s="90">
        <f>IFERROR(M37*(INDEX(Inputs!$C$18:$AZ$141,MATCH("Marginal loss factor - "&amp;M$15,Input_ForRateCalc[Cost item],0),MATCH($F38,Inputs!$C$17:$AZ$17,0))*INDEX(Inputs!$C$18:$AZ$141,MATCH("Distribution loss factor - "&amp;M$15,Input_ForRateCalc[Cost item],0),MATCH($F38,Inputs!$C$17:$AZ$17,0))-1),"-")</f>
        <v>0</v>
      </c>
      <c r="N38" s="90">
        <f>IFERROR(N37*(INDEX(Inputs!$C$18:$AZ$141,MATCH("Marginal loss factor - "&amp;N$15,Input_ForRateCalc[Cost item],0),MATCH($F38,Inputs!$C$17:$AZ$17,0))*INDEX(Inputs!$C$18:$AZ$141,MATCH("Distribution loss factor - "&amp;N$15,Input_ForRateCalc[Cost item],0),MATCH($F38,Inputs!$C$17:$AZ$17,0))-1),"-")</f>
        <v>0</v>
      </c>
      <c r="O38" s="90">
        <f>IFERROR(O37*(INDEX(Inputs!$C$18:$AZ$141,MATCH("Marginal loss factor - "&amp;O$15,Input_ForRateCalc[Cost item],0),MATCH($F38,Inputs!$C$17:$AZ$17,0))*INDEX(Inputs!$C$18:$AZ$141,MATCH("Distribution loss factor - "&amp;O$15,Input_ForRateCalc[Cost item],0),MATCH($F38,Inputs!$C$17:$AZ$17,0))-1),"-")</f>
        <v>0</v>
      </c>
    </row>
    <row r="39" spans="3:15" outlineLevel="1" x14ac:dyDescent="0.25">
      <c r="C39" s="18" t="s">
        <v>414</v>
      </c>
      <c r="D39" s="60" t="str">
        <f>INDEX(Input_DecisionActual[[Decision]:[Decision]],MATCH($D$5,Input_DecisionActual[[VDO period]:[VDO period]],0),1)</f>
        <v>VDO 2023-24 - Final</v>
      </c>
      <c r="E39" s="18" t="s">
        <v>96</v>
      </c>
      <c r="F39" s="60" t="str">
        <f>IF($D39="-","-",INDEX(Inputs!$C$17:$AZ$17,1,MATCH($D39,Inputs!$C$15:$AZ$15,0)))</f>
        <v>F-CurrentVDO_Input</v>
      </c>
      <c r="G39" s="18"/>
      <c r="H39" s="18" t="s">
        <v>178</v>
      </c>
      <c r="I39" s="18" t="s">
        <v>69</v>
      </c>
      <c r="J39" s="18" t="s">
        <v>133</v>
      </c>
      <c r="K39" s="90">
        <f>IFERROR(SUM(K37:K38)*(INDEX(Inputs!$C$18:$AZ$141,MATCH("Retail operating margin",Input_ForRateCalc[Cost item],0),MATCH($F39,Inputs!$C$17:$AZ$17,0))),"-")</f>
        <v>0</v>
      </c>
      <c r="L39" s="90">
        <f>IFERROR(SUM(L37:L38)*(INDEX(Inputs!$C$18:$AZ$141,MATCH("Retail operating margin",Input_ForRateCalc[Cost item],0),MATCH($F39,Inputs!$C$17:$AZ$17,0))),"-")</f>
        <v>0</v>
      </c>
      <c r="M39" s="90">
        <f>IFERROR(SUM(M37:M38)*(INDEX(Inputs!$C$18:$AZ$141,MATCH("Retail operating margin",Input_ForRateCalc[Cost item],0),MATCH($F39,Inputs!$C$17:$AZ$17,0))),"-")</f>
        <v>0</v>
      </c>
      <c r="N39" s="90">
        <f>IFERROR(SUM(N37:N38)*(INDEX(Inputs!$C$18:$AZ$141,MATCH("Retail operating margin",Input_ForRateCalc[Cost item],0),MATCH($F39,Inputs!$C$17:$AZ$17,0))),"-")</f>
        <v>0</v>
      </c>
      <c r="O39" s="90">
        <f>IFERROR(SUM(O37:O38)*(INDEX(Inputs!$C$18:$AZ$141,MATCH("Retail operating margin",Input_ForRateCalc[Cost item],0),MATCH($F39,Inputs!$C$17:$AZ$17,0))),"-")</f>
        <v>0</v>
      </c>
    </row>
    <row r="40" spans="3:15" outlineLevel="1" x14ac:dyDescent="0.25">
      <c r="C40" s="18" t="s">
        <v>415</v>
      </c>
      <c r="D40" s="18"/>
      <c r="E40" s="18"/>
      <c r="F40" s="18"/>
      <c r="G40" s="18"/>
      <c r="H40" s="18" t="s">
        <v>178</v>
      </c>
      <c r="I40" s="18" t="s">
        <v>69</v>
      </c>
      <c r="J40" s="18" t="s">
        <v>133</v>
      </c>
      <c r="K40" s="90">
        <f>SUM(K37:K39)*GST</f>
        <v>0</v>
      </c>
      <c r="L40" s="90">
        <f>SUM(L37:L39)*GST</f>
        <v>0</v>
      </c>
      <c r="M40" s="90">
        <f>SUM(M37:M39)*GST</f>
        <v>0</v>
      </c>
      <c r="N40" s="90">
        <f>SUM(N37:N39)*GST</f>
        <v>0</v>
      </c>
      <c r="O40" s="90">
        <f>SUM(O37:O39)*GST</f>
        <v>0</v>
      </c>
    </row>
    <row r="41" spans="3:15" outlineLevel="1" x14ac:dyDescent="0.25">
      <c r="C41" s="42" t="s">
        <v>405</v>
      </c>
      <c r="D41" s="42"/>
      <c r="E41" s="42"/>
      <c r="F41" s="42"/>
      <c r="H41" s="42" t="s">
        <v>178</v>
      </c>
      <c r="I41" s="42" t="s">
        <v>69</v>
      </c>
      <c r="J41" s="42" t="s">
        <v>133</v>
      </c>
      <c r="K41" s="90">
        <f>SUM(K37:K40)</f>
        <v>0</v>
      </c>
      <c r="L41" s="90">
        <f>SUM(L37:L40)</f>
        <v>0</v>
      </c>
      <c r="M41" s="90">
        <f>SUM(M37:M40)</f>
        <v>0</v>
      </c>
      <c r="N41" s="90">
        <f>SUM(N37:N40)</f>
        <v>0</v>
      </c>
      <c r="O41" s="90">
        <f>SUM(O37:O40)</f>
        <v>0</v>
      </c>
    </row>
    <row r="42" spans="3:15" outlineLevel="1" x14ac:dyDescent="0.25">
      <c r="C42" s="18"/>
      <c r="D42" s="18"/>
      <c r="E42" s="18"/>
      <c r="F42" s="18"/>
      <c r="G42" s="18"/>
      <c r="H42" s="18"/>
      <c r="I42" s="18"/>
      <c r="J42" s="18"/>
      <c r="K42" s="46"/>
      <c r="L42" s="46"/>
      <c r="M42" s="46"/>
      <c r="N42" s="46"/>
      <c r="O42" s="46"/>
    </row>
    <row r="43" spans="3:15" outlineLevel="1" x14ac:dyDescent="0.25">
      <c r="C43" s="40" t="s">
        <v>309</v>
      </c>
      <c r="D43" s="40"/>
      <c r="E43" s="40"/>
      <c r="F43" s="40"/>
      <c r="G43" s="30" t="str">
        <f>INDEX(Input_TU_YesNo[],MATCH(Calc_TUV_Env_1[[#This Row],[Cost item]],Input_TU_YesNo[Component],0),MATCH($D$5,Inputs!$C$210:$BM$210,0))</f>
        <v>No</v>
      </c>
      <c r="H43" s="49"/>
      <c r="I43" s="18"/>
      <c r="J43" s="18"/>
      <c r="K43" s="18"/>
      <c r="L43" s="18"/>
      <c r="M43" s="18"/>
      <c r="N43" s="18"/>
      <c r="O43" s="18"/>
    </row>
    <row r="44" spans="3:15" outlineLevel="1" x14ac:dyDescent="0.25">
      <c r="C44" s="18" t="s">
        <v>199</v>
      </c>
      <c r="D44" s="60" t="str">
        <f>$D$5</f>
        <v>VDO 2024-25 - Draft</v>
      </c>
      <c r="E44" s="18" t="s">
        <v>316</v>
      </c>
      <c r="F44" s="60" t="str">
        <f>INDEX(Inputs!$C$17:$AZ$17,1,MATCH($D44,Inputs!$C$15:$AZ$15,0))</f>
        <v>D-NextVDO_Input</v>
      </c>
      <c r="G44" s="41"/>
      <c r="H44" s="18" t="s">
        <v>178</v>
      </c>
      <c r="I44" s="18" t="s">
        <v>200</v>
      </c>
      <c r="J44" s="42" t="s">
        <v>133</v>
      </c>
      <c r="K44" s="46">
        <f>IFERROR(INDEX(Input_TUEnv_Actual[],MATCH($C44,Input_TUEnv_Actual[Cost item],0),MATCH($F44,Input_TUEnv_Actual[#Headers],0)),"-")</f>
        <v>68.562227396360115</v>
      </c>
      <c r="L44" s="46">
        <f>IFERROR(INDEX(Input_TUEnv_Actual[],MATCH($C44,Input_TUEnv_Actual[Cost item],0),MATCH($F44,Input_TUEnv_Actual[#Headers],0)),"-")</f>
        <v>68.562227396360115</v>
      </c>
      <c r="M44" s="46">
        <f>IFERROR(INDEX(Input_TUEnv_Actual[],MATCH($C44,Input_TUEnv_Actual[Cost item],0),MATCH($F44,Input_TUEnv_Actual[#Headers],0)),"-")</f>
        <v>68.562227396360115</v>
      </c>
      <c r="N44" s="46">
        <f>IFERROR(INDEX(Input_TUEnv_Actual[],MATCH($C44,Input_TUEnv_Actual[Cost item],0),MATCH($F44,Input_TUEnv_Actual[#Headers],0)),"-")</f>
        <v>68.562227396360115</v>
      </c>
      <c r="O44" s="46">
        <f>IFERROR(INDEX(Input_TUEnv_Actual[],MATCH($C44,Input_TUEnv_Actual[Cost item],0),MATCH($F44,Input_TUEnv_Actual[#Headers],0)),"-")</f>
        <v>68.562227396360115</v>
      </c>
    </row>
    <row r="45" spans="3:15" outlineLevel="1" x14ac:dyDescent="0.25">
      <c r="C45" s="18" t="s">
        <v>203</v>
      </c>
      <c r="D45" s="60" t="str">
        <f>$D$5</f>
        <v>VDO 2024-25 - Draft</v>
      </c>
      <c r="E45" s="18" t="s">
        <v>316</v>
      </c>
      <c r="F45" s="60" t="str">
        <f>INDEX(Inputs!$C$17:$AZ$17,1,MATCH($D45,Inputs!$C$15:$AZ$15,0))</f>
        <v>D-NextVDO_Input</v>
      </c>
      <c r="G45" s="41"/>
      <c r="H45" s="18" t="s">
        <v>178</v>
      </c>
      <c r="I45" s="18" t="s">
        <v>204</v>
      </c>
      <c r="J45" s="42" t="s">
        <v>133</v>
      </c>
      <c r="K45" s="48">
        <f>IFERROR(INDEX(Input_TUEnv_Actual[],MATCH($C45,Input_TUEnv_Actual[Cost item],0),MATCH($F45,Input_TUEnv_Actual[#Headers],0)),"-")</f>
        <v>0.16306999999999999</v>
      </c>
      <c r="L45" s="48">
        <f>IFERROR(INDEX(Input_TUEnv_Actual[],MATCH($C45,Input_TUEnv_Actual[Cost item],0),MATCH($F45,Input_TUEnv_Actual[#Headers],0)),"-")</f>
        <v>0.16306999999999999</v>
      </c>
      <c r="M45" s="48">
        <f>IFERROR(INDEX(Input_TUEnv_Actual[],MATCH($C45,Input_TUEnv_Actual[Cost item],0),MATCH($F45,Input_TUEnv_Actual[#Headers],0)),"-")</f>
        <v>0.16306999999999999</v>
      </c>
      <c r="N45" s="48">
        <f>IFERROR(INDEX(Input_TUEnv_Actual[],MATCH($C45,Input_TUEnv_Actual[Cost item],0),MATCH($F45,Input_TUEnv_Actual[#Headers],0)),"-")</f>
        <v>0.16306999999999999</v>
      </c>
      <c r="O45" s="48">
        <f>IFERROR(INDEX(Input_TUEnv_Actual[],MATCH($C45,Input_TUEnv_Actual[Cost item],0),MATCH($F45,Input_TUEnv_Actual[#Headers],0)),"-")</f>
        <v>0.16306999999999999</v>
      </c>
    </row>
    <row r="46" spans="3:15" outlineLevel="1" x14ac:dyDescent="0.25">
      <c r="C46" s="18" t="s">
        <v>411</v>
      </c>
      <c r="D46" s="60" t="str">
        <f>$D$5</f>
        <v>VDO 2024-25 - Draft</v>
      </c>
      <c r="E46" s="18" t="s">
        <v>316</v>
      </c>
      <c r="F46" s="60" t="str">
        <f>INDEX(Inputs!$C$17:$AZ$17,1,MATCH($D46,Inputs!$C$15:$AZ$15,0))</f>
        <v>D-NextVDO_Input</v>
      </c>
      <c r="G46" s="41"/>
      <c r="H46" s="18" t="s">
        <v>178</v>
      </c>
      <c r="I46" s="18" t="s">
        <v>69</v>
      </c>
      <c r="J46" s="42" t="s">
        <v>133</v>
      </c>
      <c r="K46" s="45">
        <f>K44*K45/1000</f>
        <v>1.1180442421524443E-2</v>
      </c>
      <c r="L46" s="45">
        <f>L44*L45/1000</f>
        <v>1.1180442421524443E-2</v>
      </c>
      <c r="M46" s="45">
        <f>M44*M45/1000</f>
        <v>1.1180442421524443E-2</v>
      </c>
      <c r="N46" s="45">
        <f>N44*N45/1000</f>
        <v>1.1180442421524443E-2</v>
      </c>
      <c r="O46" s="45">
        <f>O44*O45/1000</f>
        <v>1.1180442421524443E-2</v>
      </c>
    </row>
    <row r="47" spans="3:15" outlineLevel="1" x14ac:dyDescent="0.25">
      <c r="C47" s="18" t="s">
        <v>199</v>
      </c>
      <c r="D47" s="60" t="str">
        <f>INDEX(Input_DecisionActual[[Decision]:[Decision]],MATCH($D$5,Input_DecisionActual[[VDO period]:[VDO period]],0),1)</f>
        <v>VDO 2023-24 - Final</v>
      </c>
      <c r="E47" s="18" t="s">
        <v>96</v>
      </c>
      <c r="F47" s="60" t="str">
        <f>IF($D47="-","-",INDEX(Inputs!$C$17:$AZ$17,1,MATCH($D47,Inputs!$C$15:$AZ$15,0)))</f>
        <v>F-CurrentVDO_Input</v>
      </c>
      <c r="G47" s="41"/>
      <c r="H47" s="18" t="s">
        <v>178</v>
      </c>
      <c r="I47" s="18" t="s">
        <v>200</v>
      </c>
      <c r="J47" s="42" t="s">
        <v>133</v>
      </c>
      <c r="K47" s="47">
        <f>IFERROR(INDEX(Inputs!$C$18:$AZ$141,MATCH($C47,Input_ForRateCalc[Cost item],0),MATCH($F47,Inputs!$C$17:$AZ$17,0)),"-")</f>
        <v>68.562227396360115</v>
      </c>
      <c r="L47" s="47">
        <f>IFERROR(INDEX(Inputs!$C$18:$AZ$141,MATCH($C47,Input_ForRateCalc[Cost item],0),MATCH($F47,Inputs!$C$17:$AZ$17,0)),"-")</f>
        <v>68.562227396360115</v>
      </c>
      <c r="M47" s="47">
        <f>IFERROR(INDEX(Inputs!$C$18:$AZ$141,MATCH($C47,Input_ForRateCalc[Cost item],0),MATCH($F47,Inputs!$C$17:$AZ$17,0)),"-")</f>
        <v>68.562227396360115</v>
      </c>
      <c r="N47" s="47">
        <f>IFERROR(INDEX(Inputs!$C$18:$AZ$141,MATCH($C47,Input_ForRateCalc[Cost item],0),MATCH($F47,Inputs!$C$17:$AZ$17,0)),"-")</f>
        <v>68.562227396360115</v>
      </c>
      <c r="O47" s="47">
        <f>IFERROR(INDEX(Inputs!$C$18:$AZ$141,MATCH($C47,Input_ForRateCalc[Cost item],0),MATCH($F47,Inputs!$C$17:$AZ$17,0)),"-")</f>
        <v>68.562227396360115</v>
      </c>
    </row>
    <row r="48" spans="3:15" outlineLevel="1" x14ac:dyDescent="0.25">
      <c r="C48" s="18" t="s">
        <v>203</v>
      </c>
      <c r="D48" s="60" t="str">
        <f>INDEX(Input_DecisionActual[[Decision]:[Decision]],MATCH($D$5,Input_DecisionActual[[VDO period]:[VDO period]],0),1)</f>
        <v>VDO 2023-24 - Final</v>
      </c>
      <c r="E48" s="18" t="s">
        <v>96</v>
      </c>
      <c r="F48" s="60" t="str">
        <f>IF($D48="-","-",INDEX(Inputs!$C$17:$AZ$17,1,MATCH($D48,Inputs!$C$15:$AZ$15,0)))</f>
        <v>F-CurrentVDO_Input</v>
      </c>
      <c r="G48" s="41"/>
      <c r="H48" s="18" t="s">
        <v>178</v>
      </c>
      <c r="I48" s="18" t="s">
        <v>204</v>
      </c>
      <c r="J48" s="42" t="s">
        <v>133</v>
      </c>
      <c r="K48" s="48">
        <f>IFERROR(INDEX(Inputs!$C$18:$AZ$141,MATCH($C48,Input_ForRateCalc[Cost item],0),MATCH($F48,Inputs!$C$17:$AZ$17,0)),"-")</f>
        <v>0.16306999999999999</v>
      </c>
      <c r="L48" s="48">
        <f>IFERROR(INDEX(Inputs!$C$18:$AZ$141,MATCH($C48,Input_ForRateCalc[Cost item],0),MATCH($F48,Inputs!$C$17:$AZ$17,0)),"-")</f>
        <v>0.16306999999999999</v>
      </c>
      <c r="M48" s="48">
        <f>IFERROR(INDEX(Inputs!$C$18:$AZ$141,MATCH($C48,Input_ForRateCalc[Cost item],0),MATCH($F48,Inputs!$C$17:$AZ$17,0)),"-")</f>
        <v>0.16306999999999999</v>
      </c>
      <c r="N48" s="48">
        <f>IFERROR(INDEX(Inputs!$C$18:$AZ$141,MATCH($C48,Input_ForRateCalc[Cost item],0),MATCH($F48,Inputs!$C$17:$AZ$17,0)),"-")</f>
        <v>0.16306999999999999</v>
      </c>
      <c r="O48" s="48">
        <f>IFERROR(INDEX(Inputs!$C$18:$AZ$141,MATCH($C48,Input_ForRateCalc[Cost item],0),MATCH($F48,Inputs!$C$17:$AZ$17,0)),"-")</f>
        <v>0.16306999999999999</v>
      </c>
    </row>
    <row r="49" spans="2:17" outlineLevel="1" x14ac:dyDescent="0.25">
      <c r="C49" s="18" t="s">
        <v>411</v>
      </c>
      <c r="D49" s="60" t="str">
        <f>INDEX(Input_DecisionActual[[Decision]:[Decision]],MATCH($D$5,Input_DecisionActual[[VDO period]:[VDO period]],0),1)</f>
        <v>VDO 2023-24 - Final</v>
      </c>
      <c r="E49" s="18" t="s">
        <v>96</v>
      </c>
      <c r="F49" s="60" t="str">
        <f>IF($D49="-","-",INDEX(Inputs!$C$17:$AZ$17,1,MATCH($D49,Inputs!$C$15:$AZ$15,0)))</f>
        <v>F-CurrentVDO_Input</v>
      </c>
      <c r="G49" s="41"/>
      <c r="H49" s="18" t="s">
        <v>178</v>
      </c>
      <c r="I49" s="18" t="s">
        <v>69</v>
      </c>
      <c r="J49" s="42" t="s">
        <v>133</v>
      </c>
      <c r="K49" s="45">
        <f>IFERROR(K47*K48/1000,"-")</f>
        <v>1.1180442421524443E-2</v>
      </c>
      <c r="L49" s="45">
        <f>IFERROR(L47*L48/1000,"-")</f>
        <v>1.1180442421524443E-2</v>
      </c>
      <c r="M49" s="45">
        <f>IFERROR(M47*M48/1000,"-")</f>
        <v>1.1180442421524443E-2</v>
      </c>
      <c r="N49" s="45">
        <f>IFERROR(N47*N48/1000,"-")</f>
        <v>1.1180442421524443E-2</v>
      </c>
      <c r="O49" s="45">
        <f>IFERROR(O47*O48/1000,"-")</f>
        <v>1.1180442421524443E-2</v>
      </c>
    </row>
    <row r="50" spans="2:17" outlineLevel="1" x14ac:dyDescent="0.25">
      <c r="C50" s="18" t="s">
        <v>412</v>
      </c>
      <c r="D50" s="18"/>
      <c r="E50" s="18"/>
      <c r="F50" s="18"/>
      <c r="G50" s="18"/>
      <c r="H50" s="18" t="s">
        <v>178</v>
      </c>
      <c r="I50" s="18" t="s">
        <v>69</v>
      </c>
      <c r="J50" s="18" t="s">
        <v>133</v>
      </c>
      <c r="K50" s="89">
        <f>IFERROR(K46-K49,"-")</f>
        <v>0</v>
      </c>
      <c r="L50" s="89">
        <f>IFERROR(L46-L49,"-")</f>
        <v>0</v>
      </c>
      <c r="M50" s="89">
        <f>IFERROR(M46-M49,"-")</f>
        <v>0</v>
      </c>
      <c r="N50" s="89">
        <f>IFERROR(N46-N49,"-")</f>
        <v>0</v>
      </c>
      <c r="O50" s="89">
        <f>IFERROR(O46-O49,"-")</f>
        <v>0</v>
      </c>
    </row>
    <row r="51" spans="2:17" outlineLevel="1" x14ac:dyDescent="0.25">
      <c r="C51" s="18" t="s">
        <v>413</v>
      </c>
      <c r="D51" s="60" t="str">
        <f>INDEX(Input_DecisionActual[[Decision]:[Decision]],MATCH($D$5,Input_DecisionActual[[VDO period]:[VDO period]],0),1)</f>
        <v>VDO 2023-24 - Final</v>
      </c>
      <c r="E51" s="18" t="s">
        <v>96</v>
      </c>
      <c r="F51" s="60" t="str">
        <f>IF($D51="-","-",INDEX(Inputs!$C$17:$AZ$17,1,MATCH($D51,Inputs!$C$15:$AZ$15,0)))</f>
        <v>F-CurrentVDO_Input</v>
      </c>
      <c r="G51" s="18"/>
      <c r="H51" s="18" t="s">
        <v>178</v>
      </c>
      <c r="I51" s="18" t="s">
        <v>69</v>
      </c>
      <c r="J51" s="18" t="s">
        <v>133</v>
      </c>
      <c r="K51" s="90">
        <f>IFERROR(K50*(INDEX(Inputs!$C$18:$AZ$141,MATCH("Marginal loss factor - "&amp;K$15,Input_ForRateCalc[Cost item],0),MATCH($F51,Inputs!$C$17:$AZ$17,0))*INDEX(Inputs!$C$18:$AZ$141,MATCH("Distribution loss factor - "&amp;K$15,Input_ForRateCalc[Cost item],0),MATCH($F51,Inputs!$C$17:$AZ$17,0))-1),"-")</f>
        <v>0</v>
      </c>
      <c r="L51" s="90">
        <f>IFERROR(L50*(INDEX(Inputs!$C$18:$AZ$141,MATCH("Marginal loss factor - "&amp;L$15,Input_ForRateCalc[Cost item],0),MATCH($F51,Inputs!$C$17:$AZ$17,0))*INDEX(Inputs!$C$18:$AZ$141,MATCH("Distribution loss factor - "&amp;L$15,Input_ForRateCalc[Cost item],0),MATCH($F51,Inputs!$C$17:$AZ$17,0))-1),"-")</f>
        <v>0</v>
      </c>
      <c r="M51" s="90">
        <f>IFERROR(M50*(INDEX(Inputs!$C$18:$AZ$141,MATCH("Marginal loss factor - "&amp;M$15,Input_ForRateCalc[Cost item],0),MATCH($F51,Inputs!$C$17:$AZ$17,0))*INDEX(Inputs!$C$18:$AZ$141,MATCH("Distribution loss factor - "&amp;M$15,Input_ForRateCalc[Cost item],0),MATCH($F51,Inputs!$C$17:$AZ$17,0))-1),"-")</f>
        <v>0</v>
      </c>
      <c r="N51" s="90">
        <f>IFERROR(N50*(INDEX(Inputs!$C$18:$AZ$141,MATCH("Marginal loss factor - "&amp;N$15,Input_ForRateCalc[Cost item],0),MATCH($F51,Inputs!$C$17:$AZ$17,0))*INDEX(Inputs!$C$18:$AZ$141,MATCH("Distribution loss factor - "&amp;N$15,Input_ForRateCalc[Cost item],0),MATCH($F51,Inputs!$C$17:$AZ$17,0))-1),"-")</f>
        <v>0</v>
      </c>
      <c r="O51" s="90">
        <f>IFERROR(O50*(INDEX(Inputs!$C$18:$AZ$141,MATCH("Marginal loss factor - "&amp;O$15,Input_ForRateCalc[Cost item],0),MATCH($F51,Inputs!$C$17:$AZ$17,0))*INDEX(Inputs!$C$18:$AZ$141,MATCH("Distribution loss factor - "&amp;O$15,Input_ForRateCalc[Cost item],0),MATCH($F51,Inputs!$C$17:$AZ$17,0))-1),"-")</f>
        <v>0</v>
      </c>
    </row>
    <row r="52" spans="2:17" outlineLevel="1" x14ac:dyDescent="0.25">
      <c r="C52" s="18" t="s">
        <v>414</v>
      </c>
      <c r="D52" s="60" t="str">
        <f>INDEX(Input_DecisionActual[[Decision]:[Decision]],MATCH($D$5,Input_DecisionActual[[VDO period]:[VDO period]],0),1)</f>
        <v>VDO 2023-24 - Final</v>
      </c>
      <c r="E52" s="18" t="s">
        <v>96</v>
      </c>
      <c r="F52" s="60" t="str">
        <f>IF($D52="-","-",INDEX(Inputs!$C$17:$AZ$17,1,MATCH($D52,Inputs!$C$15:$AZ$15,0)))</f>
        <v>F-CurrentVDO_Input</v>
      </c>
      <c r="G52" s="18"/>
      <c r="H52" s="18" t="s">
        <v>178</v>
      </c>
      <c r="I52" s="18" t="s">
        <v>69</v>
      </c>
      <c r="J52" s="18" t="s">
        <v>133</v>
      </c>
      <c r="K52" s="90">
        <f>IFERROR(SUM(K50:K51)*(INDEX(Inputs!$C$18:$AZ$141,MATCH("Retail operating margin",Input_ForRateCalc[Cost item],0),MATCH($F52,Inputs!$C$17:$AZ$17,0))),"-")</f>
        <v>0</v>
      </c>
      <c r="L52" s="90">
        <f>IFERROR(SUM(L50:L51)*(INDEX(Inputs!$C$18:$AZ$141,MATCH("Retail operating margin",Input_ForRateCalc[Cost item],0),MATCH($F52,Inputs!$C$17:$AZ$17,0))),"-")</f>
        <v>0</v>
      </c>
      <c r="M52" s="90">
        <f>IFERROR(SUM(M50:M51)*(INDEX(Inputs!$C$18:$AZ$141,MATCH("Retail operating margin",Input_ForRateCalc[Cost item],0),MATCH($F52,Inputs!$C$17:$AZ$17,0))),"-")</f>
        <v>0</v>
      </c>
      <c r="N52" s="90">
        <f>IFERROR(SUM(N50:N51)*(INDEX(Inputs!$C$18:$AZ$141,MATCH("Retail operating margin",Input_ForRateCalc[Cost item],0),MATCH($F52,Inputs!$C$17:$AZ$17,0))),"-")</f>
        <v>0</v>
      </c>
      <c r="O52" s="90">
        <f>IFERROR(SUM(O50:O51)*(INDEX(Inputs!$C$18:$AZ$141,MATCH("Retail operating margin",Input_ForRateCalc[Cost item],0),MATCH($F52,Inputs!$C$17:$AZ$17,0))),"-")</f>
        <v>0</v>
      </c>
    </row>
    <row r="53" spans="2:17" outlineLevel="1" x14ac:dyDescent="0.25">
      <c r="B53"/>
      <c r="C53" s="18" t="s">
        <v>415</v>
      </c>
      <c r="D53" s="18"/>
      <c r="E53" s="18"/>
      <c r="F53" s="18"/>
      <c r="G53" s="18"/>
      <c r="H53" s="18" t="s">
        <v>178</v>
      </c>
      <c r="I53" s="18" t="s">
        <v>69</v>
      </c>
      <c r="J53" s="18" t="s">
        <v>133</v>
      </c>
      <c r="K53" s="90">
        <f>SUM(K50:K52)*GST</f>
        <v>0</v>
      </c>
      <c r="L53" s="90">
        <f>SUM(L50:L52)*GST</f>
        <v>0</v>
      </c>
      <c r="M53" s="90">
        <f>SUM(M50:M52)*GST</f>
        <v>0</v>
      </c>
      <c r="N53" s="90">
        <f>SUM(N50:N52)*GST</f>
        <v>0</v>
      </c>
      <c r="O53" s="90">
        <f>SUM(O50:O52)*GST</f>
        <v>0</v>
      </c>
    </row>
    <row r="54" spans="2:17" outlineLevel="1" x14ac:dyDescent="0.25">
      <c r="B54"/>
      <c r="C54" s="33" t="s">
        <v>406</v>
      </c>
      <c r="D54" s="33"/>
      <c r="E54" s="33"/>
      <c r="F54" s="33"/>
      <c r="G54" s="50"/>
      <c r="H54" s="18" t="s">
        <v>178</v>
      </c>
      <c r="I54" s="18" t="s">
        <v>69</v>
      </c>
      <c r="J54" s="42" t="s">
        <v>133</v>
      </c>
      <c r="K54" s="90">
        <f>SUM(K50:K53)</f>
        <v>0</v>
      </c>
      <c r="L54" s="90">
        <f>SUM(L50:L53)</f>
        <v>0</v>
      </c>
      <c r="M54" s="90">
        <f>SUM(M50:M53)</f>
        <v>0</v>
      </c>
      <c r="N54" s="90">
        <f>SUM(N50:N53)</f>
        <v>0</v>
      </c>
      <c r="O54" s="90">
        <f>SUM(O50:O53)</f>
        <v>0</v>
      </c>
    </row>
    <row r="55" spans="2:17" outlineLevel="1" x14ac:dyDescent="0.25"/>
    <row r="56" spans="2:17" ht="16.5" thickBot="1" x14ac:dyDescent="0.3">
      <c r="B56" s="161">
        <f ca="1">MAX(B$3:B55)+0.01</f>
        <v>9.02</v>
      </c>
      <c r="C56" s="23" t="s">
        <v>416</v>
      </c>
      <c r="D56" s="23"/>
      <c r="E56" s="23"/>
      <c r="F56" s="23"/>
      <c r="G56" s="23"/>
      <c r="H56" s="23"/>
      <c r="I56" s="23"/>
      <c r="J56" s="23"/>
      <c r="K56" s="23"/>
      <c r="L56" s="23"/>
      <c r="M56" s="23"/>
      <c r="N56" s="23"/>
      <c r="O56" s="23"/>
      <c r="P56" s="23"/>
      <c r="Q56" s="23"/>
    </row>
    <row r="57" spans="2:17" collapsed="1" x14ac:dyDescent="0.25"/>
    <row r="58" spans="2:17" ht="15.75" hidden="1" outlineLevel="1" x14ac:dyDescent="0.25">
      <c r="C58" s="31" t="s">
        <v>49</v>
      </c>
      <c r="D58" s="31" t="s">
        <v>417</v>
      </c>
      <c r="G58" s="31" t="s">
        <v>410</v>
      </c>
      <c r="H58" s="31" t="s">
        <v>108</v>
      </c>
      <c r="I58" s="31" t="s">
        <v>56</v>
      </c>
      <c r="J58" s="31" t="s">
        <v>57</v>
      </c>
      <c r="K58" s="35" t="s">
        <v>59</v>
      </c>
      <c r="L58" s="35" t="s">
        <v>60</v>
      </c>
      <c r="M58" s="35" t="s">
        <v>61</v>
      </c>
      <c r="N58" s="35" t="s">
        <v>62</v>
      </c>
      <c r="O58" s="35" t="s">
        <v>63</v>
      </c>
      <c r="P58" s="35" t="s">
        <v>401</v>
      </c>
      <c r="Q58" s="31" t="s">
        <v>418</v>
      </c>
    </row>
    <row r="59" spans="2:17" hidden="1" outlineLevel="1" x14ac:dyDescent="0.25">
      <c r="C59" s="40" t="s">
        <v>310</v>
      </c>
      <c r="D59" s="40"/>
      <c r="G59" s="40"/>
      <c r="H59" s="40"/>
      <c r="I59" s="40"/>
      <c r="J59" s="40"/>
      <c r="K59" s="114">
        <f>SUM(K60:K61)</f>
        <v>0</v>
      </c>
      <c r="L59" s="114">
        <f>SUM(L60:L61)</f>
        <v>0</v>
      </c>
      <c r="M59" s="114">
        <f>SUM(M60:M61)</f>
        <v>0</v>
      </c>
      <c r="N59" s="114">
        <f>SUM(N60:N61)</f>
        <v>0</v>
      </c>
      <c r="O59" s="114">
        <f>SUM(O60:O61)</f>
        <v>0</v>
      </c>
      <c r="P59" s="113">
        <f>IFERROR(AVERAGE(K59:O59),"-")</f>
        <v>0</v>
      </c>
      <c r="Q59" s="142" t="str">
        <f>IFERROR(P59/ROUND($D$75/30,0),"-")</f>
        <v>-</v>
      </c>
    </row>
    <row r="60" spans="2:17" hidden="1" outlineLevel="1" x14ac:dyDescent="0.25">
      <c r="C60" s="99" t="s">
        <v>132</v>
      </c>
      <c r="D60" s="42"/>
      <c r="G60" s="42"/>
      <c r="H60" s="42"/>
      <c r="I60" s="42"/>
      <c r="J60" s="42"/>
      <c r="K60" s="115" t="str">
        <f>K113</f>
        <v>-</v>
      </c>
      <c r="L60" s="115" t="str">
        <f>L113</f>
        <v>-</v>
      </c>
      <c r="M60" s="115" t="str">
        <f>M113</f>
        <v>-</v>
      </c>
      <c r="N60" s="115" t="str">
        <f>N113</f>
        <v>-</v>
      </c>
      <c r="O60" s="115" t="str">
        <f>O113</f>
        <v>-</v>
      </c>
      <c r="P60" s="95" t="str">
        <f t="shared" ref="P60:P70" si="0">IFERROR(AVERAGE(K60:O60),"-")</f>
        <v>-</v>
      </c>
      <c r="Q60" s="142" t="str">
        <f t="shared" ref="Q60:Q70" si="1">IFERROR(P60/ROUND($D$75/30,0),"-")</f>
        <v>-</v>
      </c>
    </row>
    <row r="61" spans="2:17" hidden="1" outlineLevel="1" x14ac:dyDescent="0.25">
      <c r="C61" s="99" t="s">
        <v>178</v>
      </c>
      <c r="D61" s="42"/>
      <c r="G61" s="42"/>
      <c r="H61" s="42"/>
      <c r="I61" s="42"/>
      <c r="J61" s="42"/>
      <c r="K61" s="115" t="str">
        <f>K127</f>
        <v>-</v>
      </c>
      <c r="L61" s="115" t="str">
        <f>L127</f>
        <v>-</v>
      </c>
      <c r="M61" s="115" t="str">
        <f>M127</f>
        <v>-</v>
      </c>
      <c r="N61" s="115" t="str">
        <f>N127</f>
        <v>-</v>
      </c>
      <c r="O61" s="115" t="str">
        <f>O127</f>
        <v>-</v>
      </c>
      <c r="P61" s="95" t="str">
        <f t="shared" si="0"/>
        <v>-</v>
      </c>
      <c r="Q61" s="142" t="str">
        <f t="shared" si="1"/>
        <v>-</v>
      </c>
    </row>
    <row r="62" spans="2:17" hidden="1" outlineLevel="1" x14ac:dyDescent="0.25">
      <c r="C62" s="40" t="s">
        <v>311</v>
      </c>
      <c r="D62" s="40"/>
      <c r="G62" s="40"/>
      <c r="H62" s="40"/>
      <c r="I62" s="40"/>
      <c r="J62" s="40"/>
      <c r="K62" s="114">
        <f>SUM(K63:K64)</f>
        <v>0</v>
      </c>
      <c r="L62" s="114">
        <f>SUM(L63:L64)</f>
        <v>0</v>
      </c>
      <c r="M62" s="114">
        <f>SUM(M63:M64)</f>
        <v>0</v>
      </c>
      <c r="N62" s="114">
        <f>SUM(N63:N64)</f>
        <v>0</v>
      </c>
      <c r="O62" s="114">
        <f>SUM(O63:O64)</f>
        <v>0</v>
      </c>
      <c r="P62" s="113">
        <f t="shared" si="0"/>
        <v>0</v>
      </c>
      <c r="Q62" s="142" t="str">
        <f t="shared" si="1"/>
        <v>-</v>
      </c>
    </row>
    <row r="63" spans="2:17" hidden="1" outlineLevel="1" x14ac:dyDescent="0.25">
      <c r="C63" s="99" t="s">
        <v>132</v>
      </c>
      <c r="D63" s="42"/>
      <c r="G63" s="42"/>
      <c r="H63" s="42"/>
      <c r="I63" s="42"/>
      <c r="J63" s="42"/>
      <c r="K63" s="115" t="str">
        <f>K151</f>
        <v>-</v>
      </c>
      <c r="L63" s="115" t="str">
        <f>L151</f>
        <v>-</v>
      </c>
      <c r="M63" s="115" t="str">
        <f>M151</f>
        <v>-</v>
      </c>
      <c r="N63" s="115" t="str">
        <f>N151</f>
        <v>-</v>
      </c>
      <c r="O63" s="115" t="str">
        <f>O151</f>
        <v>-</v>
      </c>
      <c r="P63" s="95" t="str">
        <f t="shared" si="0"/>
        <v>-</v>
      </c>
      <c r="Q63" s="142" t="str">
        <f t="shared" si="1"/>
        <v>-</v>
      </c>
    </row>
    <row r="64" spans="2:17" hidden="1" outlineLevel="1" x14ac:dyDescent="0.25">
      <c r="C64" s="99" t="s">
        <v>178</v>
      </c>
      <c r="D64" s="42"/>
      <c r="G64" s="42"/>
      <c r="H64" s="42"/>
      <c r="I64" s="42"/>
      <c r="J64" s="42"/>
      <c r="K64" s="115" t="str">
        <f>K165</f>
        <v>-</v>
      </c>
      <c r="L64" s="115" t="str">
        <f>L165</f>
        <v>-</v>
      </c>
      <c r="M64" s="115" t="str">
        <f>M165</f>
        <v>-</v>
      </c>
      <c r="N64" s="115" t="str">
        <f>N165</f>
        <v>-</v>
      </c>
      <c r="O64" s="115" t="str">
        <f>O165</f>
        <v>-</v>
      </c>
      <c r="P64" s="95" t="str">
        <f t="shared" si="0"/>
        <v>-</v>
      </c>
      <c r="Q64" s="142" t="str">
        <f t="shared" si="1"/>
        <v>-</v>
      </c>
    </row>
    <row r="65" spans="2:17" hidden="1" outlineLevel="1" x14ac:dyDescent="0.25">
      <c r="C65" s="40" t="s">
        <v>312</v>
      </c>
      <c r="D65" s="40"/>
      <c r="G65" s="40"/>
      <c r="H65" s="40"/>
      <c r="I65" s="40"/>
      <c r="J65" s="40"/>
      <c r="K65" s="114">
        <f>SUM(K66:K67)</f>
        <v>0</v>
      </c>
      <c r="L65" s="114">
        <f>SUM(L66:L67)</f>
        <v>0</v>
      </c>
      <c r="M65" s="114">
        <f>SUM(M66:M67)</f>
        <v>0</v>
      </c>
      <c r="N65" s="114">
        <f>SUM(N66:N67)</f>
        <v>0</v>
      </c>
      <c r="O65" s="114">
        <f>SUM(O66:O67)</f>
        <v>0</v>
      </c>
      <c r="P65" s="113">
        <f t="shared" si="0"/>
        <v>0</v>
      </c>
      <c r="Q65" s="142" t="str">
        <f t="shared" si="1"/>
        <v>-</v>
      </c>
    </row>
    <row r="66" spans="2:17" hidden="1" outlineLevel="1" x14ac:dyDescent="0.25">
      <c r="C66" s="99" t="s">
        <v>132</v>
      </c>
      <c r="D66" s="42"/>
      <c r="G66" s="42"/>
      <c r="H66" s="42"/>
      <c r="I66" s="42"/>
      <c r="J66" s="42"/>
      <c r="K66" s="115" t="str">
        <f>K179</f>
        <v>-</v>
      </c>
      <c r="L66" s="115" t="str">
        <f>L179</f>
        <v>-</v>
      </c>
      <c r="M66" s="115" t="str">
        <f>M179</f>
        <v>-</v>
      </c>
      <c r="N66" s="115" t="str">
        <f>N179</f>
        <v>-</v>
      </c>
      <c r="O66" s="115" t="str">
        <f>O179</f>
        <v>-</v>
      </c>
      <c r="P66" s="95" t="str">
        <f t="shared" si="0"/>
        <v>-</v>
      </c>
      <c r="Q66" s="142" t="str">
        <f t="shared" si="1"/>
        <v>-</v>
      </c>
    </row>
    <row r="67" spans="2:17" hidden="1" outlineLevel="1" x14ac:dyDescent="0.25">
      <c r="C67" s="99" t="s">
        <v>178</v>
      </c>
      <c r="D67" s="42"/>
      <c r="G67" s="42"/>
      <c r="H67" s="42"/>
      <c r="I67" s="42"/>
      <c r="J67" s="42"/>
      <c r="K67" s="115" t="str">
        <f>K192</f>
        <v>-</v>
      </c>
      <c r="L67" s="115" t="str">
        <f>L192</f>
        <v>-</v>
      </c>
      <c r="M67" s="115" t="str">
        <f>M192</f>
        <v>-</v>
      </c>
      <c r="N67" s="115" t="str">
        <f>N192</f>
        <v>-</v>
      </c>
      <c r="O67" s="115" t="str">
        <f>O192</f>
        <v>-</v>
      </c>
      <c r="P67" s="95" t="str">
        <f t="shared" si="0"/>
        <v>-</v>
      </c>
      <c r="Q67" s="142" t="str">
        <f t="shared" si="1"/>
        <v>-</v>
      </c>
    </row>
    <row r="68" spans="2:17" hidden="1" outlineLevel="1" x14ac:dyDescent="0.25">
      <c r="C68" s="40" t="s">
        <v>313</v>
      </c>
      <c r="D68" s="40"/>
      <c r="G68" s="40"/>
      <c r="H68" s="40"/>
      <c r="I68" s="40"/>
      <c r="J68" s="40"/>
      <c r="K68" s="114">
        <f>SUM(K69:K70)</f>
        <v>0</v>
      </c>
      <c r="L68" s="114">
        <f>SUM(L69:L70)</f>
        <v>0</v>
      </c>
      <c r="M68" s="114">
        <f>SUM(M69:M70)</f>
        <v>0</v>
      </c>
      <c r="N68" s="114">
        <f>SUM(N69:N70)</f>
        <v>0</v>
      </c>
      <c r="O68" s="114">
        <f>SUM(O69:O70)</f>
        <v>0</v>
      </c>
      <c r="P68" s="113">
        <f t="shared" si="0"/>
        <v>0</v>
      </c>
      <c r="Q68" s="142" t="str">
        <f t="shared" si="1"/>
        <v>-</v>
      </c>
    </row>
    <row r="69" spans="2:17" hidden="1" outlineLevel="1" x14ac:dyDescent="0.25">
      <c r="C69" s="99" t="s">
        <v>132</v>
      </c>
      <c r="D69" s="42"/>
      <c r="G69" s="42"/>
      <c r="H69" s="42"/>
      <c r="I69" s="42"/>
      <c r="J69" s="42"/>
      <c r="K69" s="115" t="str">
        <f>K205</f>
        <v>-</v>
      </c>
      <c r="L69" s="115" t="str">
        <f>L205</f>
        <v>-</v>
      </c>
      <c r="M69" s="115" t="str">
        <f>M205</f>
        <v>-</v>
      </c>
      <c r="N69" s="115" t="str">
        <f>N205</f>
        <v>-</v>
      </c>
      <c r="O69" s="115" t="str">
        <f>O205</f>
        <v>-</v>
      </c>
      <c r="P69" s="95" t="str">
        <f t="shared" si="0"/>
        <v>-</v>
      </c>
      <c r="Q69" s="142" t="str">
        <f t="shared" si="1"/>
        <v>-</v>
      </c>
    </row>
    <row r="70" spans="2:17" hidden="1" outlineLevel="1" x14ac:dyDescent="0.25">
      <c r="C70" s="99" t="s">
        <v>178</v>
      </c>
      <c r="D70" s="42"/>
      <c r="G70" s="42"/>
      <c r="H70" s="42"/>
      <c r="I70" s="42"/>
      <c r="J70" s="42"/>
      <c r="K70" s="115" t="str">
        <f>K218</f>
        <v>-</v>
      </c>
      <c r="L70" s="115" t="str">
        <f>L218</f>
        <v>-</v>
      </c>
      <c r="M70" s="115" t="str">
        <f>M218</f>
        <v>-</v>
      </c>
      <c r="N70" s="115" t="str">
        <f>N218</f>
        <v>-</v>
      </c>
      <c r="O70" s="115" t="str">
        <f>O218</f>
        <v>-</v>
      </c>
      <c r="P70" s="95" t="str">
        <f t="shared" si="0"/>
        <v>-</v>
      </c>
      <c r="Q70" s="142" t="str">
        <f t="shared" si="1"/>
        <v>-</v>
      </c>
    </row>
    <row r="71" spans="2:17" hidden="1" outlineLevel="1" x14ac:dyDescent="0.25"/>
    <row r="72" spans="2:17" hidden="1" outlineLevel="1" x14ac:dyDescent="0.25">
      <c r="I72" t="s">
        <v>419</v>
      </c>
      <c r="J72" s="42" t="s">
        <v>66</v>
      </c>
      <c r="K72" t="str">
        <f>IFERROR(K65/ROUND($D$75/30,0),"-")</f>
        <v>-</v>
      </c>
      <c r="L72" t="str">
        <f>IFERROR(L65/ROUND($D$75/30,0),"-")</f>
        <v>-</v>
      </c>
      <c r="M72" t="str">
        <f>IFERROR(M65/ROUND($D$75/30,0),"-")</f>
        <v>-</v>
      </c>
      <c r="N72" t="str">
        <f>IFERROR(N65/ROUND($D$75/30,0),"-")</f>
        <v>-</v>
      </c>
      <c r="O72" t="str">
        <f>IFERROR(O65/ROUND($D$75/30,0),"-")</f>
        <v>-</v>
      </c>
    </row>
    <row r="73" spans="2:17" ht="15.75" hidden="1" outlineLevel="1" x14ac:dyDescent="0.25">
      <c r="B73"/>
      <c r="C73" s="39" t="s">
        <v>420</v>
      </c>
      <c r="D73" s="60" t="str">
        <f>IFERROR(INDEX(Inputs!$H$17:$U$17,1,MATCH($D$5,Inputs!$H$15:$U$15,0)),"-")</f>
        <v>-</v>
      </c>
      <c r="E73" s="127" t="str">
        <f>IFERROR(INDEX(#REF!,MATCH($C73,#REF!,0),MATCH($D73,#REF!,0)),"-")</f>
        <v>-</v>
      </c>
      <c r="I73" t="s">
        <v>419</v>
      </c>
      <c r="J73" s="42" t="s">
        <v>67</v>
      </c>
      <c r="K73" t="str">
        <f>IFERROR(K68/ROUND($D$75/30,0),"-")</f>
        <v>-</v>
      </c>
      <c r="L73" t="str">
        <f>IFERROR(L68/ROUND($D$75/30,0),"-")</f>
        <v>-</v>
      </c>
      <c r="M73" t="str">
        <f>IFERROR(M68/ROUND($D$75/30,0),"-")</f>
        <v>-</v>
      </c>
      <c r="N73" t="str">
        <f>IFERROR(N68/ROUND($D$75/30,0),"-")</f>
        <v>-</v>
      </c>
      <c r="O73" t="str">
        <f>IFERROR(O68/ROUND($D$75/30,0),"-")</f>
        <v>-</v>
      </c>
    </row>
    <row r="74" spans="2:17" ht="15.75" hidden="1" outlineLevel="1" x14ac:dyDescent="0.25">
      <c r="B74"/>
      <c r="C74" s="39" t="s">
        <v>421</v>
      </c>
      <c r="D74" s="60" t="str">
        <f>IFERROR(INDEX(Inputs!$H$17:$U$17,1,MATCH($D$5,Inputs!$H$15:$U$15,0)),"-")</f>
        <v>-</v>
      </c>
      <c r="E74" s="127" t="str">
        <f>IFERROR(INDEX(#REF!,MATCH($C74,#REF!,0),MATCH($D74,#REF!,0)),"-")</f>
        <v>-</v>
      </c>
      <c r="K74" s="85"/>
      <c r="L74" s="85"/>
      <c r="M74" s="85"/>
      <c r="N74" s="85"/>
      <c r="O74" s="85"/>
    </row>
    <row r="75" spans="2:17" ht="15.75" hidden="1" outlineLevel="1" x14ac:dyDescent="0.25">
      <c r="B75"/>
      <c r="C75" s="39" t="s">
        <v>422</v>
      </c>
      <c r="D75" t="str">
        <f>IFERROR(_xlfn.DAYS(E74,E73)+1,"-")</f>
        <v>-</v>
      </c>
      <c r="K75" s="85"/>
      <c r="L75" s="85"/>
      <c r="M75" s="85"/>
      <c r="N75" s="85"/>
      <c r="O75" s="85"/>
    </row>
    <row r="76" spans="2:17" ht="15.75" hidden="1" outlineLevel="1" x14ac:dyDescent="0.25">
      <c r="B76"/>
      <c r="C76" s="39" t="s">
        <v>402</v>
      </c>
      <c r="D76" s="105">
        <f>IFERROR(D75/DiY,0)</f>
        <v>0</v>
      </c>
    </row>
    <row r="77" spans="2:17" hidden="1" outlineLevel="1" x14ac:dyDescent="0.25">
      <c r="B77"/>
    </row>
    <row r="78" spans="2:17" hidden="1" outlineLevel="1" x14ac:dyDescent="0.25">
      <c r="B78"/>
    </row>
    <row r="79" spans="2:17" hidden="1" outlineLevel="1" x14ac:dyDescent="0.25">
      <c r="B79"/>
    </row>
    <row r="80" spans="2:17" ht="15.75" hidden="1" outlineLevel="1" x14ac:dyDescent="0.25">
      <c r="B80"/>
      <c r="C80" s="24" t="s">
        <v>423</v>
      </c>
    </row>
    <row r="81" spans="2:10" ht="15.75" hidden="1" outlineLevel="1" x14ac:dyDescent="0.25">
      <c r="B81"/>
      <c r="C81" s="32" t="s">
        <v>9</v>
      </c>
      <c r="D81" s="32" t="s">
        <v>47</v>
      </c>
      <c r="E81" s="32" t="s">
        <v>57</v>
      </c>
      <c r="F81" s="32" t="s">
        <v>330</v>
      </c>
    </row>
    <row r="82" spans="2:10" hidden="1" outlineLevel="1" x14ac:dyDescent="0.25">
      <c r="B82"/>
      <c r="C82" s="42" t="s">
        <v>424</v>
      </c>
      <c r="D82" s="60" t="str">
        <f>INDEX(Inputs!$C$17:$AZ$17,1,MATCH($D$5,Inputs!$C$15:$AZ$15,0))</f>
        <v>D-NextVDO_Input</v>
      </c>
      <c r="E82" s="42" t="s">
        <v>66</v>
      </c>
      <c r="F82" s="122" t="str">
        <f>IFERROR(SUMIFS(
INDEX(#REF!,0,MATCH(TUNet_Usage_Actual_1[[#This Row],[VDO decision]],#REF!,0)),#REF!,
Calc_TU_values!E82,#REF!,Calc_TU_values!C82),"-")</f>
        <v>-</v>
      </c>
    </row>
    <row r="83" spans="2:10" hidden="1" outlineLevel="1" x14ac:dyDescent="0.25">
      <c r="B83"/>
      <c r="C83" s="18" t="s">
        <v>425</v>
      </c>
      <c r="D83" s="60" t="str">
        <f>INDEX(Inputs!$C$17:$AZ$17,1,MATCH($D$5,Inputs!$C$15:$AZ$15,0))</f>
        <v>D-NextVDO_Input</v>
      </c>
      <c r="E83" s="42" t="s">
        <v>66</v>
      </c>
      <c r="F83" s="122" t="str">
        <f>IFERROR(SUMIFS(
INDEX(#REF!,0,MATCH(TUNet_Usage_Actual_1[[#This Row],[VDO decision]],#REF!,0)),#REF!,
Calc_TU_values!E83,#REF!,Calc_TU_values!C83),"-")</f>
        <v>-</v>
      </c>
    </row>
    <row r="84" spans="2:10" hidden="1" outlineLevel="1" x14ac:dyDescent="0.25">
      <c r="B84"/>
      <c r="C84" s="42" t="s">
        <v>426</v>
      </c>
      <c r="D84" s="60" t="str">
        <f>INDEX(Inputs!$C$17:$AZ$17,1,MATCH($D$5,Inputs!$C$15:$AZ$15,0))</f>
        <v>D-NextVDO_Input</v>
      </c>
      <c r="E84" s="42" t="s">
        <v>66</v>
      </c>
      <c r="F84" s="123" t="str">
        <f>IFERROR(F82/F83,"-")</f>
        <v>-</v>
      </c>
    </row>
    <row r="85" spans="2:10" hidden="1" outlineLevel="1" x14ac:dyDescent="0.25">
      <c r="B85"/>
      <c r="C85" s="42" t="s">
        <v>424</v>
      </c>
      <c r="D85" s="60" t="str">
        <f>INDEX(Inputs!$C$17:$AZ$17,1,MATCH($D$5,Inputs!$C$15:$AZ$15,0))</f>
        <v>D-NextVDO_Input</v>
      </c>
      <c r="E85" s="42" t="s">
        <v>67</v>
      </c>
      <c r="F85" s="122" t="str">
        <f>IFERROR(SUMIFS(
INDEX(#REF!,0,MATCH(TUNet_Usage_Actual_1[[#This Row],[VDO decision]],#REF!,0)),#REF!,
Calc_TU_values!E85,#REF!,Calc_TU_values!C85),"-")</f>
        <v>-</v>
      </c>
    </row>
    <row r="86" spans="2:10" hidden="1" outlineLevel="1" x14ac:dyDescent="0.25">
      <c r="B86"/>
      <c r="C86" s="18" t="s">
        <v>425</v>
      </c>
      <c r="D86" s="60" t="str">
        <f>INDEX(Inputs!$C$17:$AZ$17,1,MATCH($D$5,Inputs!$C$15:$AZ$15,0))</f>
        <v>D-NextVDO_Input</v>
      </c>
      <c r="E86" s="42" t="s">
        <v>67</v>
      </c>
      <c r="F86" s="122" t="str">
        <f>IFERROR(SUMIFS(
INDEX(#REF!,0,MATCH(TUNet_Usage_Actual_1[[#This Row],[VDO decision]],#REF!,0)),#REF!,
Calc_TU_values!E86,#REF!,Calc_TU_values!C86),"-")</f>
        <v>-</v>
      </c>
    </row>
    <row r="87" spans="2:10" hidden="1" outlineLevel="1" x14ac:dyDescent="0.25">
      <c r="B87"/>
      <c r="C87" s="124" t="s">
        <v>426</v>
      </c>
      <c r="D87" s="60" t="str">
        <f>INDEX(Inputs!$C$17:$AZ$17,1,MATCH($D$5,Inputs!$C$15:$AZ$15,0))</f>
        <v>D-NextVDO_Input</v>
      </c>
      <c r="E87" s="124" t="s">
        <v>67</v>
      </c>
      <c r="F87" s="123" t="str">
        <f>IFERROR(F85/F86,"-")</f>
        <v>-</v>
      </c>
    </row>
    <row r="88" spans="2:10" hidden="1" outlineLevel="1" x14ac:dyDescent="0.25">
      <c r="B88"/>
      <c r="C88" s="124" t="s">
        <v>427</v>
      </c>
      <c r="D88" s="125" t="str">
        <f>INDEX(Inputs!$C$17:$AZ$17,1,MATCH($D$5,Inputs!$C$15:$AZ$15,0))</f>
        <v>D-NextVDO_Input</v>
      </c>
      <c r="E88" s="42" t="s">
        <v>66</v>
      </c>
      <c r="F88" s="149" t="str">
        <f>IFERROR(SUMIFS(
INDEX(#REF!,0,MATCH(TUNet_Usage_Actual_1[[#This Row],[VDO decision]],#REF!,0)),#REF!,
"Total usage - Controlled load",#REF!,TUNet_Usage_Actual_1[[#This Row],[Customer type]],#REF!,"July 2020 to August 2020")
/SUMIFS(
INDEX(#REF!,0,MATCH(TUNet_Usage_Actual_1[[#This Row],[VDO decision]],#REF!,0)),#REF!,
"Total usage - Controlled load",#REF!,TUNet_Usage_Actual_1[[#This Row],[Customer type]],#REF!,"July 2020 to June 2021"),"-")</f>
        <v>-</v>
      </c>
    </row>
    <row r="89" spans="2:10" hidden="1" outlineLevel="1" x14ac:dyDescent="0.25">
      <c r="B89"/>
    </row>
    <row r="90" spans="2:10" ht="15.75" hidden="1" outlineLevel="1" x14ac:dyDescent="0.25">
      <c r="B90"/>
      <c r="C90" s="24" t="s">
        <v>428</v>
      </c>
    </row>
    <row r="91" spans="2:10" ht="15.75" hidden="1" outlineLevel="1" x14ac:dyDescent="0.25">
      <c r="B91"/>
      <c r="C91" s="32" t="s">
        <v>9</v>
      </c>
      <c r="D91" s="32" t="s">
        <v>47</v>
      </c>
      <c r="E91" s="32" t="s">
        <v>57</v>
      </c>
      <c r="F91" s="32" t="s">
        <v>59</v>
      </c>
      <c r="G91" s="43" t="s">
        <v>60</v>
      </c>
      <c r="H91" s="43" t="s">
        <v>61</v>
      </c>
      <c r="I91" s="43" t="s">
        <v>62</v>
      </c>
      <c r="J91" s="43" t="s">
        <v>63</v>
      </c>
    </row>
    <row r="92" spans="2:10" hidden="1" outlineLevel="1" x14ac:dyDescent="0.25">
      <c r="B92"/>
      <c r="C92" s="42" t="s">
        <v>429</v>
      </c>
      <c r="D92" s="60" t="str">
        <f>INDEX(Inputs!$C$17:$AZ$17,1,MATCH($D$5,Inputs!$C$15:$AZ$15,0))</f>
        <v>D-NextVDO_Input</v>
      </c>
      <c r="E92" s="42" t="s">
        <v>66</v>
      </c>
      <c r="F92" s="126" t="str">
        <f>IFERROR(IF(SUMIFS(
INDEX(#REF!,0,MATCH(TUNet_Usage_PerRate_1[[#This Row],[VDO decision]],#REF!,0)),#REF!,
$E92,#REF!,$C92&amp;" - "&amp;F$91)=0,"-",MIN(SUMIFS(TUNet_Usage_Actual_1[Value],TUNet_Usage_Actual_1[Customer type],$E92,TUNet_Usage_Actual_1[Description],"Usage per customer"),SUMIFS(
INDEX(#REF!,0,MATCH(TUNet_Usage_PerRate_1[[#This Row],[VDO decision]],#REF!,0)),#REF!,
$E92,#REF!,$C92&amp;" - "&amp;F$91))),"-")</f>
        <v>-</v>
      </c>
      <c r="G92" s="126" t="str">
        <f>IFERROR(IF(SUMIFS(
INDEX(#REF!,0,MATCH(TUNet_Usage_PerRate_1[[#This Row],[Customer type]],#REF!,0)),#REF!,
$E92,#REF!,$C92&amp;" - "&amp;G$91)=0,"-",MIN(SUMIFS(TUNet_Usage_Actual_1[Description],TUNet_Usage_Actual_1[Value],$E92,TUNet_Usage_Actual_1[VDO decision],"Usage per customer"),SUMIFS(
INDEX(#REF!,0,MATCH(TUNet_Usage_PerRate_1[[#This Row],[Customer type]],#REF!,0)),#REF!,
$E92,#REF!,$C92&amp;" - "&amp;G$91))),"-")</f>
        <v>-</v>
      </c>
      <c r="H92" s="126" t="str">
        <f>IFERROR(IF(SUMIFS(
INDEX(#REF!,0,MATCH(TUNet_Usage_PerRate_1[[#This Row],[Ausnet]],#REF!,0)),#REF!,
$E92,#REF!,$C92&amp;" - "&amp;H$91)=0,"-",MIN(SUMIFS(TUNet_Usage_Actual_1[VDO decision],TUNet_Usage_Actual_1[Description],$E92,TUNet_Usage_Actual_1[Customer type],"Usage per customer"),SUMIFS(
INDEX(#REF!,0,MATCH(TUNet_Usage_PerRate_1[[#This Row],[Ausnet]],#REF!,0)),#REF!,
$E92,#REF!,$C92&amp;" - "&amp;H$91))),"-")</f>
        <v>-</v>
      </c>
      <c r="I92" s="126" t="str">
        <f>IFERROR(IF(SUMIFS(
INDEX(#REF!,0,MATCH(TUNet_Usage_PerRate_1[[#This Row],[Citipower]],#REF!,0)),#REF!,
$E92,#REF!,$C92&amp;" - "&amp;I$91)=0,"-",MIN(SUMIFS(TUNet_Usage_Actual_1[Customer type],TUNet_Usage_Actual_1[VDO decision],$E92,TUNet_Usage_Actual_1[Value],"Usage per customer"),SUMIFS(
INDEX(#REF!,0,MATCH(TUNet_Usage_PerRate_1[[#This Row],[Citipower]],#REF!,0)),#REF!,
$E92,#REF!,$C92&amp;" - "&amp;I$91))),"-")</f>
        <v>-</v>
      </c>
      <c r="J92" s="126" t="str">
        <f>IFERROR(IF(SUMIFS(
INDEX(#REF!,0,MATCH(TUNet_Usage_PerRate_1[[#This Row],[Jemena]],#REF!,0)),#REF!,
$E92,#REF!,$C92&amp;" - "&amp;J$91)=0,"-",MIN(SUMIFS(TUNet_Usage_Actual_1[Value],TUNet_Usage_Actual_1[Customer type],$E92,TUNet_Usage_Actual_1[Description],"Usage per customer"),SUMIFS(
INDEX(#REF!,0,MATCH(TUNet_Usage_PerRate_1[[#This Row],[Jemena]],#REF!,0)),#REF!,
$E92,#REF!,$C92&amp;" - "&amp;J$91))),"-")</f>
        <v>-</v>
      </c>
    </row>
    <row r="93" spans="2:10" hidden="1" outlineLevel="1" x14ac:dyDescent="0.25">
      <c r="B93"/>
      <c r="C93" s="42" t="s">
        <v>429</v>
      </c>
      <c r="D93" s="60" t="str">
        <f>INDEX(Inputs!$C$17:$AZ$17,1,MATCH($D$5,Inputs!$C$15:$AZ$15,0))</f>
        <v>D-NextVDO_Input</v>
      </c>
      <c r="E93" s="42" t="s">
        <v>67</v>
      </c>
      <c r="F93" s="126" t="str">
        <f>IFERROR(IF(SUMIFS(
INDEX(#REF!,0,MATCH(TUNet_Usage_PerRate_1[[#This Row],[VDO decision]],#REF!,0)),#REF!,
$E93,#REF!,$C93&amp;" - "&amp;F$91)=0,"-",MIN(SUMIFS(TUNet_Usage_Actual_1[Value],TUNet_Usage_Actual_1[Customer type],$E93,TUNet_Usage_Actual_1[Description],"Usage per customer"),SUMIFS(
INDEX(#REF!,0,MATCH(TUNet_Usage_PerRate_1[[#This Row],[VDO decision]],#REF!,0)),#REF!,
$E93,#REF!,$C93&amp;" - "&amp;F$91))),"-")</f>
        <v>-</v>
      </c>
      <c r="G93" s="126" t="str">
        <f>IFERROR(IF(SUMIFS(
INDEX(#REF!,0,MATCH(TUNet_Usage_PerRate_1[[#This Row],[Customer type]],#REF!,0)),#REF!,
$E93,#REF!,$C93&amp;" - "&amp;G$91)=0,"-",MIN(SUMIFS(TUNet_Usage_Actual_1[Description],TUNet_Usage_Actual_1[Value],$E93,TUNet_Usage_Actual_1[VDO decision],"Usage per customer"),SUMIFS(
INDEX(#REF!,0,MATCH(TUNet_Usage_PerRate_1[[#This Row],[Customer type]],#REF!,0)),#REF!,
$E93,#REF!,$C93&amp;" - "&amp;G$91))),"-")</f>
        <v>-</v>
      </c>
      <c r="H93" s="126" t="str">
        <f>IFERROR(IF(SUMIFS(
INDEX(#REF!,0,MATCH(TUNet_Usage_PerRate_1[[#This Row],[Ausnet]],#REF!,0)),#REF!,
$E93,#REF!,$C93&amp;" - "&amp;H$91)=0,"-",MIN(SUMIFS(TUNet_Usage_Actual_1[VDO decision],TUNet_Usage_Actual_1[Description],$E93,TUNet_Usage_Actual_1[Customer type],"Usage per customer"),SUMIFS(
INDEX(#REF!,0,MATCH(TUNet_Usage_PerRate_1[[#This Row],[Ausnet]],#REF!,0)),#REF!,
$E93,#REF!,$C93&amp;" - "&amp;H$91))),"-")</f>
        <v>-</v>
      </c>
      <c r="I93" s="126" t="str">
        <f>IFERROR(IF(SUMIFS(
INDEX(#REF!,0,MATCH(TUNet_Usage_PerRate_1[[#This Row],[Citipower]],#REF!,0)),#REF!,
$E93,#REF!,$C93&amp;" - "&amp;I$91)=0,"-",MIN(SUMIFS(TUNet_Usage_Actual_1[Customer type],TUNet_Usage_Actual_1[VDO decision],$E93,TUNet_Usage_Actual_1[Value],"Usage per customer"),SUMIFS(
INDEX(#REF!,0,MATCH(TUNet_Usage_PerRate_1[[#This Row],[Citipower]],#REF!,0)),#REF!,
$E93,#REF!,$C93&amp;" - "&amp;I$91))),"-")</f>
        <v>-</v>
      </c>
      <c r="J93" s="126" t="str">
        <f>IFERROR(IF(SUMIFS(
INDEX(#REF!,0,MATCH(TUNet_Usage_PerRate_1[[#This Row],[Jemena]],#REF!,0)),#REF!,
$E93,#REF!,$C93&amp;" - "&amp;J$91)=0,"-",MIN(SUMIFS(TUNet_Usage_Actual_1[Value],TUNet_Usage_Actual_1[Customer type],$E93,TUNet_Usage_Actual_1[Description],"Usage per customer"),SUMIFS(
INDEX(#REF!,0,MATCH(TUNet_Usage_PerRate_1[[#This Row],[Jemena]],#REF!,0)),#REF!,
$E93,#REF!,$C93&amp;" - "&amp;J$91))),"-")</f>
        <v>-</v>
      </c>
    </row>
    <row r="94" spans="2:10" hidden="1" outlineLevel="1" x14ac:dyDescent="0.25">
      <c r="B94"/>
      <c r="C94" s="124" t="s">
        <v>430</v>
      </c>
      <c r="D94" s="60" t="str">
        <f>INDEX(Inputs!$C$17:$AZ$17,1,MATCH($D$5,Inputs!$C$15:$AZ$15,0))</f>
        <v>D-NextVDO_Input</v>
      </c>
      <c r="E94" s="42" t="s">
        <v>66</v>
      </c>
      <c r="F94" s="126" t="str">
        <f>IFERROR(IF(SUMIFS(F$92:F$93,$E$92:$E$93,$E94,$C$92:$C$93,"Usage per customer - Block 1")=0,"-",SUMIFS(TUNet_Usage_Actual_1[Value],TUNet_Usage_Actual_1[Customer type],$E94,TUNet_Usage_Actual_1[Description],"Usage per customer")-SUMIFS(F$92:F$93,$E$92:$E$93,$E94,$C$92:$C$93,"Usage per customer - Block 1")),"-")</f>
        <v>-</v>
      </c>
      <c r="G94" s="126" t="str">
        <f>IFERROR(IF(SUMIFS(G$92:G$93,$E$92:$E$93,$E94,$C$92:$C$93,"Usage per customer - Block 1")=0,"-",SUMIFS(TUNet_Usage_Actual_1[Description],TUNet_Usage_Actual_1[Value],$E94,TUNet_Usage_Actual_1[VDO decision],"Usage per customer")-SUMIFS(G$92:G$93,$E$92:$E$93,$E94,$C$92:$C$93,"Usage per customer - Block 1")),"-")</f>
        <v>-</v>
      </c>
      <c r="H94" s="126" t="str">
        <f>IFERROR(IF(SUMIFS(H$92:H$93,$E$92:$E$93,$E94,$C$92:$C$93,"Usage per customer - Block 1")=0,"-",SUMIFS(TUNet_Usage_Actual_1[VDO decision],TUNet_Usage_Actual_1[Description],$E94,TUNet_Usage_Actual_1[Customer type],"Usage per customer")-SUMIFS(H$92:H$93,$E$92:$E$93,$E94,$C$92:$C$93,"Usage per customer - Block 1")),"-")</f>
        <v>-</v>
      </c>
      <c r="I94" s="126" t="str">
        <f>IFERROR(IF(SUMIFS(I$92:I$93,$E$92:$E$93,$E94,$C$92:$C$93,"Usage per customer - Block 1")=0,"-",SUMIFS(TUNet_Usage_Actual_1[Customer type],TUNet_Usage_Actual_1[VDO decision],$E94,TUNet_Usage_Actual_1[Value],"Usage per customer")-SUMIFS(I$92:I$93,$E$92:$E$93,$E94,$C$92:$C$93,"Usage per customer - Block 1")),"-")</f>
        <v>-</v>
      </c>
      <c r="J94" s="126" t="str">
        <f>IFERROR(IF(SUMIFS(J$92:J$93,$E$92:$E$93,$E94,$C$92:$C$93,"Usage per customer - Block 1")=0,"-",SUMIFS(TUNet_Usage_Actual_1[Value],TUNet_Usage_Actual_1[Customer type],$E94,TUNet_Usage_Actual_1[Description],"Usage per customer")-SUMIFS(J$92:J$93,$E$92:$E$93,$E94,$C$92:$C$93,"Usage per customer - Block 1")),"-")</f>
        <v>-</v>
      </c>
    </row>
    <row r="95" spans="2:10" hidden="1" outlineLevel="1" x14ac:dyDescent="0.25">
      <c r="B95"/>
      <c r="C95" s="124" t="s">
        <v>430</v>
      </c>
      <c r="D95" s="60" t="str">
        <f>INDEX(Inputs!$C$17:$AZ$17,1,MATCH($D$5,Inputs!$C$15:$AZ$15,0))</f>
        <v>D-NextVDO_Input</v>
      </c>
      <c r="E95" s="42" t="s">
        <v>67</v>
      </c>
      <c r="F95" s="126" t="str">
        <f>IFERROR(IF(SUMIFS(F$92:F$93,$E$92:$E$93,$E95,$C$92:$C$93,"Usage per customer - Block 1")=0,"-",SUMIFS(TUNet_Usage_Actual_1[Value],TUNet_Usage_Actual_1[Customer type],$E95,TUNet_Usage_Actual_1[Description],"Usage per customer")-SUMIFS(F$92:F$93,$E$92:$E$93,$E95,$C$92:$C$93,"Usage per customer - Block 1")),"-")</f>
        <v>-</v>
      </c>
      <c r="G95" s="126" t="str">
        <f>IFERROR(IF(SUMIFS(G$92:G$93,$E$92:$E$93,$E95,$C$92:$C$93,"Usage per customer - Block 1")=0,"-",SUMIFS(TUNet_Usage_Actual_1[Description],TUNet_Usage_Actual_1[Value],$E95,TUNet_Usage_Actual_1[VDO decision],"Usage per customer")-SUMIFS(G$92:G$93,$E$92:$E$93,$E95,$C$92:$C$93,"Usage per customer - Block 1")),"-")</f>
        <v>-</v>
      </c>
      <c r="H95" s="126" t="str">
        <f>IFERROR(IF(SUMIFS(H$92:H$93,$E$92:$E$93,$E95,$C$92:$C$93,"Usage per customer - Block 1")=0,"-",SUMIFS(TUNet_Usage_Actual_1[VDO decision],TUNet_Usage_Actual_1[Description],$E95,TUNet_Usage_Actual_1[Customer type],"Usage per customer")-SUMIFS(H$92:H$93,$E$92:$E$93,$E95,$C$92:$C$93,"Usage per customer - Block 1")),"-")</f>
        <v>-</v>
      </c>
      <c r="I95" s="126" t="str">
        <f>IFERROR(IF(SUMIFS(I$92:I$93,$E$92:$E$93,$E95,$C$92:$C$93,"Usage per customer - Block 1")=0,"-",SUMIFS(TUNet_Usage_Actual_1[Customer type],TUNet_Usage_Actual_1[VDO decision],$E95,TUNet_Usage_Actual_1[Value],"Usage per customer")-SUMIFS(I$92:I$93,$E$92:$E$93,$E95,$C$92:$C$93,"Usage per customer - Block 1")),"-")</f>
        <v>-</v>
      </c>
      <c r="J95" s="126" t="str">
        <f>IFERROR(IF(SUMIFS(J$92:J$93,$E$92:$E$93,$E95,$C$92:$C$93,"Usage per customer - Block 1")=0,"-",SUMIFS(TUNet_Usage_Actual_1[Value],TUNet_Usage_Actual_1[Customer type],$E95,TUNet_Usage_Actual_1[Description],"Usage per customer")-SUMIFS(J$92:J$93,$E$92:$E$93,$E95,$C$92:$C$93,"Usage per customer - Block 1")),"-")</f>
        <v>-</v>
      </c>
    </row>
    <row r="96" spans="2:10" hidden="1" outlineLevel="1" x14ac:dyDescent="0.25">
      <c r="B96"/>
      <c r="C96" s="124" t="s">
        <v>431</v>
      </c>
      <c r="D96" s="60" t="str">
        <f>INDEX(Inputs!$C$17:$AZ$17,1,MATCH($D$5,Inputs!$C$15:$AZ$15,0))</f>
        <v>D-NextVDO_Input</v>
      </c>
      <c r="E96" s="42" t="s">
        <v>66</v>
      </c>
      <c r="F96" s="122" t="str">
        <f>IFERROR(IF(SUMIFS(
INDEX(#REF!,0,MATCH(TUNet_Usage_PerRate_1[[#This Row],[VDO decision]],#REF!,0)),#REF!,
$E96,#REF!,"Usage per customer - Block 1 - "&amp;F$91)=0,SUMIFS(TUNet_Usage_Actual_1[Value],TUNet_Usage_Actual_1[Customer type],$E96,TUNet_Usage_Actual_1[Description],"Usage per customer"),"-"),"-")</f>
        <v>-</v>
      </c>
      <c r="G96" s="122" t="str">
        <f>IFERROR(IF(SUMIFS(
INDEX(#REF!,0,MATCH(TUNet_Usage_PerRate_1[[#This Row],[Customer type]],#REF!,0)),#REF!,
$E96,#REF!,"Usage per customer - Block 1 - "&amp;G$91)=0,SUMIFS(TUNet_Usage_Actual_1[Description],TUNet_Usage_Actual_1[Value],$E96,TUNet_Usage_Actual_1[VDO decision],"Usage per customer"),"-"),"-")</f>
        <v>-</v>
      </c>
      <c r="H96" s="122" t="str">
        <f>IFERROR(IF(SUMIFS(
INDEX(#REF!,0,MATCH(TUNet_Usage_PerRate_1[[#This Row],[Ausnet]],#REF!,0)),#REF!,
$E96,#REF!,"Usage per customer - Block 1 - "&amp;H$91)=0,SUMIFS(TUNet_Usage_Actual_1[VDO decision],TUNet_Usage_Actual_1[Description],$E96,TUNet_Usage_Actual_1[Customer type],"Usage per customer"),"-"),"-")</f>
        <v>-</v>
      </c>
      <c r="I96" s="122" t="str">
        <f>IFERROR(IF(SUMIFS(
INDEX(#REF!,0,MATCH(TUNet_Usage_PerRate_1[[#This Row],[Citipower]],#REF!,0)),#REF!,
$E96,#REF!,"Usage per customer - Block 1 - "&amp;I$91)=0,SUMIFS(TUNet_Usage_Actual_1[Customer type],TUNet_Usage_Actual_1[VDO decision],$E96,TUNet_Usage_Actual_1[Value],"Usage per customer"),"-"),"-")</f>
        <v>-</v>
      </c>
      <c r="J96" s="122" t="str">
        <f>IFERROR(IF(SUMIFS(
INDEX(#REF!,0,MATCH(TUNet_Usage_PerRate_1[[#This Row],[Jemena]],#REF!,0)),#REF!,
$E96,#REF!,"Usage per customer - Block 1 - "&amp;J$91)=0,SUMIFS(TUNet_Usage_Actual_1[Value],TUNet_Usage_Actual_1[Customer type],$E96,TUNet_Usage_Actual_1[Description],"Usage per customer"),"-"),"-")</f>
        <v>-</v>
      </c>
    </row>
    <row r="97" spans="2:15" hidden="1" outlineLevel="1" x14ac:dyDescent="0.25">
      <c r="B97"/>
      <c r="C97" s="42" t="s">
        <v>431</v>
      </c>
      <c r="D97" s="60" t="str">
        <f>INDEX(Inputs!$C$17:$AZ$17,1,MATCH($D$5,Inputs!$C$15:$AZ$15,0))</f>
        <v>D-NextVDO_Input</v>
      </c>
      <c r="E97" s="42" t="s">
        <v>67</v>
      </c>
      <c r="F97" s="122" t="str">
        <f>IFERROR(IF(SUMIFS(
INDEX(#REF!,0,MATCH(TUNet_Usage_PerRate_1[[#This Row],[VDO decision]],#REF!,0)),#REF!,
$E97,#REF!,"Usage per customer - Block 1 - "&amp;F$91)=0,SUMIFS(TUNet_Usage_Actual_1[Value],TUNet_Usage_Actual_1[Customer type],$E97,TUNet_Usage_Actual_1[Description],"Usage per customer"),"-"),"-")</f>
        <v>-</v>
      </c>
      <c r="G97" s="122" t="str">
        <f>IFERROR(IF(SUMIFS(
INDEX(#REF!,0,MATCH(TUNet_Usage_PerRate_1[[#This Row],[Customer type]],#REF!,0)),#REF!,
$E97,#REF!,"Usage per customer - Block 1 - "&amp;G$91)=0,SUMIFS(TUNet_Usage_Actual_1[Description],TUNet_Usage_Actual_1[Value],$E97,TUNet_Usage_Actual_1[VDO decision],"Usage per customer"),"-"),"-")</f>
        <v>-</v>
      </c>
      <c r="H97" s="122" t="str">
        <f>IFERROR(IF(SUMIFS(
INDEX(#REF!,0,MATCH(TUNet_Usage_PerRate_1[[#This Row],[Ausnet]],#REF!,0)),#REF!,
$E97,#REF!,"Usage per customer - Block 1 - "&amp;H$91)=0,SUMIFS(TUNet_Usage_Actual_1[VDO decision],TUNet_Usage_Actual_1[Description],$E97,TUNet_Usage_Actual_1[Customer type],"Usage per customer"),"-"),"-")</f>
        <v>-</v>
      </c>
      <c r="I97" s="122" t="str">
        <f>IFERROR(IF(SUMIFS(
INDEX(#REF!,0,MATCH(TUNet_Usage_PerRate_1[[#This Row],[Citipower]],#REF!,0)),#REF!,
$E97,#REF!,"Usage per customer - Block 1 - "&amp;I$91)=0,SUMIFS(TUNet_Usage_Actual_1[Customer type],TUNet_Usage_Actual_1[VDO decision],$E97,TUNet_Usage_Actual_1[Value],"Usage per customer"),"-"),"-")</f>
        <v>-</v>
      </c>
      <c r="J97" s="122" t="str">
        <f>IFERROR(IF(SUMIFS(
INDEX(#REF!,0,MATCH(TUNet_Usage_PerRate_1[[#This Row],[Jemena]],#REF!,0)),#REF!,
$E97,#REF!,"Usage per customer - Block 1 - "&amp;J$91)=0,SUMIFS(TUNet_Usage_Actual_1[Value],TUNet_Usage_Actual_1[Customer type],$E97,TUNet_Usage_Actual_1[Description],"Usage per customer"),"-"),"-")</f>
        <v>-</v>
      </c>
    </row>
    <row r="98" spans="2:15" hidden="1" outlineLevel="1" x14ac:dyDescent="0.25">
      <c r="B98"/>
    </row>
    <row r="99" spans="2:15" ht="15.75" hidden="1" outlineLevel="1" x14ac:dyDescent="0.25">
      <c r="B99"/>
      <c r="C99" s="24" t="s">
        <v>432</v>
      </c>
    </row>
    <row r="100" spans="2:15" ht="15.75" hidden="1" outlineLevel="1" x14ac:dyDescent="0.25">
      <c r="C100" s="32" t="s">
        <v>49</v>
      </c>
      <c r="D100" s="32" t="s">
        <v>47</v>
      </c>
      <c r="E100" s="32" t="s">
        <v>408</v>
      </c>
      <c r="F100" s="32" t="s">
        <v>409</v>
      </c>
      <c r="G100" s="32" t="s">
        <v>410</v>
      </c>
      <c r="H100" s="32" t="s">
        <v>108</v>
      </c>
      <c r="I100" s="32" t="s">
        <v>56</v>
      </c>
      <c r="J100" s="31" t="s">
        <v>57</v>
      </c>
      <c r="K100" s="43" t="s">
        <v>59</v>
      </c>
      <c r="L100" s="43" t="s">
        <v>60</v>
      </c>
      <c r="M100" s="43" t="s">
        <v>61</v>
      </c>
      <c r="N100" s="43" t="s">
        <v>62</v>
      </c>
      <c r="O100" s="43" t="s">
        <v>63</v>
      </c>
    </row>
    <row r="101" spans="2:15" hidden="1" outlineLevel="1" x14ac:dyDescent="0.25">
      <c r="C101" s="42"/>
      <c r="D101" s="42"/>
      <c r="E101" s="42"/>
      <c r="F101" s="42"/>
      <c r="G101" s="42"/>
      <c r="H101" s="42"/>
      <c r="I101" s="42"/>
      <c r="J101" s="42"/>
      <c r="K101" s="47"/>
      <c r="L101" s="42"/>
      <c r="M101" s="42"/>
      <c r="N101" s="42"/>
      <c r="O101" s="42"/>
    </row>
    <row r="102" spans="2:15" ht="15.75" hidden="1" outlineLevel="1" x14ac:dyDescent="0.25">
      <c r="C102" s="1" t="s">
        <v>310</v>
      </c>
      <c r="D102" s="42"/>
      <c r="E102" s="42"/>
      <c r="F102" s="42"/>
      <c r="G102" s="30" t="str">
        <f>INDEX(Input_TU_YesNo[],MATCH(Calc_TUV_Net_1[[#This Row],[Cost item]],Input_TU_YesNo[Component],0),MATCH($D$5,Inputs!$C$210:$BM$210,0))</f>
        <v>No</v>
      </c>
      <c r="H102" s="42"/>
      <c r="I102" s="42"/>
      <c r="J102" s="42"/>
      <c r="K102" s="47"/>
      <c r="L102" s="42"/>
      <c r="M102" s="42"/>
      <c r="N102" s="42"/>
      <c r="O102" s="42"/>
    </row>
    <row r="103" spans="2:15" hidden="1" outlineLevel="1" x14ac:dyDescent="0.25">
      <c r="C103" s="40" t="s">
        <v>433</v>
      </c>
      <c r="D103" s="40"/>
      <c r="E103" s="40"/>
      <c r="F103" s="40"/>
      <c r="G103" s="49"/>
      <c r="H103" s="49"/>
      <c r="I103" s="18"/>
      <c r="J103" s="18"/>
      <c r="K103" s="46"/>
      <c r="L103" s="18"/>
      <c r="M103" s="18"/>
      <c r="N103" s="18"/>
      <c r="O103" s="18"/>
    </row>
    <row r="104" spans="2:15" hidden="1" outlineLevel="1" x14ac:dyDescent="0.25">
      <c r="C104" s="42" t="s">
        <v>434</v>
      </c>
      <c r="D104" s="60" t="str">
        <f>$D$5</f>
        <v>VDO 2024-25 - Draft</v>
      </c>
      <c r="E104" s="18" t="s">
        <v>316</v>
      </c>
      <c r="F104" s="60" t="str">
        <f>INDEX(Inputs!$C$17:$AZ$17,1,MATCH($D104,Inputs!$C$15:$AZ$15,0))</f>
        <v>D-NextVDO_Input</v>
      </c>
      <c r="G104" s="41"/>
      <c r="H104" s="18" t="s">
        <v>132</v>
      </c>
      <c r="I104" s="18" t="s">
        <v>65</v>
      </c>
      <c r="J104" s="42" t="s">
        <v>66</v>
      </c>
      <c r="K104" s="47" cm="1">
        <f t="array" ref="K104">IFERROR(INDEX(Input_ForRateCalc[],MATCH($C104&amp;" - "&amp;K$100,Input_ForRateCalc[[Cost item]:[Cost item]],0),MATCH(Calc_TUV_Net_1[[#This Row],[Decision ref]:[Decision ref]],Input_ForRateCalc[#Headers],0))*TUProp_Days_1,"-")</f>
        <v>0</v>
      </c>
      <c r="L104" s="47" cm="1">
        <f t="array" ref="L104">IFERROR(INDEX(Input_ForRateCalc[],MATCH($C104&amp;" - "&amp;L$100,Input_ForRateCalc[[Cost item]:[Cost item]],0),MATCH(Calc_TUV_Net_1[[#This Row],[Decision ref]:[Decision ref]],Input_ForRateCalc[#Headers],0))*TUProp_Days_1,"-")</f>
        <v>0</v>
      </c>
      <c r="M104" s="47" cm="1">
        <f t="array" ref="M104">IFERROR(INDEX(Input_ForRateCalc[],MATCH($C104&amp;" - "&amp;M$100,Input_ForRateCalc[[Cost item]:[Cost item]],0),MATCH(Calc_TUV_Net_1[[#This Row],[Decision ref]:[Decision ref]],Input_ForRateCalc[#Headers],0))*TUProp_Days_1,"-")</f>
        <v>0</v>
      </c>
      <c r="N104" s="47" cm="1">
        <f t="array" ref="N104">IFERROR(INDEX(Input_ForRateCalc[],MATCH($C104&amp;" - "&amp;N$100,Input_ForRateCalc[[Cost item]:[Cost item]],0),MATCH(Calc_TUV_Net_1[[#This Row],[Decision ref]:[Decision ref]],Input_ForRateCalc[#Headers],0))*TUProp_Days_1,"-")</f>
        <v>0</v>
      </c>
      <c r="O104" s="47" cm="1">
        <f t="array" ref="O104">IFERROR(INDEX(Input_ForRateCalc[],MATCH($C104&amp;" - "&amp;O$100,Input_ForRateCalc[[Cost item]:[Cost item]],0),MATCH(Calc_TUV_Net_1[[#This Row],[Decision ref]:[Decision ref]],Input_ForRateCalc[#Headers],0))*TUProp_Days_1,"-")</f>
        <v>0</v>
      </c>
    </row>
    <row r="105" spans="2:15" hidden="1" outlineLevel="1" x14ac:dyDescent="0.25">
      <c r="C105" s="42" t="s">
        <v>357</v>
      </c>
      <c r="D105" s="60" t="str">
        <f>$D$5</f>
        <v>VDO 2024-25 - Draft</v>
      </c>
      <c r="E105" s="18" t="s">
        <v>316</v>
      </c>
      <c r="F105" s="60" t="str">
        <f>INDEX(Inputs!$C$17:$AZ$17,1,MATCH($D105,Inputs!$C$15:$AZ$15,0))</f>
        <v>D-NextVDO_Input</v>
      </c>
      <c r="G105" s="41"/>
      <c r="H105" s="18" t="s">
        <v>132</v>
      </c>
      <c r="I105" s="18" t="s">
        <v>65</v>
      </c>
      <c r="J105" s="42" t="s">
        <v>66</v>
      </c>
      <c r="K105" s="47" cm="1">
        <f t="array" ref="K105">IFERROR(INDEX(Input_ForRateCalc[],MATCH($C105&amp;" - "&amp;K$100,Input_ForRateCalc[[Cost item]:[Cost item]],0),MATCH(Calc_TUV_Net_1[[#This Row],[Decision ref]:[Decision ref]],Input_ForRateCalc[#Headers],0))*TUProp_Days_1,"-")</f>
        <v>0</v>
      </c>
      <c r="L105" s="47" cm="1">
        <f t="array" ref="L105">IFERROR(INDEX(Input_ForRateCalc[],MATCH($C105&amp;" - "&amp;L$100,Input_ForRateCalc[[Cost item]:[Cost item]],0),MATCH(Calc_TUV_Net_1[[#This Row],[Decision ref]:[Decision ref]],Input_ForRateCalc[#Headers],0))*TUProp_Days_1,"-")</f>
        <v>0</v>
      </c>
      <c r="M105" s="47" cm="1">
        <f t="array" ref="M105">IFERROR(INDEX(Input_ForRateCalc[],MATCH($C105&amp;" - "&amp;M$100,Input_ForRateCalc[[Cost item]:[Cost item]],0),MATCH(Calc_TUV_Net_1[[#This Row],[Decision ref]:[Decision ref]],Input_ForRateCalc[#Headers],0))*TUProp_Days_1,"-")</f>
        <v>0</v>
      </c>
      <c r="N105" s="47" cm="1">
        <f t="array" ref="N105">IFERROR(INDEX(Input_ForRateCalc[],MATCH($C105&amp;" - "&amp;N$100,Input_ForRateCalc[[Cost item]:[Cost item]],0),MATCH(Calc_TUV_Net_1[[#This Row],[Decision ref]:[Decision ref]],Input_ForRateCalc[#Headers],0))*TUProp_Days_1,"-")</f>
        <v>0</v>
      </c>
      <c r="O105" s="47" cm="1">
        <f t="array" ref="O105">IFERROR(INDEX(Input_ForRateCalc[],MATCH($C105&amp;" - "&amp;O$100,Input_ForRateCalc[[Cost item]:[Cost item]],0),MATCH(Calc_TUV_Net_1[[#This Row],[Decision ref]:[Decision ref]],Input_ForRateCalc[#Headers],0))*TUProp_Days_1,"-")</f>
        <v>0</v>
      </c>
    </row>
    <row r="106" spans="2:15" hidden="1" outlineLevel="1" x14ac:dyDescent="0.25">
      <c r="C106" s="42" t="s">
        <v>411</v>
      </c>
      <c r="D106" s="60" t="str">
        <f>$D$5</f>
        <v>VDO 2024-25 - Draft</v>
      </c>
      <c r="E106" s="18" t="s">
        <v>316</v>
      </c>
      <c r="F106" s="60" t="str">
        <f>INDEX(Inputs!$C$17:$AZ$17,1,MATCH($D106,Inputs!$C$15:$AZ$15,0))</f>
        <v>D-NextVDO_Input</v>
      </c>
      <c r="G106" s="41"/>
      <c r="H106" s="18" t="s">
        <v>132</v>
      </c>
      <c r="I106" s="18" t="s">
        <v>65</v>
      </c>
      <c r="J106" s="42" t="s">
        <v>66</v>
      </c>
      <c r="K106" s="45">
        <f>IFERROR(SUM(K104:K105),"-")</f>
        <v>0</v>
      </c>
      <c r="L106" s="45">
        <f>IFERROR(SUM(L104:L105),"-")</f>
        <v>0</v>
      </c>
      <c r="M106" s="45">
        <f>IFERROR(SUM(M104:M105),"-")</f>
        <v>0</v>
      </c>
      <c r="N106" s="45">
        <f>IFERROR(SUM(N104:N105),"-")</f>
        <v>0</v>
      </c>
      <c r="O106" s="45">
        <f>IFERROR(SUM(O104:O105),"-")</f>
        <v>0</v>
      </c>
    </row>
    <row r="107" spans="2:15" hidden="1" outlineLevel="1" x14ac:dyDescent="0.25">
      <c r="C107" s="42" t="s">
        <v>434</v>
      </c>
      <c r="D107" s="60" t="str">
        <f>INDEX(Input_DecisionActual[[Decision]:[Decision]],MATCH($D$5,Input_DecisionActual[[VDO period]:[VDO period]],0),1)</f>
        <v>VDO 2023-24 - Final</v>
      </c>
      <c r="E107" s="18" t="s">
        <v>96</v>
      </c>
      <c r="F107" s="60" t="str">
        <f>IF($D107="-","-",INDEX(Inputs!$C$17:$AZ$17,1,MATCH($D107,Inputs!$C$15:$AZ$15,0)))</f>
        <v>F-CurrentVDO_Input</v>
      </c>
      <c r="G107" s="41"/>
      <c r="H107" s="18" t="s">
        <v>132</v>
      </c>
      <c r="I107" s="18" t="s">
        <v>65</v>
      </c>
      <c r="J107" s="42" t="s">
        <v>66</v>
      </c>
      <c r="K107" s="47" cm="1">
        <f t="array" ref="K107">IFERROR(INDEX(Input_ForRateCalc[],MATCH($C107&amp;" - "&amp;K$100,Input_ForRateCalc[[Cost item]:[Cost item]],0),MATCH(Calc_TUV_Net_1[[#This Row],[Decision ref]:[Decision ref]],Input_ForRateCalc[#Headers],0)),"-")*TUProp_Days_1</f>
        <v>0</v>
      </c>
      <c r="L107" s="47" cm="1">
        <f t="array" ref="L107">IFERROR(INDEX(Input_ForRateCalc[],MATCH($C107&amp;" - "&amp;L$100,Input_ForRateCalc[[Cost item]:[Cost item]],0),MATCH(Calc_TUV_Net_1[[#This Row],[Decision ref]:[Decision ref]],Input_ForRateCalc[#Headers],0)),"-")*TUProp_Days_1</f>
        <v>0</v>
      </c>
      <c r="M107" s="47" cm="1">
        <f t="array" ref="M107">IFERROR(INDEX(Input_ForRateCalc[],MATCH($C107&amp;" - "&amp;M$100,Input_ForRateCalc[[Cost item]:[Cost item]],0),MATCH(Calc_TUV_Net_1[[#This Row],[Decision ref]:[Decision ref]],Input_ForRateCalc[#Headers],0)),"-")*TUProp_Days_1</f>
        <v>0</v>
      </c>
      <c r="N107" s="47" cm="1">
        <f t="array" ref="N107">IFERROR(INDEX(Input_ForRateCalc[],MATCH($C107&amp;" - "&amp;N$100,Input_ForRateCalc[[Cost item]:[Cost item]],0),MATCH(Calc_TUV_Net_1[[#This Row],[Decision ref]:[Decision ref]],Input_ForRateCalc[#Headers],0)),"-")*TUProp_Days_1</f>
        <v>0</v>
      </c>
      <c r="O107" s="47" cm="1">
        <f t="array" ref="O107">IFERROR(INDEX(Input_ForRateCalc[],MATCH($C107&amp;" - "&amp;O$100,Input_ForRateCalc[[Cost item]:[Cost item]],0),MATCH(Calc_TUV_Net_1[[#This Row],[Decision ref]:[Decision ref]],Input_ForRateCalc[#Headers],0)),"-")*TUProp_Days_1</f>
        <v>0</v>
      </c>
    </row>
    <row r="108" spans="2:15" hidden="1" outlineLevel="1" x14ac:dyDescent="0.25">
      <c r="C108" s="42" t="s">
        <v>357</v>
      </c>
      <c r="D108" s="60" t="str">
        <f>INDEX(Input_DecisionActual[[Decision]:[Decision]],MATCH($D$5,Input_DecisionActual[[VDO period]:[VDO period]],0),1)</f>
        <v>VDO 2023-24 - Final</v>
      </c>
      <c r="E108" s="18" t="s">
        <v>96</v>
      </c>
      <c r="F108" s="60" t="str">
        <f>IF($D108="-","-",INDEX(Inputs!$C$17:$AZ$17,1,MATCH($D108,Inputs!$C$15:$AZ$15,0)))</f>
        <v>F-CurrentVDO_Input</v>
      </c>
      <c r="G108" s="41"/>
      <c r="H108" s="18" t="s">
        <v>132</v>
      </c>
      <c r="I108" s="18" t="s">
        <v>65</v>
      </c>
      <c r="J108" s="42" t="s">
        <v>66</v>
      </c>
      <c r="K108" s="47" cm="1">
        <f t="array" ref="K108">IFERROR(INDEX(Input_ForRateCalc[],MATCH($C108&amp;" - "&amp;K$100,Input_ForRateCalc[[Cost item]:[Cost item]],0),MATCH(Calc_TUV_Net_1[[#This Row],[Decision ref]:[Decision ref]],Input_ForRateCalc[#Headers],0)),"-")*TUProp_Days_1</f>
        <v>0</v>
      </c>
      <c r="L108" s="47" cm="1">
        <f t="array" ref="L108">IFERROR(INDEX(Input_ForRateCalc[],MATCH($C108&amp;" - "&amp;L$100,Input_ForRateCalc[[Cost item]:[Cost item]],0),MATCH(Calc_TUV_Net_1[[#This Row],[Decision ref]:[Decision ref]],Input_ForRateCalc[#Headers],0)),"-")*TUProp_Days_1</f>
        <v>0</v>
      </c>
      <c r="M108" s="47" cm="1">
        <f t="array" ref="M108">IFERROR(INDEX(Input_ForRateCalc[],MATCH($C108&amp;" - "&amp;M$100,Input_ForRateCalc[[Cost item]:[Cost item]],0),MATCH(Calc_TUV_Net_1[[#This Row],[Decision ref]:[Decision ref]],Input_ForRateCalc[#Headers],0)),"-")*TUProp_Days_1</f>
        <v>0</v>
      </c>
      <c r="N108" s="47" cm="1">
        <f t="array" ref="N108">IFERROR(INDEX(Input_ForRateCalc[],MATCH($C108&amp;" - "&amp;N$100,Input_ForRateCalc[[Cost item]:[Cost item]],0),MATCH(Calc_TUV_Net_1[[#This Row],[Decision ref]:[Decision ref]],Input_ForRateCalc[#Headers],0)),"-")*TUProp_Days_1</f>
        <v>0</v>
      </c>
      <c r="O108" s="47" cm="1">
        <f t="array" ref="O108">IFERROR(INDEX(Input_ForRateCalc[],MATCH($C108&amp;" - "&amp;O$100,Input_ForRateCalc[[Cost item]:[Cost item]],0),MATCH(Calc_TUV_Net_1[[#This Row],[Decision ref]:[Decision ref]],Input_ForRateCalc[#Headers],0)),"-")*TUProp_Days_1</f>
        <v>0</v>
      </c>
    </row>
    <row r="109" spans="2:15" hidden="1" outlineLevel="1" x14ac:dyDescent="0.25">
      <c r="C109" s="42" t="s">
        <v>411</v>
      </c>
      <c r="D109" s="60" t="str">
        <f>INDEX(Input_DecisionActual[[Decision]:[Decision]],MATCH($D$5,Input_DecisionActual[[VDO period]:[VDO period]],0),1)</f>
        <v>VDO 2023-24 - Final</v>
      </c>
      <c r="E109" s="18" t="s">
        <v>96</v>
      </c>
      <c r="F109" s="60" t="str">
        <f>IF($D109="-","-",INDEX(Inputs!$C$17:$AZ$17,1,MATCH($D109,Inputs!$C$15:$AZ$15,0)))</f>
        <v>F-CurrentVDO_Input</v>
      </c>
      <c r="G109" s="41"/>
      <c r="H109" s="18" t="s">
        <v>132</v>
      </c>
      <c r="I109" s="18" t="s">
        <v>65</v>
      </c>
      <c r="J109" s="42" t="s">
        <v>66</v>
      </c>
      <c r="K109" s="46">
        <f>SUM(K107:K108)</f>
        <v>0</v>
      </c>
      <c r="L109" s="46">
        <f>SUM(L107:L108)</f>
        <v>0</v>
      </c>
      <c r="M109" s="46">
        <f>SUM(M107:M108)</f>
        <v>0</v>
      </c>
      <c r="N109" s="46">
        <f>SUM(N107:N108)</f>
        <v>0</v>
      </c>
      <c r="O109" s="46">
        <f>SUM(O107:O108)</f>
        <v>0</v>
      </c>
    </row>
    <row r="110" spans="2:15" hidden="1" outlineLevel="1" x14ac:dyDescent="0.25">
      <c r="C110" s="42" t="s">
        <v>412</v>
      </c>
      <c r="D110" s="18"/>
      <c r="E110" s="18"/>
      <c r="F110" s="18"/>
      <c r="G110" s="18"/>
      <c r="H110" s="18" t="s">
        <v>132</v>
      </c>
      <c r="I110" s="18" t="s">
        <v>65</v>
      </c>
      <c r="J110" s="42" t="s">
        <v>66</v>
      </c>
      <c r="K110" s="46" t="str">
        <f>IF(K109=0,"-",K106-K109)</f>
        <v>-</v>
      </c>
      <c r="L110" s="46" t="str">
        <f>IF(L109=0,"-",L106-L109)</f>
        <v>-</v>
      </c>
      <c r="M110" s="46" t="str">
        <f>IF(M109=0,"-",M106-M109)</f>
        <v>-</v>
      </c>
      <c r="N110" s="46" t="str">
        <f>IF(N109=0,"-",N106-N109)</f>
        <v>-</v>
      </c>
      <c r="O110" s="46" t="str">
        <f>IF(O109=0,"-",O106-O109)</f>
        <v>-</v>
      </c>
    </row>
    <row r="111" spans="2:15" hidden="1" outlineLevel="1" x14ac:dyDescent="0.25">
      <c r="C111" s="42" t="s">
        <v>414</v>
      </c>
      <c r="D111" s="60" t="str">
        <f>INDEX(Input_DecisionActual[[Decision]:[Decision]],MATCH($D$5,Input_DecisionActual[[VDO period]:[VDO period]],0),1)</f>
        <v>VDO 2023-24 - Final</v>
      </c>
      <c r="E111" s="18" t="s">
        <v>96</v>
      </c>
      <c r="F111" s="60" t="str">
        <f>IF($D111="-","-",INDEX(Inputs!$C$17:$AZ$17,1,MATCH($D111,Inputs!$C$15:$AZ$15,0)))</f>
        <v>F-CurrentVDO_Input</v>
      </c>
      <c r="G111" s="18"/>
      <c r="H111" s="18" t="s">
        <v>132</v>
      </c>
      <c r="I111" s="18" t="s">
        <v>65</v>
      </c>
      <c r="J111" s="42" t="s">
        <v>66</v>
      </c>
      <c r="K111" s="47" t="str" cm="1">
        <f t="array" ref="K111">IFERROR(SUM(K110:K110)*(INDEX(Inputs!$H$18:$U$141,MATCH("Retail operating margin",Input_ForRateCalc[[Cost item]:[Cost item]],0),MATCH(Calc_TUV_Net_1[[#This Row],[Decision ref]:[Decision ref]],Inputs!$H$17:$U$17,0))),"-")</f>
        <v>-</v>
      </c>
      <c r="L111" s="47" t="str" cm="1">
        <f t="array" ref="L111">IFERROR(SUM(L110:L110)*(INDEX(Inputs!$H$18:$U$141,MATCH("Retail operating margin",Input_ForRateCalc[[Cost item]:[Cost item]],0),MATCH(Calc_TUV_Net_1[[#This Row],[Decision ref]:[Decision ref]],Inputs!$H$17:$U$17,0))),"-")</f>
        <v>-</v>
      </c>
      <c r="M111" s="47" t="str" cm="1">
        <f t="array" ref="M111">IFERROR(SUM(M110:M110)*(INDEX(Inputs!$H$18:$U$141,MATCH("Retail operating margin",Input_ForRateCalc[[Cost item]:[Cost item]],0),MATCH(Calc_TUV_Net_1[[#This Row],[Decision ref]:[Decision ref]],Inputs!$H$17:$U$17,0))),"-")</f>
        <v>-</v>
      </c>
      <c r="N111" s="47" t="str" cm="1">
        <f t="array" ref="N111">IFERROR(SUM(N110:N110)*(INDEX(Inputs!$H$18:$U$141,MATCH("Retail operating margin",Input_ForRateCalc[[Cost item]:[Cost item]],0),MATCH(Calc_TUV_Net_1[[#This Row],[Decision ref]:[Decision ref]],Inputs!$H$17:$U$17,0))),"-")</f>
        <v>-</v>
      </c>
      <c r="O111" s="47" t="str" cm="1">
        <f t="array" ref="O111">IFERROR(SUM(O110:O110)*(INDEX(Inputs!$H$18:$U$141,MATCH("Retail operating margin",Input_ForRateCalc[[Cost item]:[Cost item]],0),MATCH(Calc_TUV_Net_1[[#This Row],[Decision ref]:[Decision ref]],Inputs!$H$17:$U$17,0))),"-")</f>
        <v>-</v>
      </c>
    </row>
    <row r="112" spans="2:15" hidden="1" outlineLevel="1" x14ac:dyDescent="0.25">
      <c r="C112" s="42" t="s">
        <v>415</v>
      </c>
      <c r="D112" s="18"/>
      <c r="E112" s="18"/>
      <c r="F112" s="18"/>
      <c r="G112" s="18"/>
      <c r="H112" s="18" t="s">
        <v>132</v>
      </c>
      <c r="I112" s="18" t="s">
        <v>65</v>
      </c>
      <c r="J112" s="42" t="s">
        <v>66</v>
      </c>
      <c r="K112" s="47" t="str">
        <f>IF(K109=0,"-",SUM(K110:K111)*GST)</f>
        <v>-</v>
      </c>
      <c r="L112" s="47" t="str">
        <f>IF(L109=0,"-",SUM(L110:L111)*GST)</f>
        <v>-</v>
      </c>
      <c r="M112" s="47" t="str">
        <f>IF(M109=0,"-",SUM(M110:M111)*GST)</f>
        <v>-</v>
      </c>
      <c r="N112" s="47" t="str">
        <f>IF(N109=0,"-",SUM(N110:N111)*GST)</f>
        <v>-</v>
      </c>
      <c r="O112" s="47" t="str">
        <f>IF(O109=0,"-",SUM(O110:O111)*GST)</f>
        <v>-</v>
      </c>
    </row>
    <row r="113" spans="3:15" hidden="1" outlineLevel="1" x14ac:dyDescent="0.25">
      <c r="C113" s="18" t="s">
        <v>435</v>
      </c>
      <c r="D113" s="18"/>
      <c r="E113" s="18"/>
      <c r="F113" s="18"/>
      <c r="G113" s="18"/>
      <c r="H113" s="18" t="s">
        <v>132</v>
      </c>
      <c r="I113" s="18" t="s">
        <v>65</v>
      </c>
      <c r="J113" s="42" t="s">
        <v>66</v>
      </c>
      <c r="K113" s="47" t="str">
        <f>IF(K109=0,"-",SUM(K110:K112))</f>
        <v>-</v>
      </c>
      <c r="L113" s="47" t="str">
        <f>IF(L109=0,"-",SUM(L110:L112))</f>
        <v>-</v>
      </c>
      <c r="M113" s="47" t="str">
        <f>IF(M109=0,"-",SUM(M110:M112))</f>
        <v>-</v>
      </c>
      <c r="N113" s="47" t="str">
        <f>IF(N109=0,"-",SUM(N110:N112))</f>
        <v>-</v>
      </c>
      <c r="O113" s="47" t="str">
        <f>IF(O109=0,"-",SUM(O110:O112))</f>
        <v>-</v>
      </c>
    </row>
    <row r="114" spans="3:15" hidden="1" outlineLevel="1" x14ac:dyDescent="0.25">
      <c r="C114" s="42"/>
      <c r="D114" s="18"/>
      <c r="E114" s="18"/>
      <c r="F114" s="18"/>
      <c r="H114" s="18"/>
      <c r="I114" s="18"/>
      <c r="J114" s="18"/>
      <c r="K114" s="89"/>
      <c r="L114" s="89"/>
      <c r="M114" s="89"/>
      <c r="N114" s="89"/>
      <c r="O114" s="89"/>
    </row>
    <row r="115" spans="3:15" hidden="1" outlineLevel="1" x14ac:dyDescent="0.25">
      <c r="C115" s="40" t="s">
        <v>436</v>
      </c>
      <c r="D115" s="18"/>
      <c r="E115" s="18"/>
      <c r="F115" s="18"/>
      <c r="G115" s="49"/>
      <c r="H115" s="18"/>
      <c r="I115" s="18"/>
      <c r="J115" s="18"/>
      <c r="K115" s="90"/>
      <c r="L115" s="90"/>
      <c r="M115" s="90"/>
      <c r="N115" s="90"/>
      <c r="O115" s="90"/>
    </row>
    <row r="116" spans="3:15" hidden="1" outlineLevel="1" x14ac:dyDescent="0.25">
      <c r="C116" s="42" t="s">
        <v>437</v>
      </c>
      <c r="D116" s="60" t="str">
        <f>$D$5</f>
        <v>VDO 2024-25 - Draft</v>
      </c>
      <c r="E116" s="18" t="s">
        <v>316</v>
      </c>
      <c r="F116" s="60" t="str">
        <f>INDEX(Inputs!$C$17:$AZ$17,1,MATCH($D116,Inputs!$C$15:$AZ$15,0))</f>
        <v>D-NextVDO_Input</v>
      </c>
      <c r="G116" s="18"/>
      <c r="H116" s="18" t="s">
        <v>178</v>
      </c>
      <c r="I116" s="18" t="s">
        <v>220</v>
      </c>
      <c r="J116" s="42" t="s">
        <v>66</v>
      </c>
      <c r="K116" s="47" cm="1">
        <f t="array" ref="K116">IFERROR(INDEX(Input_ForRateCalc[],MATCH($C116&amp;" - "&amp;K$100,Input_ForRateCalc[[Cost item]:[Cost item]],0),MATCH(Calc_TUV_Net_1[[#This Row],[Decision ref]:[Decision ref]],Input_ForRateCalc[#Headers],0)),"-")</f>
        <v>13.469799999999999</v>
      </c>
      <c r="L116" s="47" t="str" cm="1">
        <f t="array" ref="L116">IFERROR(INDEX(Input_ForRateCalc[],MATCH($C116&amp;" - "&amp;L$100,Input_ForRateCalc[[Cost item]:[Cost item]],0),MATCH(Calc_TUV_Net_1[[#This Row],[Decision ref]:[Decision ref]],Input_ForRateCalc[#Headers],0)),"-")</f>
        <v>-</v>
      </c>
      <c r="M116" s="47" t="str" cm="1">
        <f t="array" ref="M116">IFERROR(INDEX(Input_ForRateCalc[],MATCH($C116&amp;" - "&amp;M$100,Input_ForRateCalc[[Cost item]:[Cost item]],0),MATCH(Calc_TUV_Net_1[[#This Row],[Decision ref]:[Decision ref]],Input_ForRateCalc[#Headers],0)),"-")</f>
        <v>-</v>
      </c>
      <c r="N116" s="47" t="str" cm="1">
        <f t="array" ref="N116">IFERROR(INDEX(Input_ForRateCalc[],MATCH($C116&amp;" - "&amp;N$100,Input_ForRateCalc[[Cost item]:[Cost item]],0),MATCH(Calc_TUV_Net_1[[#This Row],[Decision ref]:[Decision ref]],Input_ForRateCalc[#Headers],0)),"-")</f>
        <v>-</v>
      </c>
      <c r="O116" s="47" t="str" cm="1">
        <f t="array" ref="O116">IFERROR(INDEX(Input_ForRateCalc[],MATCH($C116&amp;" - "&amp;O$100,Input_ForRateCalc[[Cost item]:[Cost item]],0),MATCH(Calc_TUV_Net_1[[#This Row],[Decision ref]:[Decision ref]],Input_ForRateCalc[#Headers],0)),"-")</f>
        <v>-</v>
      </c>
    </row>
    <row r="117" spans="3:15" hidden="1" outlineLevel="1" x14ac:dyDescent="0.25">
      <c r="C117" s="42" t="s">
        <v>438</v>
      </c>
      <c r="D117" s="60" t="str">
        <f>$D$5</f>
        <v>VDO 2024-25 - Draft</v>
      </c>
      <c r="E117" s="18" t="s">
        <v>316</v>
      </c>
      <c r="F117" s="60" t="str">
        <f>INDEX(Inputs!$C$17:$AZ$17,1,MATCH($D117,Inputs!$C$15:$AZ$15,0))</f>
        <v>D-NextVDO_Input</v>
      </c>
      <c r="G117" s="49"/>
      <c r="H117" s="18" t="s">
        <v>178</v>
      </c>
      <c r="I117" s="18" t="s">
        <v>220</v>
      </c>
      <c r="J117" s="42" t="s">
        <v>66</v>
      </c>
      <c r="K117" s="47" cm="1">
        <f t="array" ref="K117">IFERROR(INDEX(Input_ForRateCalc[],MATCH($C117&amp;" - "&amp;K$100,Input_ForRateCalc[[Cost item]:[Cost item]],0),MATCH(Calc_TUV_Net_1[[#This Row],[Decision ref]:[Decision ref]],Input_ForRateCalc[#Headers],0)),"-")</f>
        <v>13.7372</v>
      </c>
      <c r="L117" s="47" t="str" cm="1">
        <f t="array" ref="L117">IFERROR(INDEX(Input_ForRateCalc[],MATCH($C117&amp;" - "&amp;L$100,Input_ForRateCalc[[Cost item]:[Cost item]],0),MATCH(Calc_TUV_Net_1[[#This Row],[Decision ref]:[Decision ref]],Input_ForRateCalc[#Headers],0)),"-")</f>
        <v>-</v>
      </c>
      <c r="M117" s="47" t="str" cm="1">
        <f t="array" ref="M117">IFERROR(INDEX(Input_ForRateCalc[],MATCH($C117&amp;" - "&amp;M$100,Input_ForRateCalc[[Cost item]:[Cost item]],0),MATCH(Calc_TUV_Net_1[[#This Row],[Decision ref]:[Decision ref]],Input_ForRateCalc[#Headers],0)),"-")</f>
        <v>-</v>
      </c>
      <c r="N117" s="47" t="str" cm="1">
        <f t="array" ref="N117">IFERROR(INDEX(Input_ForRateCalc[],MATCH($C117&amp;" - "&amp;N$100,Input_ForRateCalc[[Cost item]:[Cost item]],0),MATCH(Calc_TUV_Net_1[[#This Row],[Decision ref]:[Decision ref]],Input_ForRateCalc[#Headers],0)),"-")</f>
        <v>-</v>
      </c>
      <c r="O117" s="47" t="str" cm="1">
        <f t="array" ref="O117">IFERROR(INDEX(Input_ForRateCalc[],MATCH($C117&amp;" - "&amp;O$100,Input_ForRateCalc[[Cost item]:[Cost item]],0),MATCH(Calc_TUV_Net_1[[#This Row],[Decision ref]:[Decision ref]],Input_ForRateCalc[#Headers],0)),"-")</f>
        <v>-</v>
      </c>
    </row>
    <row r="118" spans="3:15" hidden="1" outlineLevel="1" x14ac:dyDescent="0.25">
      <c r="C118" s="42" t="s">
        <v>439</v>
      </c>
      <c r="D118" s="60" t="str">
        <f>$D$5</f>
        <v>VDO 2024-25 - Draft</v>
      </c>
      <c r="E118" s="18" t="s">
        <v>316</v>
      </c>
      <c r="F118" s="60" t="str">
        <f>INDEX(Inputs!$C$17:$AZ$17,1,MATCH($D118,Inputs!$C$15:$AZ$15,0))</f>
        <v>D-NextVDO_Input</v>
      </c>
      <c r="G118" s="41"/>
      <c r="H118" s="18" t="s">
        <v>178</v>
      </c>
      <c r="I118" s="18" t="s">
        <v>220</v>
      </c>
      <c r="J118" s="42" t="s">
        <v>66</v>
      </c>
      <c r="K118" s="47" t="str" cm="1">
        <f t="array" ref="K118">IFERROR(INDEX(Input_ForRateCalc[],MATCH($C118&amp;" - "&amp;K$100,Input_ForRateCalc[[Cost item]:[Cost item]],0),MATCH(Calc_TUV_Net_1[[#This Row],[Decision ref]:[Decision ref]],Input_ForRateCalc[#Headers],0)),"-")</f>
        <v>-</v>
      </c>
      <c r="L118" s="47" cm="1">
        <f t="array" ref="L118">IFERROR(INDEX(Input_ForRateCalc[],MATCH($C118&amp;" - "&amp;L$100,Input_ForRateCalc[[Cost item]:[Cost item]],0),MATCH(Calc_TUV_Net_1[[#This Row],[Decision ref]:[Decision ref]],Input_ForRateCalc[#Headers],0)),"-")</f>
        <v>8.0299999999999994</v>
      </c>
      <c r="M118" s="47" cm="1">
        <f t="array" ref="M118">IFERROR(INDEX(Input_ForRateCalc[],MATCH($C118&amp;" - "&amp;M$100,Input_ForRateCalc[[Cost item]:[Cost item]],0),MATCH(Calc_TUV_Net_1[[#This Row],[Decision ref]:[Decision ref]],Input_ForRateCalc[#Headers],0)),"-")</f>
        <v>10.189499020000001</v>
      </c>
      <c r="N118" s="47" cm="1">
        <f t="array" ref="N118">IFERROR(INDEX(Input_ForRateCalc[],MATCH($C118&amp;" - "&amp;N$100,Input_ForRateCalc[[Cost item]:[Cost item]],0),MATCH(Calc_TUV_Net_1[[#This Row],[Decision ref]:[Decision ref]],Input_ForRateCalc[#Headers],0)),"-")</f>
        <v>9.4700000000000006</v>
      </c>
      <c r="O118" s="47" cm="1">
        <f t="array" ref="O118">IFERROR(INDEX(Input_ForRateCalc[],MATCH($C118&amp;" - "&amp;O$100,Input_ForRateCalc[[Cost item]:[Cost item]],0),MATCH(Calc_TUV_Net_1[[#This Row],[Decision ref]:[Decision ref]],Input_ForRateCalc[#Headers],0)),"-")</f>
        <v>8.9700000000000006</v>
      </c>
    </row>
    <row r="119" spans="3:15" hidden="1" outlineLevel="1" x14ac:dyDescent="0.25">
      <c r="C119" s="42" t="s">
        <v>411</v>
      </c>
      <c r="D119" s="60" t="str">
        <f>$D$5</f>
        <v>VDO 2024-25 - Draft</v>
      </c>
      <c r="E119" s="18" t="s">
        <v>316</v>
      </c>
      <c r="F119" s="60" t="str">
        <f>INDEX(Inputs!$C$17:$AZ$17,1,MATCH($D119,Inputs!$C$15:$AZ$15,0))</f>
        <v>D-NextVDO_Input</v>
      </c>
      <c r="G119" s="41"/>
      <c r="H119" s="18" t="s">
        <v>178</v>
      </c>
      <c r="I119" s="18" t="s">
        <v>65</v>
      </c>
      <c r="J119" s="42" t="s">
        <v>66</v>
      </c>
      <c r="K119" s="48">
        <f>SUM(
IFERROR(K116/100*SUMIFS(INDEX(TUNet_Usage_PerRate_1[],0,MATCH(K$100,TUNet_Usage_PerRate_1[#Headers],0)),TUNet_Usage_PerRate_1[Customer type],Calc_TUV_Net_1[[#This Row],[Customer type]],TUNet_Usage_PerRate_1[Description],"Usage per customer - Block 1"),0),
IFERROR(K117/100*SUMIFS(INDEX(TUNet_Usage_PerRate_1[],0,MATCH(K$100,TUNet_Usage_PerRate_1[#Headers],0)),TUNet_Usage_PerRate_1[Customer type],Calc_TUV_Net_1[[#This Row],[Customer type]],TUNet_Usage_PerRate_1[Description],"Usage per customer - Balance"),0),
IFERROR(K118/100*SUMIFS(INDEX(TUNet_Usage_PerRate_1[],0,MATCH(K$100,TUNet_Usage_PerRate_1[#Headers],0)),TUNet_Usage_PerRate_1[Customer type],Calc_TUV_Net_1[[#This Row],[Customer type]],TUNet_Usage_PerRate_1[Description],"Usage per customer - Single rate"),0))</f>
        <v>0</v>
      </c>
      <c r="L119" s="48">
        <f>SUM(
IFERROR(L116/100*SUMIFS(INDEX(TUNet_Usage_PerRate_1[],0,MATCH(L$100,TUNet_Usage_PerRate_1[#Headers],0)),TUNet_Usage_PerRate_1[Customer type],Calc_TUV_Net_1[[#This Row],[Customer type]],TUNet_Usage_PerRate_1[Description],"Usage per customer - Block 1"),0),
IFERROR(L117/100*SUMIFS(INDEX(TUNet_Usage_PerRate_1[],0,MATCH(L$100,TUNet_Usage_PerRate_1[#Headers],0)),TUNet_Usage_PerRate_1[Customer type],Calc_TUV_Net_1[[#This Row],[Customer type]],TUNet_Usage_PerRate_1[Description],"Usage per customer - Balance"),0),
IFERROR(L118/100*SUMIFS(INDEX(TUNet_Usage_PerRate_1[],0,MATCH(L$100,TUNet_Usage_PerRate_1[#Headers],0)),TUNet_Usage_PerRate_1[Customer type],Calc_TUV_Net_1[[#This Row],[Customer type]],TUNet_Usage_PerRate_1[Description],"Usage per customer - Single rate"),0))</f>
        <v>0</v>
      </c>
      <c r="M119" s="48">
        <f>SUM(
IFERROR(M116/100*SUMIFS(INDEX(TUNet_Usage_PerRate_1[],0,MATCH(M$100,TUNet_Usage_PerRate_1[#Headers],0)),TUNet_Usage_PerRate_1[Customer type],Calc_TUV_Net_1[[#This Row],[Customer type]],TUNet_Usage_PerRate_1[Description],"Usage per customer - Block 1"),0),
IFERROR(M117/100*SUMIFS(INDEX(TUNet_Usage_PerRate_1[],0,MATCH(M$100,TUNet_Usage_PerRate_1[#Headers],0)),TUNet_Usage_PerRate_1[Customer type],Calc_TUV_Net_1[[#This Row],[Customer type]],TUNet_Usage_PerRate_1[Description],"Usage per customer - Balance"),0),
IFERROR(M118/100*SUMIFS(INDEX(TUNet_Usage_PerRate_1[],0,MATCH(M$100,TUNet_Usage_PerRate_1[#Headers],0)),TUNet_Usage_PerRate_1[Customer type],Calc_TUV_Net_1[[#This Row],[Customer type]],TUNet_Usage_PerRate_1[Description],"Usage per customer - Single rate"),0))</f>
        <v>0</v>
      </c>
      <c r="N119" s="48">
        <f>SUM(
IFERROR(N116/100*SUMIFS(INDEX(TUNet_Usage_PerRate_1[],0,MATCH(N$100,TUNet_Usage_PerRate_1[#Headers],0)),TUNet_Usage_PerRate_1[Customer type],Calc_TUV_Net_1[[#This Row],[Customer type]],TUNet_Usage_PerRate_1[Description],"Usage per customer - Block 1"),0),
IFERROR(N117/100*SUMIFS(INDEX(TUNet_Usage_PerRate_1[],0,MATCH(N$100,TUNet_Usage_PerRate_1[#Headers],0)),TUNet_Usage_PerRate_1[Customer type],Calc_TUV_Net_1[[#This Row],[Customer type]],TUNet_Usage_PerRate_1[Description],"Usage per customer - Balance"),0),
IFERROR(N118/100*SUMIFS(INDEX(TUNet_Usage_PerRate_1[],0,MATCH(N$100,TUNet_Usage_PerRate_1[#Headers],0)),TUNet_Usage_PerRate_1[Customer type],Calc_TUV_Net_1[[#This Row],[Customer type]],TUNet_Usage_PerRate_1[Description],"Usage per customer - Single rate"),0))</f>
        <v>0</v>
      </c>
      <c r="O119" s="48">
        <f>SUM(
IFERROR(O116/100*SUMIFS(INDEX(TUNet_Usage_PerRate_1[],0,MATCH(O$100,TUNet_Usage_PerRate_1[#Headers],0)),TUNet_Usage_PerRate_1[Customer type],Calc_TUV_Net_1[[#This Row],[Customer type]],TUNet_Usage_PerRate_1[Description],"Usage per customer - Block 1"),0),
IFERROR(O117/100*SUMIFS(INDEX(TUNet_Usage_PerRate_1[],0,MATCH(O$100,TUNet_Usage_PerRate_1[#Headers],0)),TUNet_Usage_PerRate_1[Customer type],Calc_TUV_Net_1[[#This Row],[Customer type]],TUNet_Usage_PerRate_1[Description],"Usage per customer - Balance"),0),
IFERROR(O118/100*SUMIFS(INDEX(TUNet_Usage_PerRate_1[],0,MATCH(O$100,TUNet_Usage_PerRate_1[#Headers],0)),TUNet_Usage_PerRate_1[Customer type],Calc_TUV_Net_1[[#This Row],[Customer type]],TUNet_Usage_PerRate_1[Description],"Usage per customer - Single rate"),0))</f>
        <v>0</v>
      </c>
    </row>
    <row r="120" spans="3:15" hidden="1" outlineLevel="1" x14ac:dyDescent="0.25">
      <c r="C120" s="42" t="s">
        <v>437</v>
      </c>
      <c r="D120" s="60" t="str">
        <f>INDEX(Input_DecisionActual[[Decision]:[Decision]],MATCH($D$5,Input_DecisionActual[[VDO period]:[VDO period]],0),1)</f>
        <v>VDO 2023-24 - Final</v>
      </c>
      <c r="E120" s="18" t="s">
        <v>96</v>
      </c>
      <c r="F120" s="60" t="str">
        <f>IF($D120="-","-",INDEX(Inputs!$C$17:$AZ$17,1,MATCH($D120,Inputs!$C$15:$AZ$15,0)))</f>
        <v>F-CurrentVDO_Input</v>
      </c>
      <c r="G120" s="41"/>
      <c r="H120" s="18" t="s">
        <v>178</v>
      </c>
      <c r="I120" s="18" t="s">
        <v>220</v>
      </c>
      <c r="J120" s="42" t="s">
        <v>66</v>
      </c>
      <c r="K120" s="47" cm="1">
        <f t="array" ref="K120">IFERROR(INDEX(Input_ForRateCalc[],MATCH($C120&amp;" - "&amp;K$100,Input_ForRateCalc[[Cost item]:[Cost item]],0),MATCH(Calc_TUV_Net_1[[#This Row],[Decision ref]:[Decision ref]],Input_ForRateCalc[#Headers],0)),"-")</f>
        <v>13.09807741874299</v>
      </c>
      <c r="L120" s="47" t="str" cm="1">
        <f t="array" ref="L120">IFERROR(INDEX(Input_ForRateCalc[],MATCH($C120&amp;" - "&amp;L$100,Input_ForRateCalc[[Cost item]:[Cost item]],0),MATCH(Calc_TUV_Net_1[[#This Row],[Decision ref]:[Decision ref]],Input_ForRateCalc[#Headers],0)),"-")</f>
        <v>-</v>
      </c>
      <c r="M120" s="47" t="str" cm="1">
        <f t="array" ref="M120">IFERROR(INDEX(Input_ForRateCalc[],MATCH($C120&amp;" - "&amp;M$100,Input_ForRateCalc[[Cost item]:[Cost item]],0),MATCH(Calc_TUV_Net_1[[#This Row],[Decision ref]:[Decision ref]],Input_ForRateCalc[#Headers],0)),"-")</f>
        <v>-</v>
      </c>
      <c r="N120" s="47" t="str" cm="1">
        <f t="array" ref="N120">IFERROR(INDEX(Input_ForRateCalc[],MATCH($C120&amp;" - "&amp;N$100,Input_ForRateCalc[[Cost item]:[Cost item]],0),MATCH(Calc_TUV_Net_1[[#This Row],[Decision ref]:[Decision ref]],Input_ForRateCalc[#Headers],0)),"-")</f>
        <v>-</v>
      </c>
      <c r="O120" s="47" t="str" cm="1">
        <f t="array" ref="O120">IFERROR(INDEX(Input_ForRateCalc[],MATCH($C120&amp;" - "&amp;O$100,Input_ForRateCalc[[Cost item]:[Cost item]],0),MATCH(Calc_TUV_Net_1[[#This Row],[Decision ref]:[Decision ref]],Input_ForRateCalc[#Headers],0)),"-")</f>
        <v>-</v>
      </c>
    </row>
    <row r="121" spans="3:15" hidden="1" outlineLevel="1" x14ac:dyDescent="0.25">
      <c r="C121" s="42" t="s">
        <v>438</v>
      </c>
      <c r="D121" s="60" t="str">
        <f>INDEX(Input_DecisionActual[[Decision]:[Decision]],MATCH($D$5,Input_DecisionActual[[VDO period]:[VDO period]],0),1)</f>
        <v>VDO 2023-24 - Final</v>
      </c>
      <c r="E121" s="18" t="s">
        <v>96</v>
      </c>
      <c r="F121" s="60" t="str">
        <f>IF($D121="-","-",INDEX(Inputs!$C$17:$AZ$17,1,MATCH($D121,Inputs!$C$15:$AZ$15,0)))</f>
        <v>F-CurrentVDO_Input</v>
      </c>
      <c r="G121" s="41"/>
      <c r="H121" s="18" t="s">
        <v>178</v>
      </c>
      <c r="I121" s="18" t="s">
        <v>220</v>
      </c>
      <c r="J121" s="42" t="s">
        <v>66</v>
      </c>
      <c r="K121" s="47" cm="1">
        <f t="array" ref="K121">IFERROR(INDEX(Input_ForRateCalc[],MATCH($C121&amp;" - "&amp;K$100,Input_ForRateCalc[[Cost item]:[Cost item]],0),MATCH(Calc_TUV_Net_1[[#This Row],[Decision ref]:[Decision ref]],Input_ForRateCalc[#Headers],0)),"-")</f>
        <v>13.989069468735993</v>
      </c>
      <c r="L121" s="47" t="str" cm="1">
        <f t="array" ref="L121">IFERROR(INDEX(Input_ForRateCalc[],MATCH($C121&amp;" - "&amp;L$100,Input_ForRateCalc[[Cost item]:[Cost item]],0),MATCH(Calc_TUV_Net_1[[#This Row],[Decision ref]:[Decision ref]],Input_ForRateCalc[#Headers],0)),"-")</f>
        <v>-</v>
      </c>
      <c r="M121" s="47" t="str" cm="1">
        <f t="array" ref="M121">IFERROR(INDEX(Input_ForRateCalc[],MATCH($C121&amp;" - "&amp;M$100,Input_ForRateCalc[[Cost item]:[Cost item]],0),MATCH(Calc_TUV_Net_1[[#This Row],[Decision ref]:[Decision ref]],Input_ForRateCalc[#Headers],0)),"-")</f>
        <v>-</v>
      </c>
      <c r="N121" s="47" t="str" cm="1">
        <f t="array" ref="N121">IFERROR(INDEX(Input_ForRateCalc[],MATCH($C121&amp;" - "&amp;N$100,Input_ForRateCalc[[Cost item]:[Cost item]],0),MATCH(Calc_TUV_Net_1[[#This Row],[Decision ref]:[Decision ref]],Input_ForRateCalc[#Headers],0)),"-")</f>
        <v>-</v>
      </c>
      <c r="O121" s="47" t="str" cm="1">
        <f t="array" ref="O121">IFERROR(INDEX(Input_ForRateCalc[],MATCH($C121&amp;" - "&amp;O$100,Input_ForRateCalc[[Cost item]:[Cost item]],0),MATCH(Calc_TUV_Net_1[[#This Row],[Decision ref]:[Decision ref]],Input_ForRateCalc[#Headers],0)),"-")</f>
        <v>-</v>
      </c>
    </row>
    <row r="122" spans="3:15" hidden="1" outlineLevel="1" x14ac:dyDescent="0.25">
      <c r="C122" s="42" t="s">
        <v>439</v>
      </c>
      <c r="D122" s="60" t="str">
        <f>INDEX(Input_DecisionActual[[Decision]:[Decision]],MATCH($D$5,Input_DecisionActual[[VDO period]:[VDO period]],0),1)</f>
        <v>VDO 2023-24 - Final</v>
      </c>
      <c r="E122" s="18" t="s">
        <v>96</v>
      </c>
      <c r="F122" s="60" t="str">
        <f>IF($D122="-","-",INDEX(Inputs!$C$17:$AZ$17,1,MATCH($D122,Inputs!$C$15:$AZ$15,0)))</f>
        <v>F-CurrentVDO_Input</v>
      </c>
      <c r="G122" s="41"/>
      <c r="H122" s="18" t="s">
        <v>178</v>
      </c>
      <c r="I122" s="18" t="s">
        <v>220</v>
      </c>
      <c r="J122" s="42" t="s">
        <v>66</v>
      </c>
      <c r="K122" s="47" t="str" cm="1">
        <f t="array" ref="K122">IFERROR(INDEX(Input_ForRateCalc[],MATCH($C122&amp;" - "&amp;K$100,Input_ForRateCalc[[Cost item]:[Cost item]],0),MATCH(Calc_TUV_Net_1[[#This Row],[Decision ref]:[Decision ref]],Input_ForRateCalc[#Headers],0)),"-")</f>
        <v>-</v>
      </c>
      <c r="L122" s="47" cm="1">
        <f t="array" ref="L122">IFERROR(INDEX(Input_ForRateCalc[],MATCH($C122&amp;" - "&amp;L$100,Input_ForRateCalc[[Cost item]:[Cost item]],0),MATCH(Calc_TUV_Net_1[[#This Row],[Decision ref]:[Decision ref]],Input_ForRateCalc[#Headers],0)),"-")</f>
        <v>7.37</v>
      </c>
      <c r="M122" s="47" cm="1">
        <f t="array" ref="M122">IFERROR(INDEX(Input_ForRateCalc[],MATCH($C122&amp;" - "&amp;M$100,Input_ForRateCalc[[Cost item]:[Cost item]],0),MATCH(Calc_TUV_Net_1[[#This Row],[Decision ref]:[Decision ref]],Input_ForRateCalc[#Headers],0)),"-")</f>
        <v>8.9770000000000003</v>
      </c>
      <c r="N122" s="47" cm="1">
        <f t="array" ref="N122">IFERROR(INDEX(Input_ForRateCalc[],MATCH($C122&amp;" - "&amp;N$100,Input_ForRateCalc[[Cost item]:[Cost item]],0),MATCH(Calc_TUV_Net_1[[#This Row],[Decision ref]:[Decision ref]],Input_ForRateCalc[#Headers],0)),"-")</f>
        <v>8.77</v>
      </c>
      <c r="O122" s="47" cm="1">
        <f t="array" ref="O122">IFERROR(INDEX(Input_ForRateCalc[],MATCH($C122&amp;" - "&amp;O$100,Input_ForRateCalc[[Cost item]:[Cost item]],0),MATCH(Calc_TUV_Net_1[[#This Row],[Decision ref]:[Decision ref]],Input_ForRateCalc[#Headers],0)),"-")</f>
        <v>8.5400000000000009</v>
      </c>
    </row>
    <row r="123" spans="3:15" hidden="1" outlineLevel="1" x14ac:dyDescent="0.25">
      <c r="C123" s="42" t="s">
        <v>411</v>
      </c>
      <c r="D123" s="60" t="str">
        <f>INDEX(Input_DecisionActual[[Decision]:[Decision]],MATCH($D$5,Input_DecisionActual[[VDO period]:[VDO period]],0),1)</f>
        <v>VDO 2023-24 - Final</v>
      </c>
      <c r="E123" s="18" t="s">
        <v>96</v>
      </c>
      <c r="F123" s="60" t="str">
        <f>IF($D123="-","-",INDEX(Inputs!$C$17:$AZ$17,1,MATCH($D123,Inputs!$C$15:$AZ$15,0)))</f>
        <v>F-CurrentVDO_Input</v>
      </c>
      <c r="G123" s="41"/>
      <c r="H123" s="18" t="s">
        <v>178</v>
      </c>
      <c r="I123" s="18" t="s">
        <v>65</v>
      </c>
      <c r="J123" s="42" t="s">
        <v>66</v>
      </c>
      <c r="K123" s="48">
        <f>SUM(
IFERROR(K120/100*SUMIFS(INDEX(TUNet_Usage_PerRate_1[],0,MATCH(K$100,TUNet_Usage_PerRate_1[#Headers],0)),TUNet_Usage_PerRate_1[Customer type],Calc_TUV_Net_1[[#This Row],[Customer type]],TUNet_Usage_PerRate_1[Description],"Usage per customer - Block 1"),0),
IFERROR(K121/100*SUMIFS(INDEX(TUNet_Usage_PerRate_1[],0,MATCH(K$100,TUNet_Usage_PerRate_1[#Headers],0)),TUNet_Usage_PerRate_1[Customer type],Calc_TUV_Net_1[[#This Row],[Customer type]],TUNet_Usage_PerRate_1[Description],"Usage per customer - Balance"),0),
IFERROR(K122/100*SUMIFS(INDEX(TUNet_Usage_PerRate_1[],0,MATCH(K$100,TUNet_Usage_PerRate_1[#Headers],0)),TUNet_Usage_PerRate_1[Customer type],Calc_TUV_Net_1[[#This Row],[Customer type]],TUNet_Usage_PerRate_1[Description],"Usage per customer - Single rate"),0))</f>
        <v>0</v>
      </c>
      <c r="L123" s="48">
        <f>SUM(
IFERROR(L120/100*SUMIFS(INDEX(TUNet_Usage_PerRate_1[],0,MATCH(L$100,TUNet_Usage_PerRate_1[#Headers],0)),TUNet_Usage_PerRate_1[Customer type],Calc_TUV_Net_1[[#This Row],[Customer type]],TUNet_Usage_PerRate_1[Description],"Usage per customer - Block 1"),0),
IFERROR(L121/100*SUMIFS(INDEX(TUNet_Usage_PerRate_1[],0,MATCH(L$100,TUNet_Usage_PerRate_1[#Headers],0)),TUNet_Usage_PerRate_1[Customer type],Calc_TUV_Net_1[[#This Row],[Customer type]],TUNet_Usage_PerRate_1[Description],"Usage per customer - Balance"),0),
IFERROR(L122/100*SUMIFS(INDEX(TUNet_Usage_PerRate_1[],0,MATCH(L$100,TUNet_Usage_PerRate_1[#Headers],0)),TUNet_Usage_PerRate_1[Customer type],Calc_TUV_Net_1[[#This Row],[Customer type]],TUNet_Usage_PerRate_1[Description],"Usage per customer - Single rate"),0))</f>
        <v>0</v>
      </c>
      <c r="M123" s="48">
        <f>SUM(
IFERROR(M120/100*SUMIFS(INDEX(TUNet_Usage_PerRate_1[],0,MATCH(M$100,TUNet_Usage_PerRate_1[#Headers],0)),TUNet_Usage_PerRate_1[Customer type],Calc_TUV_Net_1[[#This Row],[Customer type]],TUNet_Usage_PerRate_1[Description],"Usage per customer - Block 1"),0),
IFERROR(M121/100*SUMIFS(INDEX(TUNet_Usage_PerRate_1[],0,MATCH(M$100,TUNet_Usage_PerRate_1[#Headers],0)),TUNet_Usage_PerRate_1[Customer type],Calc_TUV_Net_1[[#This Row],[Customer type]],TUNet_Usage_PerRate_1[Description],"Usage per customer - Balance"),0),
IFERROR(M122/100*SUMIFS(INDEX(TUNet_Usage_PerRate_1[],0,MATCH(M$100,TUNet_Usage_PerRate_1[#Headers],0)),TUNet_Usage_PerRate_1[Customer type],Calc_TUV_Net_1[[#This Row],[Customer type]],TUNet_Usage_PerRate_1[Description],"Usage per customer - Single rate"),0))</f>
        <v>0</v>
      </c>
      <c r="N123" s="48">
        <f>SUM(
IFERROR(N120/100*SUMIFS(INDEX(TUNet_Usage_PerRate_1[],0,MATCH(N$100,TUNet_Usage_PerRate_1[#Headers],0)),TUNet_Usage_PerRate_1[Customer type],Calc_TUV_Net_1[[#This Row],[Customer type]],TUNet_Usage_PerRate_1[Description],"Usage per customer - Block 1"),0),
IFERROR(N121/100*SUMIFS(INDEX(TUNet_Usage_PerRate_1[],0,MATCH(N$100,TUNet_Usage_PerRate_1[#Headers],0)),TUNet_Usage_PerRate_1[Customer type],Calc_TUV_Net_1[[#This Row],[Customer type]],TUNet_Usage_PerRate_1[Description],"Usage per customer - Balance"),0),
IFERROR(N122/100*SUMIFS(INDEX(TUNet_Usage_PerRate_1[],0,MATCH(N$100,TUNet_Usage_PerRate_1[#Headers],0)),TUNet_Usage_PerRate_1[Customer type],Calc_TUV_Net_1[[#This Row],[Customer type]],TUNet_Usage_PerRate_1[Description],"Usage per customer - Single rate"),0))</f>
        <v>0</v>
      </c>
      <c r="O123" s="48">
        <f>SUM(
IFERROR(O120/100*SUMIFS(INDEX(TUNet_Usage_PerRate_1[],0,MATCH(O$100,TUNet_Usage_PerRate_1[#Headers],0)),TUNet_Usage_PerRate_1[Customer type],Calc_TUV_Net_1[[#This Row],[Customer type]],TUNet_Usage_PerRate_1[Description],"Usage per customer - Block 1"),0),
IFERROR(O121/100*SUMIFS(INDEX(TUNet_Usage_PerRate_1[],0,MATCH(O$100,TUNet_Usage_PerRate_1[#Headers],0)),TUNet_Usage_PerRate_1[Customer type],Calc_TUV_Net_1[[#This Row],[Customer type]],TUNet_Usage_PerRate_1[Description],"Usage per customer - Balance"),0),
IFERROR(O122/100*SUMIFS(INDEX(TUNet_Usage_PerRate_1[],0,MATCH(O$100,TUNet_Usage_PerRate_1[#Headers],0)),TUNet_Usage_PerRate_1[Customer type],Calc_TUV_Net_1[[#This Row],[Customer type]],TUNet_Usage_PerRate_1[Description],"Usage per customer - Single rate"),0))</f>
        <v>0</v>
      </c>
    </row>
    <row r="124" spans="3:15" hidden="1" outlineLevel="1" x14ac:dyDescent="0.25">
      <c r="C124" s="42" t="s">
        <v>412</v>
      </c>
      <c r="D124" s="18"/>
      <c r="E124" s="18"/>
      <c r="F124" s="18"/>
      <c r="G124" s="18"/>
      <c r="H124" s="18" t="s">
        <v>178</v>
      </c>
      <c r="I124" s="18" t="s">
        <v>65</v>
      </c>
      <c r="J124" s="42" t="s">
        <v>66</v>
      </c>
      <c r="K124" s="46" t="str">
        <f>IF(K123=0,"-",K119-K123)</f>
        <v>-</v>
      </c>
      <c r="L124" s="46" t="str">
        <f>IF(L123=0,"-",L119-L123)</f>
        <v>-</v>
      </c>
      <c r="M124" s="46" t="str">
        <f>IF(M123=0,"-",M119-M123)</f>
        <v>-</v>
      </c>
      <c r="N124" s="46" t="str">
        <f>IF(N123=0,"-",N119-N123)</f>
        <v>-</v>
      </c>
      <c r="O124" s="46" t="str">
        <f>IF(O123=0,"-",O119-O123)</f>
        <v>-</v>
      </c>
    </row>
    <row r="125" spans="3:15" hidden="1" outlineLevel="1" x14ac:dyDescent="0.25">
      <c r="C125" s="42" t="s">
        <v>414</v>
      </c>
      <c r="D125" s="60" t="str">
        <f>INDEX(Input_DecisionActual[[Decision]:[Decision]],MATCH($D$5,Input_DecisionActual[[VDO period]:[VDO period]],0),1)</f>
        <v>VDO 2023-24 - Final</v>
      </c>
      <c r="E125" s="18" t="s">
        <v>96</v>
      </c>
      <c r="F125" s="60" t="str">
        <f>IF($D125="-","-",INDEX(Inputs!$C$17:$AZ$17,1,MATCH($D125,Inputs!$C$15:$AZ$15,0)))</f>
        <v>F-CurrentVDO_Input</v>
      </c>
      <c r="G125" s="18"/>
      <c r="H125" s="18" t="s">
        <v>178</v>
      </c>
      <c r="I125" s="18" t="s">
        <v>65</v>
      </c>
      <c r="J125" s="42" t="s">
        <v>66</v>
      </c>
      <c r="K125" s="47" t="str" cm="1">
        <f t="array" ref="K125">IFERROR(SUM(K124:K124)*(INDEX(Inputs!$H$18:$U$141,MATCH("Retail operating margin",Input_ForRateCalc[[Cost item]:[Cost item]],0),MATCH(Calc_TUV_Net_1[[#This Row],[Decision ref]:[Decision ref]],Inputs!$H$17:$U$17,0))),"-")</f>
        <v>-</v>
      </c>
      <c r="L125" s="47" t="str" cm="1">
        <f t="array" ref="L125">IFERROR(SUM(L124:L124)*(INDEX(Inputs!$H$18:$U$141,MATCH("Retail operating margin",Input_ForRateCalc[[Cost item]:[Cost item]],0),MATCH(Calc_TUV_Net_1[[#This Row],[Decision ref]:[Decision ref]],Inputs!$H$17:$U$17,0))),"-")</f>
        <v>-</v>
      </c>
      <c r="M125" s="47" t="str" cm="1">
        <f t="array" ref="M125">IFERROR(SUM(M124:M124)*(INDEX(Inputs!$H$18:$U$141,MATCH("Retail operating margin",Input_ForRateCalc[[Cost item]:[Cost item]],0),MATCH(Calc_TUV_Net_1[[#This Row],[Decision ref]:[Decision ref]],Inputs!$H$17:$U$17,0))),"-")</f>
        <v>-</v>
      </c>
      <c r="N125" s="47" t="str" cm="1">
        <f t="array" ref="N125">IFERROR(SUM(N124:N124)*(INDEX(Inputs!$H$18:$U$141,MATCH("Retail operating margin",Input_ForRateCalc[[Cost item]:[Cost item]],0),MATCH(Calc_TUV_Net_1[[#This Row],[Decision ref]:[Decision ref]],Inputs!$H$17:$U$17,0))),"-")</f>
        <v>-</v>
      </c>
      <c r="O125" s="47" t="str" cm="1">
        <f t="array" ref="O125">IFERROR(SUM(O124:O124)*(INDEX(Inputs!$H$18:$U$141,MATCH("Retail operating margin",Input_ForRateCalc[[Cost item]:[Cost item]],0),MATCH(Calc_TUV_Net_1[[#This Row],[Decision ref]:[Decision ref]],Inputs!$H$17:$U$17,0))),"-")</f>
        <v>-</v>
      </c>
    </row>
    <row r="126" spans="3:15" hidden="1" outlineLevel="1" x14ac:dyDescent="0.25">
      <c r="C126" s="42" t="s">
        <v>415</v>
      </c>
      <c r="D126" s="18"/>
      <c r="E126" s="18"/>
      <c r="F126" s="18"/>
      <c r="G126" s="18"/>
      <c r="H126" s="18" t="s">
        <v>178</v>
      </c>
      <c r="I126" s="18" t="s">
        <v>65</v>
      </c>
      <c r="J126" s="42" t="s">
        <v>66</v>
      </c>
      <c r="K126" s="47" t="str">
        <f>IF(K123=0,"-",SUM(K124:K125)*GST)</f>
        <v>-</v>
      </c>
      <c r="L126" s="47" t="str">
        <f>IF(L123=0,"-",SUM(L124:L125)*GST)</f>
        <v>-</v>
      </c>
      <c r="M126" s="47" t="str">
        <f>IF(M123=0,"-",SUM(M124:M125)*GST)</f>
        <v>-</v>
      </c>
      <c r="N126" s="47" t="str">
        <f>IF(N123=0,"-",SUM(N124:N125)*GST)</f>
        <v>-</v>
      </c>
      <c r="O126" s="47" t="str">
        <f>IF(O123=0,"-",SUM(O124:O125)*GST)</f>
        <v>-</v>
      </c>
    </row>
    <row r="127" spans="3:15" hidden="1" outlineLevel="1" x14ac:dyDescent="0.25">
      <c r="C127" s="42" t="s">
        <v>440</v>
      </c>
      <c r="D127" s="18"/>
      <c r="E127" s="18"/>
      <c r="F127" s="18"/>
      <c r="H127" s="18" t="s">
        <v>178</v>
      </c>
      <c r="I127" s="18" t="s">
        <v>65</v>
      </c>
      <c r="J127" s="42" t="s">
        <v>66</v>
      </c>
      <c r="K127" s="47" t="str">
        <f>IF(K123=0,"-",SUM(K124:K126))</f>
        <v>-</v>
      </c>
      <c r="L127" s="47" t="str">
        <f>IF(L123=0,"-",SUM(L124:L126))</f>
        <v>-</v>
      </c>
      <c r="M127" s="47" t="str">
        <f>IF(M123=0,"-",SUM(M124:M126))</f>
        <v>-</v>
      </c>
      <c r="N127" s="47" t="str">
        <f>IF(N123=0,"-",SUM(N124:N126))</f>
        <v>-</v>
      </c>
      <c r="O127" s="47" t="str">
        <f>IF(O123=0,"-",SUM(O124:O126))</f>
        <v>-</v>
      </c>
    </row>
    <row r="128" spans="3:15" hidden="1" outlineLevel="1" x14ac:dyDescent="0.25">
      <c r="C128" s="42"/>
      <c r="D128" s="18"/>
      <c r="E128" s="18"/>
      <c r="F128" s="18"/>
      <c r="G128" s="18"/>
      <c r="H128" s="18"/>
      <c r="I128" s="18"/>
      <c r="J128" s="18"/>
      <c r="K128" s="46"/>
      <c r="L128" s="46"/>
      <c r="M128" s="46"/>
      <c r="N128" s="46"/>
      <c r="O128" s="46"/>
    </row>
    <row r="129" spans="3:15" hidden="1" outlineLevel="1" x14ac:dyDescent="0.25">
      <c r="C129" s="40" t="s">
        <v>441</v>
      </c>
      <c r="D129" s="18"/>
      <c r="E129" s="18"/>
      <c r="F129" s="18"/>
      <c r="G129" s="49"/>
      <c r="H129" s="18"/>
      <c r="I129" s="18"/>
      <c r="J129" s="18"/>
      <c r="K129" s="46"/>
      <c r="L129" s="46"/>
      <c r="M129" s="46"/>
      <c r="N129" s="46"/>
      <c r="O129" s="46"/>
    </row>
    <row r="130" spans="3:15" hidden="1" outlineLevel="1" x14ac:dyDescent="0.25">
      <c r="C130" s="42" t="s">
        <v>442</v>
      </c>
      <c r="D130" s="60" t="str">
        <f>$D$5</f>
        <v>VDO 2024-25 - Draft</v>
      </c>
      <c r="E130" s="18" t="s">
        <v>316</v>
      </c>
      <c r="F130" s="60" t="str">
        <f>INDEX(Inputs!$C$17:$AZ$17,1,MATCH($D130,Inputs!$C$15:$AZ$15,0))</f>
        <v>D-NextVDO_Input</v>
      </c>
      <c r="G130" s="18"/>
      <c r="H130" s="18" t="s">
        <v>178</v>
      </c>
      <c r="I130" s="18" t="s">
        <v>220</v>
      </c>
      <c r="J130" s="42" t="s">
        <v>66</v>
      </c>
      <c r="K130" s="47" cm="1">
        <f t="array" ref="K130">IFERROR(INDEX(Input_ForRateCalc[],MATCH($C130&amp;" - "&amp;K$100,Input_ForRateCalc[[Cost item]:[Cost item]],0),MATCH(Calc_TUV_Net_1[[#This Row],[Decision ref]:[Decision ref]],Input_ForRateCalc[#Headers],0)),"-")</f>
        <v>4.7878518853913743</v>
      </c>
      <c r="L130" s="47" cm="1">
        <f t="array" ref="L130">IFERROR(INDEX(Input_ForRateCalc[],MATCH($C130&amp;" - "&amp;L$100,Input_ForRateCalc[[Cost item]:[Cost item]],0),MATCH(Calc_TUV_Net_1[[#This Row],[Decision ref]:[Decision ref]],Input_ForRateCalc[#Headers],0)),"-")</f>
        <v>2.41</v>
      </c>
      <c r="M130" s="47" cm="1">
        <f t="array" ref="M130">IFERROR(INDEX(Input_ForRateCalc[],MATCH($C130&amp;" - "&amp;M$100,Input_ForRateCalc[[Cost item]:[Cost item]],0),MATCH(Calc_TUV_Net_1[[#This Row],[Decision ref]:[Decision ref]],Input_ForRateCalc[#Headers],0)),"-")</f>
        <v>4.0917499299999998</v>
      </c>
      <c r="N130" s="47" cm="1">
        <f t="array" ref="N130">IFERROR(INDEX(Input_ForRateCalc[],MATCH($C130&amp;" - "&amp;N$100,Input_ForRateCalc[[Cost item]:[Cost item]],0),MATCH(Calc_TUV_Net_1[[#This Row],[Decision ref]:[Decision ref]],Input_ForRateCalc[#Headers],0)),"-")</f>
        <v>2.66</v>
      </c>
      <c r="O130" s="47" cm="1">
        <f t="array" ref="O130">IFERROR(INDEX(Input_ForRateCalc[],MATCH($C130&amp;" - "&amp;O$100,Input_ForRateCalc[[Cost item]:[Cost item]],0),MATCH(Calc_TUV_Net_1[[#This Row],[Decision ref]:[Decision ref]],Input_ForRateCalc[#Headers],0)),"-")</f>
        <v>2.56</v>
      </c>
    </row>
    <row r="131" spans="3:15" hidden="1" outlineLevel="1" x14ac:dyDescent="0.25">
      <c r="C131" s="42" t="s">
        <v>411</v>
      </c>
      <c r="D131" s="60" t="str">
        <f>$D$5</f>
        <v>VDO 2024-25 - Draft</v>
      </c>
      <c r="E131" s="18" t="s">
        <v>316</v>
      </c>
      <c r="F131" s="60" t="str">
        <f>INDEX(Inputs!$C$17:$AZ$17,1,MATCH($D131,Inputs!$C$15:$AZ$15,0))</f>
        <v>D-NextVDO_Input</v>
      </c>
      <c r="G131" s="18"/>
      <c r="H131" s="18" t="s">
        <v>178</v>
      </c>
      <c r="I131" s="18" t="s">
        <v>65</v>
      </c>
      <c r="J131" s="42" t="s">
        <v>66</v>
      </c>
      <c r="K131" s="48" cm="1">
        <f t="array" ref="K131">TUProp_Days_1*SUM(
IFERROR(K130/100*INDEX(Input_Usage[#All],MATCH(Calc_TUV_Net_1[[#This Row],[Customer type]:[Customer type]]&amp;" - medium - controlled load",Input_Usage[[#All],[Ref]],0),MATCH($F131,Input_Usage[#Headers],0)),0))</f>
        <v>0</v>
      </c>
      <c r="L131" s="48" cm="1">
        <f t="array" ref="L131">TUProp_Days_1*SUM(
IFERROR(L130/100*INDEX(Input_Usage[#All],MATCH(Calc_TUV_Net_1[[#This Row],[Customer type]:[Customer type]]&amp;" - medium - controlled load",Input_Usage[[#All],[Ref]],0),MATCH($F131,Input_Usage[#Headers],0)),0))</f>
        <v>0</v>
      </c>
      <c r="M131" s="48" cm="1">
        <f t="array" ref="M131">TUProp_Days_1*SUM(
IFERROR(M130/100*INDEX(Input_Usage[#All],MATCH(Calc_TUV_Net_1[[#This Row],[Customer type]:[Customer type]]&amp;" - medium - controlled load",Input_Usage[[#All],[Ref]],0),MATCH($F131,Input_Usage[#Headers],0)),0))</f>
        <v>0</v>
      </c>
      <c r="N131" s="48" cm="1">
        <f t="array" ref="N131">TUProp_Days_1*SUM(
IFERROR(N130/100*INDEX(Input_Usage[#All],MATCH(Calc_TUV_Net_1[[#This Row],[Customer type]:[Customer type]]&amp;" - medium - controlled load",Input_Usage[[#All],[Ref]],0),MATCH($F131,Input_Usage[#Headers],0)),0))</f>
        <v>0</v>
      </c>
      <c r="O131" s="48" cm="1">
        <f t="array" ref="O131">TUProp_Days_1*SUM(
IFERROR(O130/100*INDEX(Input_Usage[#All],MATCH(Calc_TUV_Net_1[[#This Row],[Customer type]:[Customer type]]&amp;" - medium - controlled load",Input_Usage[[#All],[Ref]],0),MATCH($F131,Input_Usage[#Headers],0)),0))</f>
        <v>0</v>
      </c>
    </row>
    <row r="132" spans="3:15" hidden="1" outlineLevel="1" x14ac:dyDescent="0.25">
      <c r="C132" s="42" t="s">
        <v>442</v>
      </c>
      <c r="D132" s="60" t="str">
        <f>INDEX(Input_DecisionActual[[Decision]:[Decision]],MATCH($D$5,Input_DecisionActual[[VDO period]:[VDO period]],0),1)</f>
        <v>VDO 2023-24 - Final</v>
      </c>
      <c r="E132" s="18" t="s">
        <v>96</v>
      </c>
      <c r="F132" s="60" t="str">
        <f>IF($D132="-","-",INDEX(Inputs!$C$17:$AZ$17,1,MATCH($D132,Inputs!$C$15:$AZ$15,0)))</f>
        <v>F-CurrentVDO_Input</v>
      </c>
      <c r="G132" s="18"/>
      <c r="H132" s="18" t="s">
        <v>178</v>
      </c>
      <c r="I132" s="18" t="s">
        <v>220</v>
      </c>
      <c r="J132" s="42" t="s">
        <v>66</v>
      </c>
      <c r="K132" s="47">
        <f>IFERROR(INDEX(Input_ForRateCalc[],MATCH($C132&amp;" - "&amp;K$100,Input_ForRateCalc[[Cost item]:[Cost item]],0),MATCH($F132,Input_ForRateCalc[#Headers],0)),"-")</f>
        <v>4.6393863430805986</v>
      </c>
      <c r="L132" s="47">
        <f>IFERROR(INDEX(Input_ForRateCalc[],MATCH($C132&amp;" - "&amp;L$100,Input_ForRateCalc[[Cost item]:[Cost item]],0),MATCH($F132,Input_ForRateCalc[#Headers],0)),"-")</f>
        <v>2.21</v>
      </c>
      <c r="M132" s="47">
        <f>IFERROR(INDEX(Input_ForRateCalc[],MATCH($C132&amp;" - "&amp;M$100,Input_ForRateCalc[[Cost item]:[Cost item]],0),MATCH($F132,Input_ForRateCalc[#Headers],0)),"-")</f>
        <v>3.6950000000000003</v>
      </c>
      <c r="N132" s="47">
        <f>IFERROR(INDEX(Input_ForRateCalc[],MATCH($C132&amp;" - "&amp;N$100,Input_ForRateCalc[[Cost item]:[Cost item]],0),MATCH($F132,Input_ForRateCalc[#Headers],0)),"-")</f>
        <v>2.46</v>
      </c>
      <c r="O132" s="47">
        <f>IFERROR(INDEX(Input_ForRateCalc[],MATCH($C132&amp;" - "&amp;O$100,Input_ForRateCalc[[Cost item]:[Cost item]],0),MATCH($F132,Input_ForRateCalc[#Headers],0)),"-")</f>
        <v>2.44</v>
      </c>
    </row>
    <row r="133" spans="3:15" hidden="1" outlineLevel="1" x14ac:dyDescent="0.25">
      <c r="C133" s="42" t="s">
        <v>411</v>
      </c>
      <c r="D133" s="60" t="str">
        <f>INDEX(Input_DecisionActual[[Decision]:[Decision]],MATCH($D$5,Input_DecisionActual[[VDO period]:[VDO period]],0),1)</f>
        <v>VDO 2023-24 - Final</v>
      </c>
      <c r="E133" s="18" t="s">
        <v>96</v>
      </c>
      <c r="F133" s="60" t="str">
        <f>IF($D133="-","-",INDEX(Inputs!$C$17:$AZ$17,1,MATCH($D133,Inputs!$C$15:$AZ$15,0)))</f>
        <v>F-CurrentVDO_Input</v>
      </c>
      <c r="G133" s="18"/>
      <c r="H133" s="18" t="s">
        <v>178</v>
      </c>
      <c r="I133" s="18" t="s">
        <v>65</v>
      </c>
      <c r="J133" s="42" t="s">
        <v>66</v>
      </c>
      <c r="K133" s="48" cm="1">
        <f t="array" ref="K133">TUProp_Days_1*SUM(
IFERROR(K132/100*INDEX(Input_Usage[#All],MATCH(Calc_TUV_Net_1[[#This Row],[Customer type]:[Customer type]]&amp;" - medium - controlled load",Input_Usage[[#All],[Ref]],0),MATCH($F133,Input_Usage[#Headers],0)),0))</f>
        <v>0</v>
      </c>
      <c r="L133" s="48" cm="1">
        <f t="array" ref="L133">TUProp_Days_1*SUM(
IFERROR(L132/100*INDEX(Input_Usage[#All],MATCH(Calc_TUV_Net_1[[#This Row],[Customer type]:[Customer type]]&amp;" - medium - controlled load",Input_Usage[[#All],[Ref]],0),MATCH($F133,Input_Usage[#Headers],0)),0))</f>
        <v>0</v>
      </c>
      <c r="M133" s="48" cm="1">
        <f t="array" ref="M133">TUProp_Days_1*SUM(
IFERROR(M132/100*INDEX(Input_Usage[#All],MATCH(Calc_TUV_Net_1[[#This Row],[Customer type]:[Customer type]]&amp;" - medium - controlled load",Input_Usage[[#All],[Ref]],0),MATCH($F133,Input_Usage[#Headers],0)),0))</f>
        <v>0</v>
      </c>
      <c r="N133" s="48" cm="1">
        <f t="array" ref="N133">TUProp_Days_1*SUM(
IFERROR(N132/100*INDEX(Input_Usage[#All],MATCH(Calc_TUV_Net_1[[#This Row],[Customer type]:[Customer type]]&amp;" - medium - controlled load",Input_Usage[[#All],[Ref]],0),MATCH($F133,Input_Usage[#Headers],0)),0))</f>
        <v>0</v>
      </c>
      <c r="O133" s="48" cm="1">
        <f t="array" ref="O133">TUProp_Days_1*SUM(
IFERROR(O132/100*INDEX(Input_Usage[#All],MATCH(Calc_TUV_Net_1[[#This Row],[Customer type]:[Customer type]]&amp;" - medium - controlled load",Input_Usage[[#All],[Ref]],0),MATCH($F133,Input_Usage[#Headers],0)),0))</f>
        <v>0</v>
      </c>
    </row>
    <row r="134" spans="3:15" hidden="1" outlineLevel="1" x14ac:dyDescent="0.25">
      <c r="C134" s="42" t="s">
        <v>412</v>
      </c>
      <c r="D134" s="18"/>
      <c r="E134" s="18"/>
      <c r="F134" s="18"/>
      <c r="G134" s="18"/>
      <c r="H134" s="18" t="s">
        <v>178</v>
      </c>
      <c r="I134" s="18" t="s">
        <v>65</v>
      </c>
      <c r="J134" s="42" t="s">
        <v>66</v>
      </c>
      <c r="K134" s="46" t="str">
        <f>IF(K133=0,"-",K131-K133)</f>
        <v>-</v>
      </c>
      <c r="L134" s="46" t="str">
        <f>IF(L133=0,"-",L131-L133)</f>
        <v>-</v>
      </c>
      <c r="M134" s="46" t="str">
        <f>IF(M133=0,"-",M131-M133)</f>
        <v>-</v>
      </c>
      <c r="N134" s="46" t="str">
        <f>IF(N133=0,"-",N131-N133)</f>
        <v>-</v>
      </c>
      <c r="O134" s="46" t="str">
        <f>IF(O133=0,"-",O131-O133)</f>
        <v>-</v>
      </c>
    </row>
    <row r="135" spans="3:15" hidden="1" outlineLevel="1" x14ac:dyDescent="0.25">
      <c r="C135" s="42" t="s">
        <v>404</v>
      </c>
      <c r="D135" s="18"/>
      <c r="E135" s="18"/>
      <c r="F135" s="18"/>
      <c r="G135" s="18"/>
      <c r="H135" s="18" t="s">
        <v>178</v>
      </c>
      <c r="I135" s="18" t="s">
        <v>65</v>
      </c>
      <c r="J135" s="42" t="s">
        <v>66</v>
      </c>
      <c r="K135" s="47" t="str">
        <f>IFERROR(IF($D$11="Yes",K134*(1+WACC_adj_1),""),"-")</f>
        <v/>
      </c>
      <c r="L135" s="47" t="str">
        <f>IFERROR(IF($D$11="Yes",L134*(1+WACC_adj_1),""),"-")</f>
        <v/>
      </c>
      <c r="M135" s="47" t="str">
        <f>IFERROR(IF($D$11="Yes",M134*(1+WACC_adj_1),""),"-")</f>
        <v/>
      </c>
      <c r="N135" s="47" t="str">
        <f>IFERROR(IF($D$11="Yes",N134*(1+WACC_adj_1),""),"-")</f>
        <v/>
      </c>
      <c r="O135" s="47" t="str">
        <f>IFERROR(IF($D$11="Yes",O134*(1+WACC_adj_1),""),"-")</f>
        <v/>
      </c>
    </row>
    <row r="136" spans="3:15" hidden="1" outlineLevel="1" x14ac:dyDescent="0.25">
      <c r="C136" s="42" t="s">
        <v>414</v>
      </c>
      <c r="D136" s="60" t="str">
        <f>INDEX(Input_DecisionActual[[Decision]:[Decision]],MATCH($D$5,Input_DecisionActual[[VDO period]:[VDO period]],0),1)</f>
        <v>VDO 2023-24 - Final</v>
      </c>
      <c r="E136" s="18" t="s">
        <v>96</v>
      </c>
      <c r="F136" s="60" t="str">
        <f>IF($D136="-","-",INDEX(Inputs!$C$17:$AZ$17,1,MATCH($D136,Inputs!$C$15:$AZ$15,0)))</f>
        <v>F-CurrentVDO_Input</v>
      </c>
      <c r="G136" s="18"/>
      <c r="H136" s="18" t="s">
        <v>178</v>
      </c>
      <c r="I136" s="18" t="s">
        <v>65</v>
      </c>
      <c r="J136" s="42" t="s">
        <v>66</v>
      </c>
      <c r="K136" s="47" t="str" cm="1">
        <f t="array" ref="K136">IFERROR(SUM(K134:K135)*(INDEX(Inputs!$H$18:$U$141,MATCH("Retail operating margin",Input_ForRateCalc[[Cost item]:[Cost item]],0),MATCH(Calc_TUV_Net_1[[#This Row],[Decision ref]:[Decision ref]],Inputs!$H$17:$U$17,0))),"-")</f>
        <v>-</v>
      </c>
      <c r="L136" s="47" t="str" cm="1">
        <f t="array" ref="L136">IFERROR(SUM(L134:L135)*(INDEX(Inputs!$H$18:$U$141,MATCH("Retail operating margin",Input_ForRateCalc[[Cost item]:[Cost item]],0),MATCH(Calc_TUV_Net_1[[#This Row],[Decision ref]:[Decision ref]],Inputs!$H$17:$U$17,0))),"-")</f>
        <v>-</v>
      </c>
      <c r="M136" s="47" t="str" cm="1">
        <f t="array" ref="M136">IFERROR(SUM(M134:M135)*(INDEX(Inputs!$H$18:$U$141,MATCH("Retail operating margin",Input_ForRateCalc[[Cost item]:[Cost item]],0),MATCH(Calc_TUV_Net_1[[#This Row],[Decision ref]:[Decision ref]],Inputs!$H$17:$U$17,0))),"-")</f>
        <v>-</v>
      </c>
      <c r="N136" s="47" t="str" cm="1">
        <f t="array" ref="N136">IFERROR(SUM(N134:N135)*(INDEX(Inputs!$H$18:$U$141,MATCH("Retail operating margin",Input_ForRateCalc[[Cost item]:[Cost item]],0),MATCH(Calc_TUV_Net_1[[#This Row],[Decision ref]:[Decision ref]],Inputs!$H$17:$U$17,0))),"-")</f>
        <v>-</v>
      </c>
      <c r="O136" s="47" t="str" cm="1">
        <f t="array" ref="O136">IFERROR(SUM(O134:O135)*(INDEX(Inputs!$H$18:$U$141,MATCH("Retail operating margin",Input_ForRateCalc[[Cost item]:[Cost item]],0),MATCH(Calc_TUV_Net_1[[#This Row],[Decision ref]:[Decision ref]],Inputs!$H$17:$U$17,0))),"-")</f>
        <v>-</v>
      </c>
    </row>
    <row r="137" spans="3:15" hidden="1" outlineLevel="1" x14ac:dyDescent="0.25">
      <c r="C137" s="42" t="s">
        <v>415</v>
      </c>
      <c r="D137" s="18"/>
      <c r="E137" s="18"/>
      <c r="F137" s="18"/>
      <c r="G137" s="18"/>
      <c r="H137" s="18" t="s">
        <v>178</v>
      </c>
      <c r="I137" s="18" t="s">
        <v>65</v>
      </c>
      <c r="J137" s="42" t="s">
        <v>66</v>
      </c>
      <c r="K137" s="47" t="str">
        <f>IF(K133=0,"-",SUM(K134:K136)*GST)</f>
        <v>-</v>
      </c>
      <c r="L137" s="47" t="str">
        <f>IF(L133=0,"-",SUM(L134:L136)*GST)</f>
        <v>-</v>
      </c>
      <c r="M137" s="47" t="str">
        <f>IF(M133=0,"-",SUM(M134:M136)*GST)</f>
        <v>-</v>
      </c>
      <c r="N137" s="47" t="str">
        <f>IF(N133=0,"-",SUM(N134:N136)*GST)</f>
        <v>-</v>
      </c>
      <c r="O137" s="47" t="str">
        <f>IF(O133=0,"-",SUM(O134:O136)*GST)</f>
        <v>-</v>
      </c>
    </row>
    <row r="138" spans="3:15" hidden="1" outlineLevel="1" x14ac:dyDescent="0.25">
      <c r="C138" s="42" t="s">
        <v>443</v>
      </c>
      <c r="D138" s="18"/>
      <c r="E138" s="18"/>
      <c r="F138" s="18"/>
      <c r="H138" s="18" t="s">
        <v>178</v>
      </c>
      <c r="I138" s="18" t="s">
        <v>65</v>
      </c>
      <c r="J138" s="42" t="s">
        <v>66</v>
      </c>
      <c r="K138" s="47" t="str">
        <f>IF(K133=0,"-",SUM(K134:K137))</f>
        <v>-</v>
      </c>
      <c r="L138" s="47" t="str">
        <f>IF(L133=0,"-",SUM(L134:L137))</f>
        <v>-</v>
      </c>
      <c r="M138" s="47" t="str">
        <f>IF(M133=0,"-",SUM(M134:M137))</f>
        <v>-</v>
      </c>
      <c r="N138" s="47" t="str">
        <f>IF(N133=0,"-",SUM(N134:N137))</f>
        <v>-</v>
      </c>
      <c r="O138" s="47" t="str">
        <f>IF(O133=0,"-",SUM(O134:O137))</f>
        <v>-</v>
      </c>
    </row>
    <row r="139" spans="3:15" hidden="1" outlineLevel="1" x14ac:dyDescent="0.25">
      <c r="C139" s="42"/>
      <c r="D139" s="18"/>
      <c r="E139" s="18"/>
      <c r="F139" s="18"/>
      <c r="G139" s="18"/>
      <c r="H139" s="18"/>
      <c r="I139" s="18"/>
      <c r="J139" s="18"/>
      <c r="K139" s="46"/>
      <c r="L139" s="46"/>
      <c r="M139" s="46"/>
      <c r="N139" s="46"/>
      <c r="O139" s="46"/>
    </row>
    <row r="140" spans="3:15" ht="15.75" hidden="1" outlineLevel="1" x14ac:dyDescent="0.25">
      <c r="C140" s="101" t="s">
        <v>311</v>
      </c>
      <c r="D140" s="18"/>
      <c r="E140" s="18"/>
      <c r="F140" s="18"/>
      <c r="G140" s="30" t="str">
        <f>INDEX(Input_TU_YesNo[],MATCH(Calc_TUV_Net_1[[#This Row],[Cost item]],Input_TU_YesNo[Component],0),MATCH($D$5,Inputs!$C$210:$BM$210,0))</f>
        <v>No</v>
      </c>
      <c r="H140" s="18"/>
      <c r="I140" s="18"/>
      <c r="J140" s="18"/>
      <c r="K140" s="46"/>
      <c r="L140" s="18"/>
      <c r="M140" s="18"/>
      <c r="N140" s="18"/>
      <c r="O140" s="18"/>
    </row>
    <row r="141" spans="3:15" hidden="1" outlineLevel="1" x14ac:dyDescent="0.25">
      <c r="C141" s="40" t="s">
        <v>444</v>
      </c>
      <c r="D141" s="40"/>
      <c r="E141" s="40"/>
      <c r="F141" s="40"/>
      <c r="G141" s="49"/>
      <c r="H141" s="49"/>
      <c r="I141" s="18"/>
      <c r="J141" s="18"/>
      <c r="K141" s="46"/>
      <c r="L141" s="18"/>
      <c r="M141" s="18"/>
      <c r="N141" s="18"/>
      <c r="O141" s="18"/>
    </row>
    <row r="142" spans="3:15" hidden="1" outlineLevel="1" x14ac:dyDescent="0.25">
      <c r="C142" s="42" t="s">
        <v>445</v>
      </c>
      <c r="D142" s="60" t="str">
        <f>$D$5</f>
        <v>VDO 2024-25 - Draft</v>
      </c>
      <c r="E142" s="18" t="s">
        <v>316</v>
      </c>
      <c r="F142" s="60" t="str">
        <f>INDEX(Inputs!$C$17:$AZ$17,1,MATCH($D142,Inputs!$C$15:$AZ$15,0))</f>
        <v>D-NextVDO_Input</v>
      </c>
      <c r="G142" s="41"/>
      <c r="H142" s="18" t="s">
        <v>132</v>
      </c>
      <c r="I142" s="18" t="s">
        <v>65</v>
      </c>
      <c r="J142" s="42" t="s">
        <v>67</v>
      </c>
      <c r="K142" s="47" cm="1">
        <f t="array" ref="K142">IFERROR(INDEX(Input_ForRateCalc[],MATCH($C142&amp;" - "&amp;K$100,Input_ForRateCalc[[Cost item]:[Cost item]],0),MATCH(Calc_TUV_Net_1[[#This Row],[Decision ref]:[Decision ref]],Input_ForRateCalc[#Headers],0))*TUProp_Days_1,"-")</f>
        <v>0</v>
      </c>
      <c r="L142" s="47" cm="1">
        <f t="array" ref="L142">IFERROR(INDEX(Input_ForRateCalc[],MATCH($C142&amp;" - "&amp;L$100,Input_ForRateCalc[[Cost item]:[Cost item]],0),MATCH(Calc_TUV_Net_1[[#This Row],[Decision ref]:[Decision ref]],Input_ForRateCalc[#Headers],0))*TUProp_Days_1,"-")</f>
        <v>0</v>
      </c>
      <c r="M142" s="47" cm="1">
        <f t="array" ref="M142">IFERROR(INDEX(Input_ForRateCalc[],MATCH($C142&amp;" - "&amp;M$100,Input_ForRateCalc[[Cost item]:[Cost item]],0),MATCH(Calc_TUV_Net_1[[#This Row],[Decision ref]:[Decision ref]],Input_ForRateCalc[#Headers],0))*TUProp_Days_1,"-")</f>
        <v>0</v>
      </c>
      <c r="N142" s="47" cm="1">
        <f t="array" ref="N142">IFERROR(INDEX(Input_ForRateCalc[],MATCH($C142&amp;" - "&amp;N$100,Input_ForRateCalc[[Cost item]:[Cost item]],0),MATCH(Calc_TUV_Net_1[[#This Row],[Decision ref]:[Decision ref]],Input_ForRateCalc[#Headers],0))*TUProp_Days_1,"-")</f>
        <v>0</v>
      </c>
      <c r="O142" s="47" cm="1">
        <f t="array" ref="O142">IFERROR(INDEX(Input_ForRateCalc[],MATCH($C142&amp;" - "&amp;O$100,Input_ForRateCalc[[Cost item]:[Cost item]],0),MATCH(Calc_TUV_Net_1[[#This Row],[Decision ref]:[Decision ref]],Input_ForRateCalc[#Headers],0))*TUProp_Days_1,"-")</f>
        <v>0</v>
      </c>
    </row>
    <row r="143" spans="3:15" hidden="1" outlineLevel="1" x14ac:dyDescent="0.25">
      <c r="C143" s="42" t="s">
        <v>357</v>
      </c>
      <c r="D143" s="60" t="str">
        <f>$D$5</f>
        <v>VDO 2024-25 - Draft</v>
      </c>
      <c r="E143" s="18" t="s">
        <v>316</v>
      </c>
      <c r="F143" s="60" t="str">
        <f>INDEX(Inputs!$C$17:$AZ$17,1,MATCH($D143,Inputs!$C$15:$AZ$15,0))</f>
        <v>D-NextVDO_Input</v>
      </c>
      <c r="G143" s="41"/>
      <c r="H143" s="18" t="s">
        <v>132</v>
      </c>
      <c r="I143" s="18" t="s">
        <v>65</v>
      </c>
      <c r="J143" s="42" t="s">
        <v>67</v>
      </c>
      <c r="K143" s="47" cm="1">
        <f t="array" ref="K143">IFERROR(INDEX(Input_ForRateCalc[],MATCH($C143&amp;" - "&amp;K$100,Input_ForRateCalc[[Cost item]:[Cost item]],0),MATCH(Calc_TUV_Net_1[[#This Row],[Decision ref]:[Decision ref]],Input_ForRateCalc[#Headers],0))*TUProp_Days_1,"-")</f>
        <v>0</v>
      </c>
      <c r="L143" s="47" cm="1">
        <f t="array" ref="L143">IFERROR(INDEX(Input_ForRateCalc[],MATCH($C143&amp;" - "&amp;L$100,Input_ForRateCalc[[Cost item]:[Cost item]],0),MATCH(Calc_TUV_Net_1[[#This Row],[Decision ref]:[Decision ref]],Input_ForRateCalc[#Headers],0))*TUProp_Days_1,"-")</f>
        <v>0</v>
      </c>
      <c r="M143" s="47" cm="1">
        <f t="array" ref="M143">IFERROR(INDEX(Input_ForRateCalc[],MATCH($C143&amp;" - "&amp;M$100,Input_ForRateCalc[[Cost item]:[Cost item]],0),MATCH(Calc_TUV_Net_1[[#This Row],[Decision ref]:[Decision ref]],Input_ForRateCalc[#Headers],0))*TUProp_Days_1,"-")</f>
        <v>0</v>
      </c>
      <c r="N143" s="47" cm="1">
        <f t="array" ref="N143">IFERROR(INDEX(Input_ForRateCalc[],MATCH($C143&amp;" - "&amp;N$100,Input_ForRateCalc[[Cost item]:[Cost item]],0),MATCH(Calc_TUV_Net_1[[#This Row],[Decision ref]:[Decision ref]],Input_ForRateCalc[#Headers],0))*TUProp_Days_1,"-")</f>
        <v>0</v>
      </c>
      <c r="O143" s="47" cm="1">
        <f t="array" ref="O143">IFERROR(INDEX(Input_ForRateCalc[],MATCH($C143&amp;" - "&amp;O$100,Input_ForRateCalc[[Cost item]:[Cost item]],0),MATCH(Calc_TUV_Net_1[[#This Row],[Decision ref]:[Decision ref]],Input_ForRateCalc[#Headers],0))*TUProp_Days_1,"-")</f>
        <v>0</v>
      </c>
    </row>
    <row r="144" spans="3:15" hidden="1" outlineLevel="1" x14ac:dyDescent="0.25">
      <c r="C144" s="42" t="s">
        <v>411</v>
      </c>
      <c r="D144" s="60" t="str">
        <f>$D$5</f>
        <v>VDO 2024-25 - Draft</v>
      </c>
      <c r="E144" s="18" t="s">
        <v>316</v>
      </c>
      <c r="F144" s="60" t="str">
        <f>INDEX(Inputs!$C$17:$AZ$17,1,MATCH($D144,Inputs!$C$15:$AZ$15,0))</f>
        <v>D-NextVDO_Input</v>
      </c>
      <c r="G144" s="41"/>
      <c r="H144" s="18" t="s">
        <v>132</v>
      </c>
      <c r="I144" s="18" t="s">
        <v>65</v>
      </c>
      <c r="J144" s="42" t="s">
        <v>67</v>
      </c>
      <c r="K144" s="45">
        <f>IFERROR(SUM(K142:K143),"-")</f>
        <v>0</v>
      </c>
      <c r="L144" s="45">
        <f>IFERROR(SUM(L142:L143),"-")</f>
        <v>0</v>
      </c>
      <c r="M144" s="45">
        <f>IFERROR(SUM(M142:M143),"-")</f>
        <v>0</v>
      </c>
      <c r="N144" s="45">
        <f>IFERROR(SUM(N142:N143),"-")</f>
        <v>0</v>
      </c>
      <c r="O144" s="45">
        <f>IFERROR(SUM(O142:O143),"-")</f>
        <v>0</v>
      </c>
    </row>
    <row r="145" spans="3:15" hidden="1" outlineLevel="1" x14ac:dyDescent="0.25">
      <c r="C145" s="42" t="s">
        <v>445</v>
      </c>
      <c r="D145" s="60" t="str">
        <f>INDEX(Input_DecisionActual[[Decision]:[Decision]],MATCH($D$5,Input_DecisionActual[[VDO period]:[VDO period]],0),1)</f>
        <v>VDO 2023-24 - Final</v>
      </c>
      <c r="E145" s="18" t="s">
        <v>96</v>
      </c>
      <c r="F145" s="60" t="str">
        <f>IF($D145="-","-",INDEX(Inputs!$C$17:$AZ$17,1,MATCH($D145,Inputs!$C$15:$AZ$15,0)))</f>
        <v>F-CurrentVDO_Input</v>
      </c>
      <c r="G145" s="41"/>
      <c r="H145" s="18" t="s">
        <v>132</v>
      </c>
      <c r="I145" s="18" t="s">
        <v>65</v>
      </c>
      <c r="J145" s="42" t="s">
        <v>67</v>
      </c>
      <c r="K145" s="47" cm="1">
        <f t="array" ref="K145">IFERROR(INDEX(Input_ForRateCalc[],MATCH($C145&amp;" - "&amp;K$100,Input_ForRateCalc[[Cost item]:[Cost item]],0),MATCH(Calc_TUV_Net_1[[#This Row],[Decision ref]:[Decision ref]],Input_ForRateCalc[#Headers],0)),"-")*TUProp_Days_1</f>
        <v>0</v>
      </c>
      <c r="L145" s="47" cm="1">
        <f t="array" ref="L145">IFERROR(INDEX(Input_ForRateCalc[],MATCH($C145&amp;" - "&amp;L$100,Input_ForRateCalc[[Cost item]:[Cost item]],0),MATCH(Calc_TUV_Net_1[[#This Row],[Decision ref]:[Decision ref]],Input_ForRateCalc[#Headers],0)),"-")*TUProp_Days_1</f>
        <v>0</v>
      </c>
      <c r="M145" s="47" cm="1">
        <f t="array" ref="M145">IFERROR(INDEX(Input_ForRateCalc[],MATCH($C145&amp;" - "&amp;M$100,Input_ForRateCalc[[Cost item]:[Cost item]],0),MATCH(Calc_TUV_Net_1[[#This Row],[Decision ref]:[Decision ref]],Input_ForRateCalc[#Headers],0)),"-")*TUProp_Days_1</f>
        <v>0</v>
      </c>
      <c r="N145" s="47" cm="1">
        <f t="array" ref="N145">IFERROR(INDEX(Input_ForRateCalc[],MATCH($C145&amp;" - "&amp;N$100,Input_ForRateCalc[[Cost item]:[Cost item]],0),MATCH(Calc_TUV_Net_1[[#This Row],[Decision ref]:[Decision ref]],Input_ForRateCalc[#Headers],0)),"-")*TUProp_Days_1</f>
        <v>0</v>
      </c>
      <c r="O145" s="47" cm="1">
        <f t="array" ref="O145">IFERROR(INDEX(Input_ForRateCalc[],MATCH($C145&amp;" - "&amp;O$100,Input_ForRateCalc[[Cost item]:[Cost item]],0),MATCH(Calc_TUV_Net_1[[#This Row],[Decision ref]:[Decision ref]],Input_ForRateCalc[#Headers],0)),"-")*TUProp_Days_1</f>
        <v>0</v>
      </c>
    </row>
    <row r="146" spans="3:15" hidden="1" outlineLevel="1" x14ac:dyDescent="0.25">
      <c r="C146" s="42" t="s">
        <v>357</v>
      </c>
      <c r="D146" s="60" t="str">
        <f>INDEX(Input_DecisionActual[[Decision]:[Decision]],MATCH($D$5,Input_DecisionActual[[VDO period]:[VDO period]],0),1)</f>
        <v>VDO 2023-24 - Final</v>
      </c>
      <c r="E146" s="18" t="s">
        <v>96</v>
      </c>
      <c r="F146" s="60" t="str">
        <f>IF($D146="-","-",INDEX(Inputs!$C$17:$AZ$17,1,MATCH($D146,Inputs!$C$15:$AZ$15,0)))</f>
        <v>F-CurrentVDO_Input</v>
      </c>
      <c r="G146" s="41"/>
      <c r="H146" s="18" t="s">
        <v>132</v>
      </c>
      <c r="I146" s="18" t="s">
        <v>65</v>
      </c>
      <c r="J146" s="42" t="s">
        <v>67</v>
      </c>
      <c r="K146" s="47" cm="1">
        <f t="array" ref="K146">IFERROR(INDEX(Input_ForRateCalc[],MATCH($C146&amp;" - "&amp;K$100,Input_ForRateCalc[[Cost item]:[Cost item]],0),MATCH(Calc_TUV_Net_1[[#This Row],[Decision ref]:[Decision ref]],Input_ForRateCalc[#Headers],0)),"-")*TUProp_Days_1</f>
        <v>0</v>
      </c>
      <c r="L146" s="47" cm="1">
        <f t="array" ref="L146">IFERROR(INDEX(Input_ForRateCalc[],MATCH($C146&amp;" - "&amp;L$100,Input_ForRateCalc[[Cost item]:[Cost item]],0),MATCH(Calc_TUV_Net_1[[#This Row],[Decision ref]:[Decision ref]],Input_ForRateCalc[#Headers],0)),"-")*TUProp_Days_1</f>
        <v>0</v>
      </c>
      <c r="M146" s="47" cm="1">
        <f t="array" ref="M146">IFERROR(INDEX(Input_ForRateCalc[],MATCH($C146&amp;" - "&amp;M$100,Input_ForRateCalc[[Cost item]:[Cost item]],0),MATCH(Calc_TUV_Net_1[[#This Row],[Decision ref]:[Decision ref]],Input_ForRateCalc[#Headers],0)),"-")*TUProp_Days_1</f>
        <v>0</v>
      </c>
      <c r="N146" s="47" cm="1">
        <f t="array" ref="N146">IFERROR(INDEX(Input_ForRateCalc[],MATCH($C146&amp;" - "&amp;N$100,Input_ForRateCalc[[Cost item]:[Cost item]],0),MATCH(Calc_TUV_Net_1[[#This Row],[Decision ref]:[Decision ref]],Input_ForRateCalc[#Headers],0)),"-")*TUProp_Days_1</f>
        <v>0</v>
      </c>
      <c r="O146" s="47" cm="1">
        <f t="array" ref="O146">IFERROR(INDEX(Input_ForRateCalc[],MATCH($C146&amp;" - "&amp;O$100,Input_ForRateCalc[[Cost item]:[Cost item]],0),MATCH(Calc_TUV_Net_1[[#This Row],[Decision ref]:[Decision ref]],Input_ForRateCalc[#Headers],0)),"-")*TUProp_Days_1</f>
        <v>0</v>
      </c>
    </row>
    <row r="147" spans="3:15" hidden="1" outlineLevel="1" x14ac:dyDescent="0.25">
      <c r="C147" s="42" t="s">
        <v>411</v>
      </c>
      <c r="D147" s="60" t="str">
        <f>INDEX(Input_DecisionActual[[Decision]:[Decision]],MATCH($D$5,Input_DecisionActual[[VDO period]:[VDO period]],0),1)</f>
        <v>VDO 2023-24 - Final</v>
      </c>
      <c r="E147" s="18" t="s">
        <v>96</v>
      </c>
      <c r="F147" s="60" t="str">
        <f>IF($D147="-","-",INDEX(Inputs!$C$17:$AZ$17,1,MATCH($D147,Inputs!$C$15:$AZ$15,0)))</f>
        <v>F-CurrentVDO_Input</v>
      </c>
      <c r="G147" s="41"/>
      <c r="H147" s="18" t="s">
        <v>132</v>
      </c>
      <c r="I147" s="18" t="s">
        <v>65</v>
      </c>
      <c r="J147" s="42" t="s">
        <v>67</v>
      </c>
      <c r="K147" s="46">
        <f>SUM(K145:K146)</f>
        <v>0</v>
      </c>
      <c r="L147" s="46">
        <f>SUM(L145:L146)</f>
        <v>0</v>
      </c>
      <c r="M147" s="46">
        <f>SUM(M145:M146)</f>
        <v>0</v>
      </c>
      <c r="N147" s="46">
        <f>SUM(N145:N146)</f>
        <v>0</v>
      </c>
      <c r="O147" s="46">
        <f>SUM(O145:O146)</f>
        <v>0</v>
      </c>
    </row>
    <row r="148" spans="3:15" hidden="1" outlineLevel="1" x14ac:dyDescent="0.25">
      <c r="C148" s="42" t="s">
        <v>412</v>
      </c>
      <c r="D148" s="18"/>
      <c r="E148" s="18"/>
      <c r="F148" s="18"/>
      <c r="G148" s="42"/>
      <c r="H148" s="18" t="s">
        <v>132</v>
      </c>
      <c r="I148" s="18" t="s">
        <v>65</v>
      </c>
      <c r="J148" s="42" t="s">
        <v>67</v>
      </c>
      <c r="K148" s="46" t="str">
        <f>IF(K147=0,"-",K144-K147)</f>
        <v>-</v>
      </c>
      <c r="L148" s="46" t="str">
        <f>IF(L147=0,"-",L144-L147)</f>
        <v>-</v>
      </c>
      <c r="M148" s="46" t="str">
        <f>IF(M147=0,"-",M144-M147)</f>
        <v>-</v>
      </c>
      <c r="N148" s="46" t="str">
        <f>IF(N147=0,"-",N144-N147)</f>
        <v>-</v>
      </c>
      <c r="O148" s="46" t="str">
        <f>IF(O147=0,"-",O144-O147)</f>
        <v>-</v>
      </c>
    </row>
    <row r="149" spans="3:15" hidden="1" outlineLevel="1" x14ac:dyDescent="0.25">
      <c r="C149" s="42" t="s">
        <v>414</v>
      </c>
      <c r="D149" s="60" t="str">
        <f>INDEX(Input_DecisionActual[[Decision]:[Decision]],MATCH($D$5,Input_DecisionActual[[VDO period]:[VDO period]],0),1)</f>
        <v>VDO 2023-24 - Final</v>
      </c>
      <c r="E149" s="18" t="s">
        <v>96</v>
      </c>
      <c r="F149" s="60" t="str">
        <f>IF($D149="-","-",INDEX(Inputs!$C$17:$AZ$17,1,MATCH($D149,Inputs!$C$15:$AZ$15,0)))</f>
        <v>F-CurrentVDO_Input</v>
      </c>
      <c r="G149" s="42"/>
      <c r="H149" s="18" t="s">
        <v>132</v>
      </c>
      <c r="I149" s="18" t="s">
        <v>65</v>
      </c>
      <c r="J149" s="42" t="s">
        <v>67</v>
      </c>
      <c r="K149" s="47" t="str" cm="1">
        <f t="array" ref="K149">IFERROR(SUM(K148:K148)*(INDEX(Inputs!$H$18:$U$141,MATCH("Retail operating margin",Input_ForRateCalc[[Cost item]:[Cost item]],0),MATCH(Calc_TUV_Net_1[[#This Row],[Decision ref]:[Decision ref]],Inputs!$H$17:$U$17,0))),"-")</f>
        <v>-</v>
      </c>
      <c r="L149" s="47" t="str" cm="1">
        <f t="array" ref="L149">IFERROR(SUM(L148:L148)*(INDEX(Inputs!$H$18:$U$141,MATCH("Retail operating margin",Input_ForRateCalc[[Cost item]:[Cost item]],0),MATCH(Calc_TUV_Net_1[[#This Row],[Decision ref]:[Decision ref]],Inputs!$H$17:$U$17,0))),"-")</f>
        <v>-</v>
      </c>
      <c r="M149" s="47" t="str" cm="1">
        <f t="array" ref="M149">IFERROR(SUM(M148:M148)*(INDEX(Inputs!$H$18:$U$141,MATCH("Retail operating margin",Input_ForRateCalc[[Cost item]:[Cost item]],0),MATCH(Calc_TUV_Net_1[[#This Row],[Decision ref]:[Decision ref]],Inputs!$H$17:$U$17,0))),"-")</f>
        <v>-</v>
      </c>
      <c r="N149" s="47" t="str" cm="1">
        <f t="array" ref="N149">IFERROR(SUM(N148:N148)*(INDEX(Inputs!$H$18:$U$141,MATCH("Retail operating margin",Input_ForRateCalc[[Cost item]:[Cost item]],0),MATCH(Calc_TUV_Net_1[[#This Row],[Decision ref]:[Decision ref]],Inputs!$H$17:$U$17,0))),"-")</f>
        <v>-</v>
      </c>
      <c r="O149" s="47" t="str" cm="1">
        <f t="array" ref="O149">IFERROR(SUM(O148:O148)*(INDEX(Inputs!$H$18:$U$141,MATCH("Retail operating margin",Input_ForRateCalc[[Cost item]:[Cost item]],0),MATCH(Calc_TUV_Net_1[[#This Row],[Decision ref]:[Decision ref]],Inputs!$H$17:$U$17,0))),"-")</f>
        <v>-</v>
      </c>
    </row>
    <row r="150" spans="3:15" hidden="1" outlineLevel="1" x14ac:dyDescent="0.25">
      <c r="C150" s="42" t="s">
        <v>415</v>
      </c>
      <c r="D150" s="18"/>
      <c r="E150" s="18"/>
      <c r="F150" s="18"/>
      <c r="G150" s="42"/>
      <c r="H150" s="18" t="s">
        <v>132</v>
      </c>
      <c r="I150" s="18" t="s">
        <v>65</v>
      </c>
      <c r="J150" s="42" t="s">
        <v>67</v>
      </c>
      <c r="K150" s="47" t="str">
        <f>IF(K147=0,"-",SUM(K148:K149)*GST)</f>
        <v>-</v>
      </c>
      <c r="L150" s="47" t="str">
        <f>IF(L147=0,"-",SUM(L148:L149)*GST)</f>
        <v>-</v>
      </c>
      <c r="M150" s="47" t="str">
        <f>IF(M147=0,"-",SUM(M148:M149)*GST)</f>
        <v>-</v>
      </c>
      <c r="N150" s="47" t="str">
        <f>IF(N147=0,"-",SUM(N148:N149)*GST)</f>
        <v>-</v>
      </c>
      <c r="O150" s="47" t="str">
        <f>IF(O147=0,"-",SUM(O148:O149)*GST)</f>
        <v>-</v>
      </c>
    </row>
    <row r="151" spans="3:15" hidden="1" outlineLevel="1" x14ac:dyDescent="0.25">
      <c r="C151" s="18" t="s">
        <v>435</v>
      </c>
      <c r="D151" s="18"/>
      <c r="E151" s="18"/>
      <c r="F151" s="18"/>
      <c r="G151" s="42"/>
      <c r="H151" s="18" t="s">
        <v>132</v>
      </c>
      <c r="I151" s="18" t="s">
        <v>65</v>
      </c>
      <c r="J151" s="42" t="s">
        <v>67</v>
      </c>
      <c r="K151" s="47" t="str">
        <f>IF(K147=0,"-",SUM(K148:K150))</f>
        <v>-</v>
      </c>
      <c r="L151" s="47" t="str">
        <f>IF(L147=0,"-",SUM(L148:L150))</f>
        <v>-</v>
      </c>
      <c r="M151" s="47" t="str">
        <f>IF(M147=0,"-",SUM(M148:M150))</f>
        <v>-</v>
      </c>
      <c r="N151" s="47" t="str">
        <f>IF(N147=0,"-",SUM(N148:N150))</f>
        <v>-</v>
      </c>
      <c r="O151" s="47" t="str">
        <f>IF(O147=0,"-",SUM(O148:O150))</f>
        <v>-</v>
      </c>
    </row>
    <row r="152" spans="3:15" hidden="1" outlineLevel="1" x14ac:dyDescent="0.25">
      <c r="C152" s="42"/>
      <c r="D152" s="18"/>
      <c r="E152" s="42"/>
      <c r="F152" s="42"/>
      <c r="H152" s="42"/>
      <c r="I152" s="18"/>
      <c r="J152" s="18"/>
      <c r="K152" s="90"/>
      <c r="L152" s="90"/>
      <c r="M152" s="90"/>
      <c r="N152" s="90"/>
      <c r="O152" s="90"/>
    </row>
    <row r="153" spans="3:15" hidden="1" outlineLevel="1" x14ac:dyDescent="0.25">
      <c r="C153" s="40" t="s">
        <v>446</v>
      </c>
      <c r="D153" s="18"/>
      <c r="E153" s="42"/>
      <c r="F153" s="42"/>
      <c r="G153" s="49"/>
      <c r="H153" s="42"/>
      <c r="I153" s="18"/>
      <c r="J153" s="42"/>
      <c r="K153" s="90"/>
      <c r="L153" s="90"/>
      <c r="M153" s="90"/>
      <c r="N153" s="90"/>
      <c r="O153" s="90"/>
    </row>
    <row r="154" spans="3:15" hidden="1" outlineLevel="1" x14ac:dyDescent="0.25">
      <c r="C154" s="42" t="s">
        <v>447</v>
      </c>
      <c r="D154" s="60" t="str">
        <f>$D$5</f>
        <v>VDO 2024-25 - Draft</v>
      </c>
      <c r="E154" s="18" t="s">
        <v>316</v>
      </c>
      <c r="F154" s="60" t="str">
        <f>INDEX(Inputs!$C$17:$AZ$17,1,MATCH($D154,Inputs!$C$15:$AZ$15,0))</f>
        <v>D-NextVDO_Input</v>
      </c>
      <c r="G154" s="42"/>
      <c r="H154" s="18" t="s">
        <v>178</v>
      </c>
      <c r="I154" s="18" t="s">
        <v>220</v>
      </c>
      <c r="J154" s="42" t="s">
        <v>67</v>
      </c>
      <c r="K154" s="47" cm="1">
        <f t="array" ref="K154">IFERROR(INDEX(Input_ForRateCalc[],MATCH($C154&amp;" - "&amp;K$100,Input_ForRateCalc[[Cost item]:[Cost item]],0),MATCH(Calc_TUV_Net_1[[#This Row],[Decision ref]:[Decision ref]],Input_ForRateCalc[#Headers],0)),"-")</f>
        <v>19.387499999999999</v>
      </c>
      <c r="L154" s="47" t="str" cm="1">
        <f t="array" ref="L154">IFERROR(INDEX(Input_ForRateCalc[],MATCH($C154&amp;" - "&amp;L$100,Input_ForRateCalc[[Cost item]:[Cost item]],0),MATCH(Calc_TUV_Net_1[[#This Row],[Decision ref]:[Decision ref]],Input_ForRateCalc[#Headers],0)),"-")</f>
        <v>-</v>
      </c>
      <c r="M154" s="47" t="str" cm="1">
        <f t="array" ref="M154">IFERROR(INDEX(Input_ForRateCalc[],MATCH($C154&amp;" - "&amp;M$100,Input_ForRateCalc[[Cost item]:[Cost item]],0),MATCH(Calc_TUV_Net_1[[#This Row],[Decision ref]:[Decision ref]],Input_ForRateCalc[#Headers],0)),"-")</f>
        <v>-</v>
      </c>
      <c r="N154" s="47" t="str" cm="1">
        <f t="array" ref="N154">IFERROR(INDEX(Input_ForRateCalc[],MATCH($C154&amp;" - "&amp;N$100,Input_ForRateCalc[[Cost item]:[Cost item]],0),MATCH(Calc_TUV_Net_1[[#This Row],[Decision ref]:[Decision ref]],Input_ForRateCalc[#Headers],0)),"-")</f>
        <v>-</v>
      </c>
      <c r="O154" s="47" t="str" cm="1">
        <f t="array" ref="O154">IFERROR(INDEX(Input_ForRateCalc[],MATCH($C154&amp;" - "&amp;O$100,Input_ForRateCalc[[Cost item]:[Cost item]],0),MATCH(Calc_TUV_Net_1[[#This Row],[Decision ref]:[Decision ref]],Input_ForRateCalc[#Headers],0)),"-")</f>
        <v>-</v>
      </c>
    </row>
    <row r="155" spans="3:15" hidden="1" outlineLevel="1" x14ac:dyDescent="0.25">
      <c r="C155" s="42" t="s">
        <v>448</v>
      </c>
      <c r="D155" s="60" t="str">
        <f>$D$5</f>
        <v>VDO 2024-25 - Draft</v>
      </c>
      <c r="E155" s="18" t="s">
        <v>316</v>
      </c>
      <c r="F155" s="60" t="str">
        <f>INDEX(Inputs!$C$17:$AZ$17,1,MATCH($D155,Inputs!$C$15:$AZ$15,0))</f>
        <v>D-NextVDO_Input</v>
      </c>
      <c r="G155" s="49"/>
      <c r="H155" s="18" t="s">
        <v>178</v>
      </c>
      <c r="I155" s="18" t="s">
        <v>220</v>
      </c>
      <c r="J155" s="42" t="s">
        <v>67</v>
      </c>
      <c r="K155" s="47" cm="1">
        <f t="array" ref="K155">IFERROR(INDEX(Input_ForRateCalc[],MATCH($C155&amp;" - "&amp;K$100,Input_ForRateCalc[[Cost item]:[Cost item]],0),MATCH(Calc_TUV_Net_1[[#This Row],[Decision ref]:[Decision ref]],Input_ForRateCalc[#Headers],0)),"-")</f>
        <v>20.384699999999999</v>
      </c>
      <c r="L155" s="47" t="str" cm="1">
        <f t="array" ref="L155">IFERROR(INDEX(Input_ForRateCalc[],MATCH($C155&amp;" - "&amp;L$100,Input_ForRateCalc[[Cost item]:[Cost item]],0),MATCH(Calc_TUV_Net_1[[#This Row],[Decision ref]:[Decision ref]],Input_ForRateCalc[#Headers],0)),"-")</f>
        <v>-</v>
      </c>
      <c r="M155" s="47" t="str" cm="1">
        <f t="array" ref="M155">IFERROR(INDEX(Input_ForRateCalc[],MATCH($C155&amp;" - "&amp;M$100,Input_ForRateCalc[[Cost item]:[Cost item]],0),MATCH(Calc_TUV_Net_1[[#This Row],[Decision ref]:[Decision ref]],Input_ForRateCalc[#Headers],0)),"-")</f>
        <v>-</v>
      </c>
      <c r="N155" s="47" t="str" cm="1">
        <f t="array" ref="N155">IFERROR(INDEX(Input_ForRateCalc[],MATCH($C155&amp;" - "&amp;N$100,Input_ForRateCalc[[Cost item]:[Cost item]],0),MATCH(Calc_TUV_Net_1[[#This Row],[Decision ref]:[Decision ref]],Input_ForRateCalc[#Headers],0)),"-")</f>
        <v>-</v>
      </c>
      <c r="O155" s="47" t="str" cm="1">
        <f t="array" ref="O155">IFERROR(INDEX(Input_ForRateCalc[],MATCH($C155&amp;" - "&amp;O$100,Input_ForRateCalc[[Cost item]:[Cost item]],0),MATCH(Calc_TUV_Net_1[[#This Row],[Decision ref]:[Decision ref]],Input_ForRateCalc[#Headers],0)),"-")</f>
        <v>-</v>
      </c>
    </row>
    <row r="156" spans="3:15" hidden="1" outlineLevel="1" x14ac:dyDescent="0.25">
      <c r="C156" s="42" t="s">
        <v>449</v>
      </c>
      <c r="D156" s="60" t="str">
        <f>$D$5</f>
        <v>VDO 2024-25 - Draft</v>
      </c>
      <c r="E156" s="18" t="s">
        <v>316</v>
      </c>
      <c r="F156" s="60" t="str">
        <f>INDEX(Inputs!$C$17:$AZ$17,1,MATCH($D156,Inputs!$C$15:$AZ$15,0))</f>
        <v>D-NextVDO_Input</v>
      </c>
      <c r="G156" s="41"/>
      <c r="H156" s="18" t="s">
        <v>178</v>
      </c>
      <c r="I156" s="18" t="s">
        <v>220</v>
      </c>
      <c r="J156" s="42" t="s">
        <v>67</v>
      </c>
      <c r="K156" s="47" t="str" cm="1">
        <f t="array" ref="K156">IFERROR(INDEX(Input_ForRateCalc[],MATCH($C156&amp;" - "&amp;K$100,Input_ForRateCalc[[Cost item]:[Cost item]],0),MATCH(Calc_TUV_Net_1[[#This Row],[Decision ref]:[Decision ref]],Input_ForRateCalc[#Headers],0)),"-")</f>
        <v>-</v>
      </c>
      <c r="L156" s="47" cm="1">
        <f t="array" ref="L156">IFERROR(INDEX(Input_ForRateCalc[],MATCH($C156&amp;" - "&amp;L$100,Input_ForRateCalc[[Cost item]:[Cost item]],0),MATCH(Calc_TUV_Net_1[[#This Row],[Decision ref]:[Decision ref]],Input_ForRateCalc[#Headers],0)),"-")</f>
        <v>8.8800000000000008</v>
      </c>
      <c r="M156" s="47" cm="1">
        <f t="array" ref="M156">IFERROR(INDEX(Input_ForRateCalc[],MATCH($C156&amp;" - "&amp;M$100,Input_ForRateCalc[[Cost item]:[Cost item]],0),MATCH(Calc_TUV_Net_1[[#This Row],[Decision ref]:[Decision ref]],Input_ForRateCalc[#Headers],0)),"-")</f>
        <v>13.40533737</v>
      </c>
      <c r="N156" s="47" cm="1">
        <f t="array" ref="N156">IFERROR(INDEX(Input_ForRateCalc[],MATCH($C156&amp;" - "&amp;N$100,Input_ForRateCalc[[Cost item]:[Cost item]],0),MATCH(Calc_TUV_Net_1[[#This Row],[Decision ref]:[Decision ref]],Input_ForRateCalc[#Headers],0)),"-")</f>
        <v>10.59</v>
      </c>
      <c r="O156" s="47" cm="1">
        <f t="array" ref="O156">IFERROR(INDEX(Input_ForRateCalc[],MATCH($C156&amp;" - "&amp;O$100,Input_ForRateCalc[[Cost item]:[Cost item]],0),MATCH(Calc_TUV_Net_1[[#This Row],[Decision ref]:[Decision ref]],Input_ForRateCalc[#Headers],0)),"-")</f>
        <v>9.86</v>
      </c>
    </row>
    <row r="157" spans="3:15" hidden="1" outlineLevel="1" x14ac:dyDescent="0.25">
      <c r="C157" s="42" t="s">
        <v>411</v>
      </c>
      <c r="D157" s="60" t="str">
        <f>$D$5</f>
        <v>VDO 2024-25 - Draft</v>
      </c>
      <c r="E157" s="18" t="s">
        <v>316</v>
      </c>
      <c r="F157" s="60" t="str">
        <f>INDEX(Inputs!$C$17:$AZ$17,1,MATCH($D157,Inputs!$C$15:$AZ$15,0))</f>
        <v>D-NextVDO_Input</v>
      </c>
      <c r="G157" s="41"/>
      <c r="H157" s="18" t="s">
        <v>178</v>
      </c>
      <c r="I157" s="18" t="s">
        <v>65</v>
      </c>
      <c r="J157" s="42" t="s">
        <v>67</v>
      </c>
      <c r="K157" s="48">
        <f>SUM(
IFERROR(K154/100*SUMIFS(INDEX(TUNet_Usage_PerRate_1[],0,MATCH(K$100,TUNet_Usage_PerRate_1[#Headers],0)),TUNet_Usage_PerRate_1[Customer type],Calc_TUV_Net_1[[#This Row],[Customer type]],TUNet_Usage_PerRate_1[Description],"Usage per customer - Block 1"),0),
IFERROR(K155/100*SUMIFS(INDEX(TUNet_Usage_PerRate_1[],0,MATCH(K$100,TUNet_Usage_PerRate_1[#Headers],0)),TUNet_Usage_PerRate_1[Customer type],Calc_TUV_Net_1[[#This Row],[Customer type]],TUNet_Usage_PerRate_1[Description],"Usage per customer - Balance"),0),
IFERROR(K156/100*SUMIFS(INDEX(TUNet_Usage_PerRate_1[],0,MATCH(K$100,TUNet_Usage_PerRate_1[#Headers],0)),TUNet_Usage_PerRate_1[Customer type],Calc_TUV_Net_1[[#This Row],[Customer type]],TUNet_Usage_PerRate_1[Description],"Usage per customer - Single rate"),0))</f>
        <v>0</v>
      </c>
      <c r="L157" s="48">
        <f>SUM(
IFERROR(L154/100*SUMIFS(INDEX(TUNet_Usage_PerRate_1[],0,MATCH(L$100,TUNet_Usage_PerRate_1[#Headers],0)),TUNet_Usage_PerRate_1[Customer type],Calc_TUV_Net_1[[#This Row],[Customer type]],TUNet_Usage_PerRate_1[Description],"Usage per customer - Block 1"),0),
IFERROR(L155/100*SUMIFS(INDEX(TUNet_Usage_PerRate_1[],0,MATCH(L$100,TUNet_Usage_PerRate_1[#Headers],0)),TUNet_Usage_PerRate_1[Customer type],Calc_TUV_Net_1[[#This Row],[Customer type]],TUNet_Usage_PerRate_1[Description],"Usage per customer - Balance"),0),
IFERROR(L156/100*SUMIFS(INDEX(TUNet_Usage_PerRate_1[],0,MATCH(L$100,TUNet_Usage_PerRate_1[#Headers],0)),TUNet_Usage_PerRate_1[Customer type],Calc_TUV_Net_1[[#This Row],[Customer type]],TUNet_Usage_PerRate_1[Description],"Usage per customer - Single rate"),0))</f>
        <v>0</v>
      </c>
      <c r="M157" s="48">
        <f>SUM(
IFERROR(M154/100*SUMIFS(INDEX(TUNet_Usage_PerRate_1[],0,MATCH(M$100,TUNet_Usage_PerRate_1[#Headers],0)),TUNet_Usage_PerRate_1[Customer type],Calc_TUV_Net_1[[#This Row],[Customer type]],TUNet_Usage_PerRate_1[Description],"Usage per customer - Block 1"),0),
IFERROR(M155/100*SUMIFS(INDEX(TUNet_Usage_PerRate_1[],0,MATCH(M$100,TUNet_Usage_PerRate_1[#Headers],0)),TUNet_Usage_PerRate_1[Customer type],Calc_TUV_Net_1[[#This Row],[Customer type]],TUNet_Usage_PerRate_1[Description],"Usage per customer - Balance"),0),
IFERROR(M156/100*SUMIFS(INDEX(TUNet_Usage_PerRate_1[],0,MATCH(M$100,TUNet_Usage_PerRate_1[#Headers],0)),TUNet_Usage_PerRate_1[Customer type],Calc_TUV_Net_1[[#This Row],[Customer type]],TUNet_Usage_PerRate_1[Description],"Usage per customer - Single rate"),0))</f>
        <v>0</v>
      </c>
      <c r="N157" s="48">
        <f>SUM(
IFERROR(N154/100*SUMIFS(INDEX(TUNet_Usage_PerRate_1[],0,MATCH(N$100,TUNet_Usage_PerRate_1[#Headers],0)),TUNet_Usage_PerRate_1[Customer type],Calc_TUV_Net_1[[#This Row],[Customer type]],TUNet_Usage_PerRate_1[Description],"Usage per customer - Block 1"),0),
IFERROR(N155/100*SUMIFS(INDEX(TUNet_Usage_PerRate_1[],0,MATCH(N$100,TUNet_Usage_PerRate_1[#Headers],0)),TUNet_Usage_PerRate_1[Customer type],Calc_TUV_Net_1[[#This Row],[Customer type]],TUNet_Usage_PerRate_1[Description],"Usage per customer - Balance"),0),
IFERROR(N156/100*SUMIFS(INDEX(TUNet_Usage_PerRate_1[],0,MATCH(N$100,TUNet_Usage_PerRate_1[#Headers],0)),TUNet_Usage_PerRate_1[Customer type],Calc_TUV_Net_1[[#This Row],[Customer type]],TUNet_Usage_PerRate_1[Description],"Usage per customer - Single rate"),0))</f>
        <v>0</v>
      </c>
      <c r="O157" s="48">
        <f>SUM(
IFERROR(O154/100*SUMIFS(INDEX(TUNet_Usage_PerRate_1[],0,MATCH(O$100,TUNet_Usage_PerRate_1[#Headers],0)),TUNet_Usage_PerRate_1[Customer type],Calc_TUV_Net_1[[#This Row],[Customer type]],TUNet_Usage_PerRate_1[Description],"Usage per customer - Block 1"),0),
IFERROR(O155/100*SUMIFS(INDEX(TUNet_Usage_PerRate_1[],0,MATCH(O$100,TUNet_Usage_PerRate_1[#Headers],0)),TUNet_Usage_PerRate_1[Customer type],Calc_TUV_Net_1[[#This Row],[Customer type]],TUNet_Usage_PerRate_1[Description],"Usage per customer - Balance"),0),
IFERROR(O156/100*SUMIFS(INDEX(TUNet_Usage_PerRate_1[],0,MATCH(O$100,TUNet_Usage_PerRate_1[#Headers],0)),TUNet_Usage_PerRate_1[Customer type],Calc_TUV_Net_1[[#This Row],[Customer type]],TUNet_Usage_PerRate_1[Description],"Usage per customer - Single rate"),0))</f>
        <v>0</v>
      </c>
    </row>
    <row r="158" spans="3:15" hidden="1" outlineLevel="1" x14ac:dyDescent="0.25">
      <c r="C158" s="42" t="s">
        <v>447</v>
      </c>
      <c r="D158" s="60" t="str">
        <f>INDEX(Input_DecisionActual[[Decision]:[Decision]],MATCH($D$5,Input_DecisionActual[[VDO period]:[VDO period]],0),1)</f>
        <v>VDO 2023-24 - Final</v>
      </c>
      <c r="E158" s="18" t="s">
        <v>96</v>
      </c>
      <c r="F158" s="60" t="str">
        <f>IF($D158="-","-",INDEX(Inputs!$C$17:$AZ$17,1,MATCH($D158,Inputs!$C$15:$AZ$15,0)))</f>
        <v>F-CurrentVDO_Input</v>
      </c>
      <c r="G158" s="41"/>
      <c r="H158" s="18" t="s">
        <v>178</v>
      </c>
      <c r="I158" s="18" t="s">
        <v>220</v>
      </c>
      <c r="J158" s="42" t="s">
        <v>67</v>
      </c>
      <c r="K158" s="47" cm="1">
        <f t="array" ref="K158">IFERROR(INDEX(Input_ForRateCalc[],MATCH($C158&amp;" - "&amp;K$100,Input_ForRateCalc[[Cost item]:[Cost item]],0),MATCH(Calc_TUV_Net_1[[#This Row],[Decision ref]:[Decision ref]],Input_ForRateCalc[#Headers],0)),"-")</f>
        <v>18.668411930490375</v>
      </c>
      <c r="L158" s="47" t="str" cm="1">
        <f t="array" ref="L158">IFERROR(INDEX(Input_ForRateCalc[],MATCH($C158&amp;" - "&amp;L$100,Input_ForRateCalc[[Cost item]:[Cost item]],0),MATCH(Calc_TUV_Net_1[[#This Row],[Decision ref]:[Decision ref]],Input_ForRateCalc[#Headers],0)),"-")</f>
        <v>-</v>
      </c>
      <c r="M158" s="47" t="str" cm="1">
        <f t="array" ref="M158">IFERROR(INDEX(Input_ForRateCalc[],MATCH($C158&amp;" - "&amp;M$100,Input_ForRateCalc[[Cost item]:[Cost item]],0),MATCH(Calc_TUV_Net_1[[#This Row],[Decision ref]:[Decision ref]],Input_ForRateCalc[#Headers],0)),"-")</f>
        <v>-</v>
      </c>
      <c r="N158" s="47" t="str" cm="1">
        <f t="array" ref="N158">IFERROR(INDEX(Input_ForRateCalc[],MATCH($C158&amp;" - "&amp;N$100,Input_ForRateCalc[[Cost item]:[Cost item]],0),MATCH(Calc_TUV_Net_1[[#This Row],[Decision ref]:[Decision ref]],Input_ForRateCalc[#Headers],0)),"-")</f>
        <v>-</v>
      </c>
      <c r="O158" s="47" t="str" cm="1">
        <f t="array" ref="O158">IFERROR(INDEX(Input_ForRateCalc[],MATCH($C158&amp;" - "&amp;O$100,Input_ForRateCalc[[Cost item]:[Cost item]],0),MATCH(Calc_TUV_Net_1[[#This Row],[Decision ref]:[Decision ref]],Input_ForRateCalc[#Headers],0)),"-")</f>
        <v>-</v>
      </c>
    </row>
    <row r="159" spans="3:15" hidden="1" outlineLevel="1" x14ac:dyDescent="0.25">
      <c r="C159" s="42" t="s">
        <v>448</v>
      </c>
      <c r="D159" s="60" t="str">
        <f>INDEX(Input_DecisionActual[[Decision]:[Decision]],MATCH($D$5,Input_DecisionActual[[VDO period]:[VDO period]],0),1)</f>
        <v>VDO 2023-24 - Final</v>
      </c>
      <c r="E159" s="18" t="s">
        <v>96</v>
      </c>
      <c r="F159" s="60" t="str">
        <f>IF($D159="-","-",INDEX(Inputs!$C$17:$AZ$17,1,MATCH($D159,Inputs!$C$15:$AZ$15,0)))</f>
        <v>F-CurrentVDO_Input</v>
      </c>
      <c r="G159" s="41"/>
      <c r="H159" s="18" t="s">
        <v>178</v>
      </c>
      <c r="I159" s="18" t="s">
        <v>220</v>
      </c>
      <c r="J159" s="42" t="s">
        <v>67</v>
      </c>
      <c r="K159" s="47" cm="1">
        <f t="array" ref="K159">IFERROR(INDEX(Input_ForRateCalc[],MATCH($C159&amp;" - "&amp;K$100,Input_ForRateCalc[[Cost item]:[Cost item]],0),MATCH(Calc_TUV_Net_1[[#This Row],[Decision ref]:[Decision ref]],Input_ForRateCalc[#Headers],0)),"-")</f>
        <v>20.620858559880922</v>
      </c>
      <c r="L159" s="47" t="str" cm="1">
        <f t="array" ref="L159">IFERROR(INDEX(Input_ForRateCalc[],MATCH($C159&amp;" - "&amp;L$100,Input_ForRateCalc[[Cost item]:[Cost item]],0),MATCH(Calc_TUV_Net_1[[#This Row],[Decision ref]:[Decision ref]],Input_ForRateCalc[#Headers],0)),"-")</f>
        <v>-</v>
      </c>
      <c r="M159" s="47" t="str" cm="1">
        <f t="array" ref="M159">IFERROR(INDEX(Input_ForRateCalc[],MATCH($C159&amp;" - "&amp;M$100,Input_ForRateCalc[[Cost item]:[Cost item]],0),MATCH(Calc_TUV_Net_1[[#This Row],[Decision ref]:[Decision ref]],Input_ForRateCalc[#Headers],0)),"-")</f>
        <v>-</v>
      </c>
      <c r="N159" s="47" t="str" cm="1">
        <f t="array" ref="N159">IFERROR(INDEX(Input_ForRateCalc[],MATCH($C159&amp;" - "&amp;N$100,Input_ForRateCalc[[Cost item]:[Cost item]],0),MATCH(Calc_TUV_Net_1[[#This Row],[Decision ref]:[Decision ref]],Input_ForRateCalc[#Headers],0)),"-")</f>
        <v>-</v>
      </c>
      <c r="O159" s="47" t="str" cm="1">
        <f t="array" ref="O159">IFERROR(INDEX(Input_ForRateCalc[],MATCH($C159&amp;" - "&amp;O$100,Input_ForRateCalc[[Cost item]:[Cost item]],0),MATCH(Calc_TUV_Net_1[[#This Row],[Decision ref]:[Decision ref]],Input_ForRateCalc[#Headers],0)),"-")</f>
        <v>-</v>
      </c>
    </row>
    <row r="160" spans="3:15" hidden="1" outlineLevel="1" x14ac:dyDescent="0.25">
      <c r="C160" s="42" t="s">
        <v>449</v>
      </c>
      <c r="D160" s="60" t="str">
        <f>INDEX(Input_DecisionActual[[Decision]:[Decision]],MATCH($D$5,Input_DecisionActual[[VDO period]:[VDO period]],0),1)</f>
        <v>VDO 2023-24 - Final</v>
      </c>
      <c r="E160" s="18" t="s">
        <v>96</v>
      </c>
      <c r="F160" s="60" t="str">
        <f>IF($D160="-","-",INDEX(Inputs!$C$17:$AZ$17,1,MATCH($D160,Inputs!$C$15:$AZ$15,0)))</f>
        <v>F-CurrentVDO_Input</v>
      </c>
      <c r="G160" s="41"/>
      <c r="H160" s="18" t="s">
        <v>178</v>
      </c>
      <c r="I160" s="18" t="s">
        <v>220</v>
      </c>
      <c r="J160" s="42" t="s">
        <v>67</v>
      </c>
      <c r="K160" s="47" t="str" cm="1">
        <f t="array" ref="K160">IFERROR(INDEX(Input_ForRateCalc[],MATCH($C160&amp;" - "&amp;K$100,Input_ForRateCalc[[Cost item]:[Cost item]],0),MATCH(Calc_TUV_Net_1[[#This Row],[Decision ref]:[Decision ref]],Input_ForRateCalc[#Headers],0)),"-")</f>
        <v>-</v>
      </c>
      <c r="L160" s="47" cm="1">
        <f t="array" ref="L160">IFERROR(INDEX(Input_ForRateCalc[],MATCH($C160&amp;" - "&amp;L$100,Input_ForRateCalc[[Cost item]:[Cost item]],0),MATCH(Calc_TUV_Net_1[[#This Row],[Decision ref]:[Decision ref]],Input_ForRateCalc[#Headers],0)),"-")</f>
        <v>8.15</v>
      </c>
      <c r="M160" s="47" cm="1">
        <f t="array" ref="M160">IFERROR(INDEX(Input_ForRateCalc[],MATCH($C160&amp;" - "&amp;M$100,Input_ForRateCalc[[Cost item]:[Cost item]],0),MATCH(Calc_TUV_Net_1[[#This Row],[Decision ref]:[Decision ref]],Input_ForRateCalc[#Headers],0)),"-")</f>
        <v>11.834</v>
      </c>
      <c r="N160" s="47" cm="1">
        <f t="array" ref="N160">IFERROR(INDEX(Input_ForRateCalc[],MATCH($C160&amp;" - "&amp;N$100,Input_ForRateCalc[[Cost item]:[Cost item]],0),MATCH(Calc_TUV_Net_1[[#This Row],[Decision ref]:[Decision ref]],Input_ForRateCalc[#Headers],0)),"-")</f>
        <v>9.81</v>
      </c>
      <c r="O160" s="47" cm="1">
        <f t="array" ref="O160">IFERROR(INDEX(Input_ForRateCalc[],MATCH($C160&amp;" - "&amp;O$100,Input_ForRateCalc[[Cost item]:[Cost item]],0),MATCH(Calc_TUV_Net_1[[#This Row],[Decision ref]:[Decision ref]],Input_ForRateCalc[#Headers],0)),"-")</f>
        <v>9.39</v>
      </c>
    </row>
    <row r="161" spans="3:15" hidden="1" outlineLevel="1" x14ac:dyDescent="0.25">
      <c r="C161" s="42" t="s">
        <v>411</v>
      </c>
      <c r="D161" s="60" t="str">
        <f>INDEX(Input_DecisionActual[[Decision]:[Decision]],MATCH($D$5,Input_DecisionActual[[VDO period]:[VDO period]],0),1)</f>
        <v>VDO 2023-24 - Final</v>
      </c>
      <c r="E161" s="18" t="s">
        <v>96</v>
      </c>
      <c r="F161" s="60" t="str">
        <f>IF($D161="-","-",INDEX(Inputs!$C$17:$AZ$17,1,MATCH($D161,Inputs!$C$15:$AZ$15,0)))</f>
        <v>F-CurrentVDO_Input</v>
      </c>
      <c r="G161" s="41"/>
      <c r="H161" s="18" t="s">
        <v>178</v>
      </c>
      <c r="I161" s="18" t="s">
        <v>65</v>
      </c>
      <c r="J161" s="42" t="s">
        <v>67</v>
      </c>
      <c r="K161" s="48">
        <f>SUM(
IFERROR(K158/100*SUMIFS(INDEX(TUNet_Usage_PerRate_1[],0,MATCH(K$100,TUNet_Usage_PerRate_1[#Headers],0)),TUNet_Usage_PerRate_1[Customer type],Calc_TUV_Net_1[[#This Row],[Customer type]],TUNet_Usage_PerRate_1[Description],"Usage per customer - Block 1"),0),
IFERROR(K159/100*SUMIFS(INDEX(TUNet_Usage_PerRate_1[],0,MATCH(K$100,TUNet_Usage_PerRate_1[#Headers],0)),TUNet_Usage_PerRate_1[Customer type],Calc_TUV_Net_1[[#This Row],[Customer type]],TUNet_Usage_PerRate_1[Description],"Usage per customer - Balance"),0),
IFERROR(K160/100*SUMIFS(INDEX(TUNet_Usage_PerRate_1[],0,MATCH(K$100,TUNet_Usage_PerRate_1[#Headers],0)),TUNet_Usage_PerRate_1[Customer type],Calc_TUV_Net_1[[#This Row],[Customer type]],TUNet_Usage_PerRate_1[Description],"Usage per customer - Single rate"),0))</f>
        <v>0</v>
      </c>
      <c r="L161" s="48">
        <f>SUM(
IFERROR(L158/100*SUMIFS(INDEX(TUNet_Usage_PerRate_1[],0,MATCH(L$100,TUNet_Usage_PerRate_1[#Headers],0)),TUNet_Usage_PerRate_1[Customer type],Calc_TUV_Net_1[[#This Row],[Customer type]],TUNet_Usage_PerRate_1[Description],"Usage per customer - Block 1"),0),
IFERROR(L159/100*SUMIFS(INDEX(TUNet_Usage_PerRate_1[],0,MATCH(L$100,TUNet_Usage_PerRate_1[#Headers],0)),TUNet_Usage_PerRate_1[Customer type],Calc_TUV_Net_1[[#This Row],[Customer type]],TUNet_Usage_PerRate_1[Description],"Usage per customer - Balance"),0),
IFERROR(L160/100*SUMIFS(INDEX(TUNet_Usage_PerRate_1[],0,MATCH(L$100,TUNet_Usage_PerRate_1[#Headers],0)),TUNet_Usage_PerRate_1[Customer type],Calc_TUV_Net_1[[#This Row],[Customer type]],TUNet_Usage_PerRate_1[Description],"Usage per customer - Single rate"),0))</f>
        <v>0</v>
      </c>
      <c r="M161" s="48">
        <f>SUM(
IFERROR(M158/100*SUMIFS(INDEX(TUNet_Usage_PerRate_1[],0,MATCH(M$100,TUNet_Usage_PerRate_1[#Headers],0)),TUNet_Usage_PerRate_1[Customer type],Calc_TUV_Net_1[[#This Row],[Customer type]],TUNet_Usage_PerRate_1[Description],"Usage per customer - Block 1"),0),
IFERROR(M159/100*SUMIFS(INDEX(TUNet_Usage_PerRate_1[],0,MATCH(M$100,TUNet_Usage_PerRate_1[#Headers],0)),TUNet_Usage_PerRate_1[Customer type],Calc_TUV_Net_1[[#This Row],[Customer type]],TUNet_Usage_PerRate_1[Description],"Usage per customer - Balance"),0),
IFERROR(M160/100*SUMIFS(INDEX(TUNet_Usage_PerRate_1[],0,MATCH(M$100,TUNet_Usage_PerRate_1[#Headers],0)),TUNet_Usage_PerRate_1[Customer type],Calc_TUV_Net_1[[#This Row],[Customer type]],TUNet_Usage_PerRate_1[Description],"Usage per customer - Single rate"),0))</f>
        <v>0</v>
      </c>
      <c r="N161" s="48">
        <f>SUM(
IFERROR(N158/100*SUMIFS(INDEX(TUNet_Usage_PerRate_1[],0,MATCH(N$100,TUNet_Usage_PerRate_1[#Headers],0)),TUNet_Usage_PerRate_1[Customer type],Calc_TUV_Net_1[[#This Row],[Customer type]],TUNet_Usage_PerRate_1[Description],"Usage per customer - Block 1"),0),
IFERROR(N159/100*SUMIFS(INDEX(TUNet_Usage_PerRate_1[],0,MATCH(N$100,TUNet_Usage_PerRate_1[#Headers],0)),TUNet_Usage_PerRate_1[Customer type],Calc_TUV_Net_1[[#This Row],[Customer type]],TUNet_Usage_PerRate_1[Description],"Usage per customer - Balance"),0),
IFERROR(N160/100*SUMIFS(INDEX(TUNet_Usage_PerRate_1[],0,MATCH(N$100,TUNet_Usage_PerRate_1[#Headers],0)),TUNet_Usage_PerRate_1[Customer type],Calc_TUV_Net_1[[#This Row],[Customer type]],TUNet_Usage_PerRate_1[Description],"Usage per customer - Single rate"),0))</f>
        <v>0</v>
      </c>
      <c r="O161" s="48">
        <f>SUM(
IFERROR(O158/100*SUMIFS(INDEX(TUNet_Usage_PerRate_1[],0,MATCH(O$100,TUNet_Usage_PerRate_1[#Headers],0)),TUNet_Usage_PerRate_1[Customer type],Calc_TUV_Net_1[[#This Row],[Customer type]],TUNet_Usage_PerRate_1[Description],"Usage per customer - Block 1"),0),
IFERROR(O159/100*SUMIFS(INDEX(TUNet_Usage_PerRate_1[],0,MATCH(O$100,TUNet_Usage_PerRate_1[#Headers],0)),TUNet_Usage_PerRate_1[Customer type],Calc_TUV_Net_1[[#This Row],[Customer type]],TUNet_Usage_PerRate_1[Description],"Usage per customer - Balance"),0),
IFERROR(O160/100*SUMIFS(INDEX(TUNet_Usage_PerRate_1[],0,MATCH(O$100,TUNet_Usage_PerRate_1[#Headers],0)),TUNet_Usage_PerRate_1[Customer type],Calc_TUV_Net_1[[#This Row],[Customer type]],TUNet_Usage_PerRate_1[Description],"Usage per customer - Single rate"),0))</f>
        <v>0</v>
      </c>
    </row>
    <row r="162" spans="3:15" hidden="1" outlineLevel="1" x14ac:dyDescent="0.25">
      <c r="C162" s="42" t="s">
        <v>412</v>
      </c>
      <c r="D162" s="18"/>
      <c r="E162" s="18"/>
      <c r="F162" s="18"/>
      <c r="G162" s="42"/>
      <c r="H162" s="18" t="s">
        <v>178</v>
      </c>
      <c r="I162" s="18" t="s">
        <v>65</v>
      </c>
      <c r="J162" s="42" t="s">
        <v>67</v>
      </c>
      <c r="K162" s="46" t="str">
        <f>IF(K161=0,"-",K157-K161)</f>
        <v>-</v>
      </c>
      <c r="L162" s="46" t="str">
        <f>IF(L161=0,"-",L157-L161)</f>
        <v>-</v>
      </c>
      <c r="M162" s="46" t="str">
        <f>IF(M161=0,"-",M157-M161)</f>
        <v>-</v>
      </c>
      <c r="N162" s="46" t="str">
        <f>IF(N161=0,"-",N157-N161)</f>
        <v>-</v>
      </c>
      <c r="O162" s="46" t="str">
        <f>IF(O161=0,"-",O157-O161)</f>
        <v>-</v>
      </c>
    </row>
    <row r="163" spans="3:15" hidden="1" outlineLevel="1" x14ac:dyDescent="0.25">
      <c r="C163" s="42" t="s">
        <v>414</v>
      </c>
      <c r="D163" s="60" t="str">
        <f>INDEX(Input_DecisionActual[[Decision]:[Decision]],MATCH($D$5,Input_DecisionActual[[VDO period]:[VDO period]],0),1)</f>
        <v>VDO 2023-24 - Final</v>
      </c>
      <c r="E163" s="18" t="s">
        <v>96</v>
      </c>
      <c r="F163" s="60" t="str">
        <f>IF($D163="-","-",INDEX(Inputs!$C$17:$AZ$17,1,MATCH($D163,Inputs!$C$15:$AZ$15,0)))</f>
        <v>F-CurrentVDO_Input</v>
      </c>
      <c r="G163" s="42"/>
      <c r="H163" s="18" t="s">
        <v>178</v>
      </c>
      <c r="I163" s="18" t="s">
        <v>65</v>
      </c>
      <c r="J163" s="42" t="s">
        <v>67</v>
      </c>
      <c r="K163" s="47" t="str" cm="1">
        <f t="array" ref="K163">IFERROR(SUM(K162:K162)*(INDEX(Inputs!$H$18:$U$141,MATCH("Retail operating margin",Input_ForRateCalc[[Cost item]:[Cost item]],0),MATCH(Calc_TUV_Net_1[[#This Row],[Decision ref]:[Decision ref]],Inputs!$H$17:$U$17,0))),"-")</f>
        <v>-</v>
      </c>
      <c r="L163" s="47" t="str" cm="1">
        <f t="array" ref="L163">IFERROR(SUM(L162:L162)*(INDEX(Inputs!$H$18:$U$141,MATCH("Retail operating margin",Input_ForRateCalc[[Cost item]:[Cost item]],0),MATCH(Calc_TUV_Net_1[[#This Row],[Decision ref]:[Decision ref]],Inputs!$H$17:$U$17,0))),"-")</f>
        <v>-</v>
      </c>
      <c r="M163" s="47" t="str" cm="1">
        <f t="array" ref="M163">IFERROR(SUM(M162:M162)*(INDEX(Inputs!$H$18:$U$141,MATCH("Retail operating margin",Input_ForRateCalc[[Cost item]:[Cost item]],0),MATCH(Calc_TUV_Net_1[[#This Row],[Decision ref]:[Decision ref]],Inputs!$H$17:$U$17,0))),"-")</f>
        <v>-</v>
      </c>
      <c r="N163" s="47" t="str" cm="1">
        <f t="array" ref="N163">IFERROR(SUM(N162:N162)*(INDEX(Inputs!$H$18:$U$141,MATCH("Retail operating margin",Input_ForRateCalc[[Cost item]:[Cost item]],0),MATCH(Calc_TUV_Net_1[[#This Row],[Decision ref]:[Decision ref]],Inputs!$H$17:$U$17,0))),"-")</f>
        <v>-</v>
      </c>
      <c r="O163" s="47" t="str" cm="1">
        <f t="array" ref="O163">IFERROR(SUM(O162:O162)*(INDEX(Inputs!$H$18:$U$141,MATCH("Retail operating margin",Input_ForRateCalc[[Cost item]:[Cost item]],0),MATCH(Calc_TUV_Net_1[[#This Row],[Decision ref]:[Decision ref]],Inputs!$H$17:$U$17,0))),"-")</f>
        <v>-</v>
      </c>
    </row>
    <row r="164" spans="3:15" hidden="1" outlineLevel="1" x14ac:dyDescent="0.25">
      <c r="C164" s="42" t="s">
        <v>415</v>
      </c>
      <c r="D164" s="18"/>
      <c r="E164" s="18"/>
      <c r="F164" s="18"/>
      <c r="G164" s="42"/>
      <c r="H164" s="18" t="s">
        <v>178</v>
      </c>
      <c r="I164" s="18" t="s">
        <v>65</v>
      </c>
      <c r="J164" s="42" t="s">
        <v>67</v>
      </c>
      <c r="K164" s="47" t="str">
        <f>IF(K161=0,"-",SUM(K162:K163)*GST)</f>
        <v>-</v>
      </c>
      <c r="L164" s="47" t="str">
        <f>IF(L161=0,"-",SUM(L162:L163)*GST)</f>
        <v>-</v>
      </c>
      <c r="M164" s="47" t="str">
        <f>IF(M161=0,"-",SUM(M162:M163)*GST)</f>
        <v>-</v>
      </c>
      <c r="N164" s="47" t="str">
        <f>IF(N161=0,"-",SUM(N162:N163)*GST)</f>
        <v>-</v>
      </c>
      <c r="O164" s="47" t="str">
        <f>IF(O161=0,"-",SUM(O162:O163)*GST)</f>
        <v>-</v>
      </c>
    </row>
    <row r="165" spans="3:15" hidden="1" outlineLevel="1" x14ac:dyDescent="0.25">
      <c r="C165" s="42" t="s">
        <v>440</v>
      </c>
      <c r="D165" s="18"/>
      <c r="E165" s="18"/>
      <c r="F165" s="18"/>
      <c r="H165" s="18" t="s">
        <v>178</v>
      </c>
      <c r="I165" s="18" t="s">
        <v>65</v>
      </c>
      <c r="J165" s="42" t="s">
        <v>67</v>
      </c>
      <c r="K165" s="47" t="str">
        <f>IF(K161=0,"-",SUM(K162:K164))</f>
        <v>-</v>
      </c>
      <c r="L165" s="47" t="str">
        <f>IF(L161=0,"-",SUM(L162:L164))</f>
        <v>-</v>
      </c>
      <c r="M165" s="47" t="str">
        <f>IF(M161=0,"-",SUM(M162:M164))</f>
        <v>-</v>
      </c>
      <c r="N165" s="47" t="str">
        <f>IF(N161=0,"-",SUM(N162:N164))</f>
        <v>-</v>
      </c>
      <c r="O165" s="47" t="str">
        <f>IF(O161=0,"-",SUM(O162:O164))</f>
        <v>-</v>
      </c>
    </row>
    <row r="166" spans="3:15" hidden="1" outlineLevel="1" x14ac:dyDescent="0.25">
      <c r="C166" s="40"/>
      <c r="D166" s="40"/>
      <c r="E166" s="40"/>
      <c r="F166" s="40"/>
      <c r="G166" s="49"/>
      <c r="H166" s="49"/>
      <c r="I166" s="18"/>
      <c r="J166" s="18"/>
      <c r="K166" s="46"/>
      <c r="L166" s="18"/>
      <c r="M166" s="18"/>
      <c r="N166" s="18"/>
      <c r="O166" s="18"/>
    </row>
    <row r="167" spans="3:15" hidden="1" outlineLevel="1" x14ac:dyDescent="0.25">
      <c r="C167" s="40"/>
      <c r="D167" s="40"/>
      <c r="E167" s="40"/>
      <c r="F167" s="40"/>
      <c r="G167" s="49"/>
      <c r="H167" s="49"/>
      <c r="I167" s="18"/>
      <c r="J167" s="18"/>
      <c r="K167" s="46"/>
      <c r="L167" s="18"/>
      <c r="M167" s="18"/>
      <c r="N167" s="18"/>
      <c r="O167" s="18"/>
    </row>
    <row r="168" spans="3:15" ht="15.75" hidden="1" outlineLevel="1" x14ac:dyDescent="0.25">
      <c r="C168" s="1" t="s">
        <v>312</v>
      </c>
      <c r="D168" s="42"/>
      <c r="E168" s="42"/>
      <c r="F168" s="42"/>
      <c r="G168" s="30" t="str">
        <f>INDEX(Input_TU_YesNo[],MATCH(Calc_TUV_Net_1[[#This Row],[Cost item]],Input_TU_YesNo[Component],0),MATCH($D$5,Inputs!$C$210:$BM$210,0))</f>
        <v>No</v>
      </c>
      <c r="H168" s="42"/>
      <c r="I168" s="18"/>
      <c r="J168" s="18"/>
      <c r="K168" s="46"/>
      <c r="L168" s="18"/>
      <c r="M168" s="18"/>
      <c r="N168" s="18"/>
      <c r="O168" s="18"/>
    </row>
    <row r="169" spans="3:15" hidden="1" outlineLevel="1" x14ac:dyDescent="0.25">
      <c r="C169" s="40" t="s">
        <v>450</v>
      </c>
      <c r="D169" s="40"/>
      <c r="E169" s="40"/>
      <c r="F169" s="40"/>
      <c r="G169" s="49"/>
      <c r="H169" s="49"/>
      <c r="I169" s="18"/>
      <c r="J169" s="18"/>
      <c r="K169" s="46"/>
      <c r="L169" s="18"/>
      <c r="M169" s="18"/>
      <c r="N169" s="18"/>
      <c r="O169" s="18"/>
    </row>
    <row r="170" spans="3:15" hidden="1" outlineLevel="1" x14ac:dyDescent="0.25">
      <c r="C170" s="42" t="s">
        <v>451</v>
      </c>
      <c r="D170" s="60" t="str">
        <f>$D$5</f>
        <v>VDO 2024-25 - Draft</v>
      </c>
      <c r="E170" s="18" t="s">
        <v>316</v>
      </c>
      <c r="F170" s="60" t="str">
        <f>INDEX(Inputs!$C$17:$AZ$17,1,MATCH($D170,Inputs!$C$15:$AZ$15,0))</f>
        <v>D-NextVDO_Input</v>
      </c>
      <c r="G170" s="41"/>
      <c r="H170" s="18" t="s">
        <v>132</v>
      </c>
      <c r="I170" s="18" t="s">
        <v>65</v>
      </c>
      <c r="J170" s="42" t="s">
        <v>66</v>
      </c>
      <c r="K170" s="47" cm="1">
        <f t="array" ref="K170">IFERROR(INDEX(Input_ForRateCalc[],MATCH($C170&amp;" - "&amp;K$100,Input_ForRateCalc[[Cost item]:[Cost item]],0),MATCH(Calc_TUV_Net_1[[#This Row],[Decision ref]:[Decision ref]],Input_ForRateCalc[#Headers],0)),"-")*TUProp_Days_1</f>
        <v>0</v>
      </c>
      <c r="L170" s="47" cm="1">
        <f t="array" ref="L170">IFERROR(INDEX(Input_ForRateCalc[],MATCH($C170&amp;" - "&amp;L$100,Input_ForRateCalc[[Cost item]:[Cost item]],0),MATCH(Calc_TUV_Net_1[[#This Row],[Decision ref]:[Decision ref]],Input_ForRateCalc[#Headers],0)),"-")*TUProp_Days_1</f>
        <v>0</v>
      </c>
      <c r="M170" s="47" cm="1">
        <f t="array" ref="M170">IFERROR(INDEX(Input_ForRateCalc[],MATCH($C170&amp;" - "&amp;M$100,Input_ForRateCalc[[Cost item]:[Cost item]],0),MATCH(Calc_TUV_Net_1[[#This Row],[Decision ref]:[Decision ref]],Input_ForRateCalc[#Headers],0)),"-")*TUProp_Days_1</f>
        <v>0</v>
      </c>
      <c r="N170" s="47" cm="1">
        <f t="array" ref="N170">IFERROR(INDEX(Input_ForRateCalc[],MATCH($C170&amp;" - "&amp;N$100,Input_ForRateCalc[[Cost item]:[Cost item]],0),MATCH(Calc_TUV_Net_1[[#This Row],[Decision ref]:[Decision ref]],Input_ForRateCalc[#Headers],0)),"-")*TUProp_Days_1</f>
        <v>0</v>
      </c>
      <c r="O170" s="47" cm="1">
        <f t="array" ref="O170">IFERROR(INDEX(Input_ForRateCalc[],MATCH($C170&amp;" - "&amp;O$100,Input_ForRateCalc[[Cost item]:[Cost item]],0),MATCH(Calc_TUV_Net_1[[#This Row],[Decision ref]:[Decision ref]],Input_ForRateCalc[#Headers],0)),"-")*TUProp_Days_1</f>
        <v>0</v>
      </c>
    </row>
    <row r="171" spans="3:15" hidden="1" outlineLevel="1" x14ac:dyDescent="0.25">
      <c r="C171" s="42" t="s">
        <v>357</v>
      </c>
      <c r="D171" s="60" t="str">
        <f>$D$5</f>
        <v>VDO 2024-25 - Draft</v>
      </c>
      <c r="E171" s="18" t="s">
        <v>316</v>
      </c>
      <c r="F171" s="60" t="str">
        <f>INDEX(Inputs!$C$17:$AZ$17,1,MATCH($D171,Inputs!$C$15:$AZ$15,0))</f>
        <v>D-NextVDO_Input</v>
      </c>
      <c r="G171" s="41"/>
      <c r="H171" s="18" t="s">
        <v>132</v>
      </c>
      <c r="I171" s="18" t="s">
        <v>65</v>
      </c>
      <c r="J171" s="42" t="s">
        <v>66</v>
      </c>
      <c r="K171" s="47" cm="1">
        <f t="array" ref="K171">IFERROR(INDEX(Input_ForRateCalc[],MATCH($C171&amp;" - "&amp;K$100,Input_ForRateCalc[[Cost item]:[Cost item]],0),MATCH(Calc_TUV_Net_1[[#This Row],[Decision ref]:[Decision ref]],Input_ForRateCalc[#Headers],0)),"-")*TUProp_Days_1</f>
        <v>0</v>
      </c>
      <c r="L171" s="47" cm="1">
        <f t="array" ref="L171">IFERROR(INDEX(Input_ForRateCalc[],MATCH($C171&amp;" - "&amp;L$100,Input_ForRateCalc[[Cost item]:[Cost item]],0),MATCH(Calc_TUV_Net_1[[#This Row],[Decision ref]:[Decision ref]],Input_ForRateCalc[#Headers],0)),"-")*TUProp_Days_1</f>
        <v>0</v>
      </c>
      <c r="M171" s="47" cm="1">
        <f t="array" ref="M171">IFERROR(INDEX(Input_ForRateCalc[],MATCH($C171&amp;" - "&amp;M$100,Input_ForRateCalc[[Cost item]:[Cost item]],0),MATCH(Calc_TUV_Net_1[[#This Row],[Decision ref]:[Decision ref]],Input_ForRateCalc[#Headers],0)),"-")*TUProp_Days_1</f>
        <v>0</v>
      </c>
      <c r="N171" s="47" cm="1">
        <f t="array" ref="N171">IFERROR(INDEX(Input_ForRateCalc[],MATCH($C171&amp;" - "&amp;N$100,Input_ForRateCalc[[Cost item]:[Cost item]],0),MATCH(Calc_TUV_Net_1[[#This Row],[Decision ref]:[Decision ref]],Input_ForRateCalc[#Headers],0)),"-")*TUProp_Days_1</f>
        <v>0</v>
      </c>
      <c r="O171" s="47" cm="1">
        <f t="array" ref="O171">IFERROR(INDEX(Input_ForRateCalc[],MATCH($C171&amp;" - "&amp;O$100,Input_ForRateCalc[[Cost item]:[Cost item]],0),MATCH(Calc_TUV_Net_1[[#This Row],[Decision ref]:[Decision ref]],Input_ForRateCalc[#Headers],0)),"-")*TUProp_Days_1</f>
        <v>0</v>
      </c>
    </row>
    <row r="172" spans="3:15" hidden="1" outlineLevel="1" x14ac:dyDescent="0.25">
      <c r="C172" s="42" t="s">
        <v>411</v>
      </c>
      <c r="D172" s="60" t="str">
        <f>$D$5</f>
        <v>VDO 2024-25 - Draft</v>
      </c>
      <c r="E172" s="18" t="s">
        <v>316</v>
      </c>
      <c r="F172" s="60" t="str">
        <f>INDEX(Inputs!$C$17:$AZ$17,1,MATCH($D172,Inputs!$C$15:$AZ$15,0))</f>
        <v>D-NextVDO_Input</v>
      </c>
      <c r="G172" s="41"/>
      <c r="H172" s="18" t="s">
        <v>132</v>
      </c>
      <c r="I172" s="18" t="s">
        <v>65</v>
      </c>
      <c r="J172" s="42" t="s">
        <v>66</v>
      </c>
      <c r="K172" s="45">
        <f>IFERROR(SUM(K170:K171),"-")</f>
        <v>0</v>
      </c>
      <c r="L172" s="45">
        <f>IFERROR(SUM(L170:L171),"-")</f>
        <v>0</v>
      </c>
      <c r="M172" s="45">
        <f>IFERROR(SUM(M170:M171),"-")</f>
        <v>0</v>
      </c>
      <c r="N172" s="45">
        <f>IFERROR(SUM(N170:N171),"-")</f>
        <v>0</v>
      </c>
      <c r="O172" s="45">
        <f>IFERROR(SUM(O170:O171),"-")</f>
        <v>0</v>
      </c>
    </row>
    <row r="173" spans="3:15" hidden="1" outlineLevel="1" x14ac:dyDescent="0.25">
      <c r="C173" s="42" t="s">
        <v>434</v>
      </c>
      <c r="D173" s="60" t="str">
        <f>INDEX(Input_DecisionActual[[Decision]:[Decision]],MATCH($D$5,Input_DecisionActual[[VDO period]:[VDO period]],0),1)</f>
        <v>VDO 2023-24 - Final</v>
      </c>
      <c r="E173" s="18" t="s">
        <v>96</v>
      </c>
      <c r="F173" s="60" t="str">
        <f>IF($D173="-","-",INDEX(Inputs!$C$17:$AZ$17,1,MATCH($D173,Inputs!$C$15:$AZ$15,0)))</f>
        <v>F-CurrentVDO_Input</v>
      </c>
      <c r="G173" s="41"/>
      <c r="H173" s="18" t="s">
        <v>132</v>
      </c>
      <c r="I173" s="18" t="s">
        <v>65</v>
      </c>
      <c r="J173" s="42" t="s">
        <v>66</v>
      </c>
      <c r="K173" s="47" cm="1">
        <f t="array" ref="K173">IFERROR(INDEX(Input_ForRateCalc[],MATCH($C173&amp;" - "&amp;K$100,Input_ForRateCalc[[Cost item]:[Cost item]],0),MATCH(Calc_TUV_Net_1[[#This Row],[Decision ref]:[Decision ref]],Input_ForRateCalc[#Headers],0)),"-")*TUProp_Days_1</f>
        <v>0</v>
      </c>
      <c r="L173" s="47" cm="1">
        <f t="array" ref="L173">IFERROR(INDEX(Input_ForRateCalc[],MATCH($C173&amp;" - "&amp;L$100,Input_ForRateCalc[[Cost item]:[Cost item]],0),MATCH(Calc_TUV_Net_1[[#This Row],[Decision ref]:[Decision ref]],Input_ForRateCalc[#Headers],0)),"-")*TUProp_Days_1</f>
        <v>0</v>
      </c>
      <c r="M173" s="47" cm="1">
        <f t="array" ref="M173">IFERROR(INDEX(Input_ForRateCalc[],MATCH($C173&amp;" - "&amp;M$100,Input_ForRateCalc[[Cost item]:[Cost item]],0),MATCH(Calc_TUV_Net_1[[#This Row],[Decision ref]:[Decision ref]],Input_ForRateCalc[#Headers],0)),"-")*TUProp_Days_1</f>
        <v>0</v>
      </c>
      <c r="N173" s="47" cm="1">
        <f t="array" ref="N173">IFERROR(INDEX(Input_ForRateCalc[],MATCH($C173&amp;" - "&amp;N$100,Input_ForRateCalc[[Cost item]:[Cost item]],0),MATCH(Calc_TUV_Net_1[[#This Row],[Decision ref]:[Decision ref]],Input_ForRateCalc[#Headers],0)),"-")*TUProp_Days_1</f>
        <v>0</v>
      </c>
      <c r="O173" s="47" cm="1">
        <f t="array" ref="O173">IFERROR(INDEX(Input_ForRateCalc[],MATCH($C173&amp;" - "&amp;O$100,Input_ForRateCalc[[Cost item]:[Cost item]],0),MATCH(Calc_TUV_Net_1[[#This Row],[Decision ref]:[Decision ref]],Input_ForRateCalc[#Headers],0)),"-")*TUProp_Days_1</f>
        <v>0</v>
      </c>
    </row>
    <row r="174" spans="3:15" hidden="1" outlineLevel="1" x14ac:dyDescent="0.25">
      <c r="C174" s="42" t="s">
        <v>357</v>
      </c>
      <c r="D174" s="60" t="str">
        <f>INDEX(Input_DecisionActual[[Decision]:[Decision]],MATCH($D$5,Input_DecisionActual[[VDO period]:[VDO period]],0),1)</f>
        <v>VDO 2023-24 - Final</v>
      </c>
      <c r="E174" s="18" t="s">
        <v>96</v>
      </c>
      <c r="F174" s="60" t="str">
        <f>IF($D174="-","-",INDEX(Inputs!$C$17:$AZ$17,1,MATCH($D174,Inputs!$C$15:$AZ$15,0)))</f>
        <v>F-CurrentVDO_Input</v>
      </c>
      <c r="G174" s="41"/>
      <c r="H174" s="18" t="s">
        <v>132</v>
      </c>
      <c r="I174" s="18" t="s">
        <v>65</v>
      </c>
      <c r="J174" s="42" t="s">
        <v>66</v>
      </c>
      <c r="K174" s="47" cm="1">
        <f t="array" ref="K174">IFERROR(INDEX(Input_ForRateCalc[],MATCH($C174&amp;" - "&amp;K$100,Input_ForRateCalc[[Cost item]:[Cost item]],0),MATCH(Calc_TUV_Net_1[[#This Row],[Decision ref]:[Decision ref]],Input_ForRateCalc[#Headers],0)),"-")*TUProp_Days_1</f>
        <v>0</v>
      </c>
      <c r="L174" s="47" cm="1">
        <f t="array" ref="L174">IFERROR(INDEX(Input_ForRateCalc[],MATCH($C174&amp;" - "&amp;L$100,Input_ForRateCalc[[Cost item]:[Cost item]],0),MATCH(Calc_TUV_Net_1[[#This Row],[Decision ref]:[Decision ref]],Input_ForRateCalc[#Headers],0)),"-")*TUProp_Days_1</f>
        <v>0</v>
      </c>
      <c r="M174" s="47" cm="1">
        <f t="array" ref="M174">IFERROR(INDEX(Input_ForRateCalc[],MATCH($C174&amp;" - "&amp;M$100,Input_ForRateCalc[[Cost item]:[Cost item]],0),MATCH(Calc_TUV_Net_1[[#This Row],[Decision ref]:[Decision ref]],Input_ForRateCalc[#Headers],0)),"-")*TUProp_Days_1</f>
        <v>0</v>
      </c>
      <c r="N174" s="47" cm="1">
        <f t="array" ref="N174">IFERROR(INDEX(Input_ForRateCalc[],MATCH($C174&amp;" - "&amp;N$100,Input_ForRateCalc[[Cost item]:[Cost item]],0),MATCH(Calc_TUV_Net_1[[#This Row],[Decision ref]:[Decision ref]],Input_ForRateCalc[#Headers],0)),"-")*TUProp_Days_1</f>
        <v>0</v>
      </c>
      <c r="O174" s="47" cm="1">
        <f t="array" ref="O174">IFERROR(INDEX(Input_ForRateCalc[],MATCH($C174&amp;" - "&amp;O$100,Input_ForRateCalc[[Cost item]:[Cost item]],0),MATCH(Calc_TUV_Net_1[[#This Row],[Decision ref]:[Decision ref]],Input_ForRateCalc[#Headers],0)),"-")*TUProp_Days_1</f>
        <v>0</v>
      </c>
    </row>
    <row r="175" spans="3:15" hidden="1" outlineLevel="1" x14ac:dyDescent="0.25">
      <c r="C175" s="42" t="s">
        <v>411</v>
      </c>
      <c r="D175" s="60" t="str">
        <f>INDEX(Input_DecisionActual[[Decision]:[Decision]],MATCH($D$5,Input_DecisionActual[[VDO period]:[VDO period]],0),1)</f>
        <v>VDO 2023-24 - Final</v>
      </c>
      <c r="E175" s="18" t="s">
        <v>96</v>
      </c>
      <c r="F175" s="60" t="str">
        <f>IF($D175="-","-",INDEX(Inputs!$C$17:$AZ$17,1,MATCH($D175,Inputs!$C$15:$AZ$15,0)))</f>
        <v>F-CurrentVDO_Input</v>
      </c>
      <c r="G175" s="41"/>
      <c r="H175" s="18" t="s">
        <v>132</v>
      </c>
      <c r="I175" s="18" t="s">
        <v>65</v>
      </c>
      <c r="J175" s="42" t="s">
        <v>66</v>
      </c>
      <c r="K175" s="46">
        <f>SUM(K173:K174)</f>
        <v>0</v>
      </c>
      <c r="L175" s="46">
        <f>SUM(L173:L174)</f>
        <v>0</v>
      </c>
      <c r="M175" s="46">
        <f>SUM(M173:M174)</f>
        <v>0</v>
      </c>
      <c r="N175" s="46">
        <f>SUM(N173:N174)</f>
        <v>0</v>
      </c>
      <c r="O175" s="46">
        <f>SUM(O173:O174)</f>
        <v>0</v>
      </c>
    </row>
    <row r="176" spans="3:15" hidden="1" outlineLevel="1" x14ac:dyDescent="0.25">
      <c r="C176" s="42" t="s">
        <v>412</v>
      </c>
      <c r="D176" s="18"/>
      <c r="E176" s="18"/>
      <c r="F176" s="18"/>
      <c r="G176" s="42"/>
      <c r="H176" s="18" t="s">
        <v>132</v>
      </c>
      <c r="I176" s="18" t="s">
        <v>65</v>
      </c>
      <c r="J176" s="42" t="s">
        <v>66</v>
      </c>
      <c r="K176" s="46" t="str">
        <f>IF(K175=0,"-",K172-K175)</f>
        <v>-</v>
      </c>
      <c r="L176" s="46" t="str">
        <f>IF(L175=0,"-",L172-L175)</f>
        <v>-</v>
      </c>
      <c r="M176" s="46" t="str">
        <f>IF(M175=0,"-",M172-M175)</f>
        <v>-</v>
      </c>
      <c r="N176" s="46" t="str">
        <f>IF(N175=0,"-",N172-N175)</f>
        <v>-</v>
      </c>
      <c r="O176" s="46" t="str">
        <f>IF(O175=0,"-",O172-O175)</f>
        <v>-</v>
      </c>
    </row>
    <row r="177" spans="3:15" hidden="1" outlineLevel="1" x14ac:dyDescent="0.25">
      <c r="C177" s="42" t="s">
        <v>414</v>
      </c>
      <c r="D177" s="60" t="str">
        <f>INDEX(Input_DecisionActual[[Decision]:[Decision]],MATCH($D$5,Input_DecisionActual[[VDO period]:[VDO period]],0),1)</f>
        <v>VDO 2023-24 - Final</v>
      </c>
      <c r="E177" s="18" t="s">
        <v>96</v>
      </c>
      <c r="F177" s="60" t="str">
        <f>IF($D177="-","-",INDEX(Inputs!$C$17:$AZ$17,1,MATCH($D177,Inputs!$C$15:$AZ$15,0)))</f>
        <v>F-CurrentVDO_Input</v>
      </c>
      <c r="G177" s="42"/>
      <c r="H177" s="18" t="s">
        <v>132</v>
      </c>
      <c r="I177" s="18" t="s">
        <v>65</v>
      </c>
      <c r="J177" s="42" t="s">
        <v>66</v>
      </c>
      <c r="K177" s="47" t="str" cm="1">
        <f t="array" ref="K177">IFERROR(SUM(K176:K176)*(INDEX(Inputs!$H$18:$U$141,MATCH("Retail operating margin",Input_ForRateCalc[[Cost item]:[Cost item]],0),MATCH(Calc_TUV_Net_1[[#This Row],[Decision ref]:[Decision ref]],Inputs!$H$17:$U$17,0))),"-")</f>
        <v>-</v>
      </c>
      <c r="L177" s="47" t="str" cm="1">
        <f t="array" ref="L177">IFERROR(SUM(L176:L176)*(INDEX(Inputs!$H$18:$U$141,MATCH("Retail operating margin",Input_ForRateCalc[[Cost item]:[Cost item]],0),MATCH(Calc_TUV_Net_1[[#This Row],[Decision ref]:[Decision ref]],Inputs!$H$17:$U$17,0))),"-")</f>
        <v>-</v>
      </c>
      <c r="M177" s="47" t="str" cm="1">
        <f t="array" ref="M177">IFERROR(SUM(M176:M176)*(INDEX(Inputs!$H$18:$U$141,MATCH("Retail operating margin",Input_ForRateCalc[[Cost item]:[Cost item]],0),MATCH(Calc_TUV_Net_1[[#This Row],[Decision ref]:[Decision ref]],Inputs!$H$17:$U$17,0))),"-")</f>
        <v>-</v>
      </c>
      <c r="N177" s="47" t="str" cm="1">
        <f t="array" ref="N177">IFERROR(SUM(N176:N176)*(INDEX(Inputs!$H$18:$U$141,MATCH("Retail operating margin",Input_ForRateCalc[[Cost item]:[Cost item]],0),MATCH(Calc_TUV_Net_1[[#This Row],[Decision ref]:[Decision ref]],Inputs!$H$17:$U$17,0))),"-")</f>
        <v>-</v>
      </c>
      <c r="O177" s="47" t="str" cm="1">
        <f t="array" ref="O177">IFERROR(SUM(O176:O176)*(INDEX(Inputs!$H$18:$U$141,MATCH("Retail operating margin",Input_ForRateCalc[[Cost item]:[Cost item]],0),MATCH(Calc_TUV_Net_1[[#This Row],[Decision ref]:[Decision ref]],Inputs!$H$17:$U$17,0))),"-")</f>
        <v>-</v>
      </c>
    </row>
    <row r="178" spans="3:15" hidden="1" outlineLevel="1" x14ac:dyDescent="0.25">
      <c r="C178" s="42" t="s">
        <v>415</v>
      </c>
      <c r="D178" s="18"/>
      <c r="E178" s="18"/>
      <c r="F178" s="18"/>
      <c r="G178" s="42"/>
      <c r="H178" s="18" t="s">
        <v>132</v>
      </c>
      <c r="I178" s="18" t="s">
        <v>65</v>
      </c>
      <c r="J178" s="42" t="s">
        <v>66</v>
      </c>
      <c r="K178" s="47" t="str">
        <f>IF(K175=0,"-",SUM(K176:K177)*GST)</f>
        <v>-</v>
      </c>
      <c r="L178" s="47" t="str">
        <f>IF(L175=0,"-",SUM(L176:L177)*GST)</f>
        <v>-</v>
      </c>
      <c r="M178" s="47" t="str">
        <f>IF(M175=0,"-",SUM(M176:M177)*GST)</f>
        <v>-</v>
      </c>
      <c r="N178" s="47" t="str">
        <f>IF(N175=0,"-",SUM(N176:N177)*GST)</f>
        <v>-</v>
      </c>
      <c r="O178" s="47" t="str">
        <f>IF(O175=0,"-",SUM(O176:O177)*GST)</f>
        <v>-</v>
      </c>
    </row>
    <row r="179" spans="3:15" hidden="1" outlineLevel="1" x14ac:dyDescent="0.25">
      <c r="C179" s="18" t="s">
        <v>452</v>
      </c>
      <c r="D179" s="18"/>
      <c r="E179" s="18"/>
      <c r="F179" s="18"/>
      <c r="G179" s="42"/>
      <c r="H179" s="18" t="s">
        <v>132</v>
      </c>
      <c r="I179" s="18" t="s">
        <v>65</v>
      </c>
      <c r="J179" s="42" t="s">
        <v>66</v>
      </c>
      <c r="K179" s="47" t="str">
        <f>IF(K175=0,"-",SUM(K176:K178))</f>
        <v>-</v>
      </c>
      <c r="L179" s="47" t="str">
        <f>IF(L175=0,"-",SUM(L176:L178))</f>
        <v>-</v>
      </c>
      <c r="M179" s="47" t="str">
        <f>IF(M175=0,"-",SUM(M176:M178))</f>
        <v>-</v>
      </c>
      <c r="N179" s="47" t="str">
        <f>IF(N175=0,"-",SUM(N176:N178))</f>
        <v>-</v>
      </c>
      <c r="O179" s="47" t="str">
        <f>IF(O175=0,"-",SUM(O176:O178))</f>
        <v>-</v>
      </c>
    </row>
    <row r="180" spans="3:15" hidden="1" outlineLevel="1" x14ac:dyDescent="0.25">
      <c r="C180" s="42"/>
      <c r="D180" s="42"/>
      <c r="E180" s="42"/>
      <c r="F180" s="42"/>
      <c r="H180" s="42"/>
      <c r="I180" s="18"/>
      <c r="J180" s="18"/>
      <c r="K180" s="90"/>
      <c r="L180" s="90"/>
      <c r="M180" s="90"/>
      <c r="N180" s="90"/>
      <c r="O180" s="90"/>
    </row>
    <row r="181" spans="3:15" hidden="1" outlineLevel="1" x14ac:dyDescent="0.25">
      <c r="C181" s="40" t="s">
        <v>453</v>
      </c>
      <c r="D181" s="42"/>
      <c r="E181" s="42"/>
      <c r="F181" s="42"/>
      <c r="G181" s="49"/>
      <c r="H181" s="42"/>
      <c r="I181" s="18"/>
      <c r="J181" s="18"/>
      <c r="K181" s="90"/>
      <c r="L181" s="90"/>
      <c r="M181" s="90"/>
      <c r="N181" s="90"/>
      <c r="O181" s="90"/>
    </row>
    <row r="182" spans="3:15" hidden="1" outlineLevel="1" x14ac:dyDescent="0.25">
      <c r="C182" s="42" t="s">
        <v>454</v>
      </c>
      <c r="D182" s="60" t="str">
        <f>$D$5</f>
        <v>VDO 2024-25 - Draft</v>
      </c>
      <c r="E182" s="18" t="s">
        <v>316</v>
      </c>
      <c r="F182" s="60" t="str">
        <f>INDEX(Inputs!$C$17:$AZ$17,1,MATCH($D182,Inputs!$C$15:$AZ$15,0))</f>
        <v>D-NextVDO_Input</v>
      </c>
      <c r="G182" s="42"/>
      <c r="H182" s="18" t="s">
        <v>178</v>
      </c>
      <c r="I182" s="18" t="s">
        <v>220</v>
      </c>
      <c r="J182" s="42" t="s">
        <v>66</v>
      </c>
      <c r="K182" s="47" cm="1">
        <f t="array" ref="K182">IFERROR(INDEX(Input_ForRateCalc[],MATCH($C182&amp;" - "&amp;K$100,Input_ForRateCalc[[Cost item]:[Cost item]],0),MATCH(Calc_TUV_Net_1[[#This Row],[Decision ref]:[Decision ref]],Input_ForRateCalc[#Headers],0)),"-")</f>
        <v>23.836541229470225</v>
      </c>
      <c r="L182" s="47" cm="1">
        <f t="array" ref="L182">IFERROR(INDEX(Input_ForRateCalc[],MATCH($C182&amp;" - "&amp;L$100,Input_ForRateCalc[[Cost item]:[Cost item]],0),MATCH(Calc_TUV_Net_1[[#This Row],[Decision ref]:[Decision ref]],Input_ForRateCalc[#Headers],0)),"-")</f>
        <v>15.99</v>
      </c>
      <c r="M182" s="47" cm="1">
        <f t="array" ref="M182">IFERROR(INDEX(Input_ForRateCalc[],MATCH($C182&amp;" - "&amp;M$100,Input_ForRateCalc[[Cost item]:[Cost item]],0),MATCH(Calc_TUV_Net_1[[#This Row],[Decision ref]:[Decision ref]],Input_ForRateCalc[#Headers],0)),"-")</f>
        <v>16.85285682</v>
      </c>
      <c r="N182" s="47" cm="1">
        <f t="array" ref="N182">IFERROR(INDEX(Input_ForRateCalc[],MATCH($C182&amp;" - "&amp;N$100,Input_ForRateCalc[[Cost item]:[Cost item]],0),MATCH(Calc_TUV_Net_1[[#This Row],[Decision ref]:[Decision ref]],Input_ForRateCalc[#Headers],0)),"-")</f>
        <v>18.510000000000002</v>
      </c>
      <c r="O182" s="47" cm="1">
        <f t="array" ref="O182">IFERROR(INDEX(Input_ForRateCalc[],MATCH($C182&amp;" - "&amp;O$100,Input_ForRateCalc[[Cost item]:[Cost item]],0),MATCH(Calc_TUV_Net_1[[#This Row],[Decision ref]:[Decision ref]],Input_ForRateCalc[#Headers],0)),"-")</f>
        <v>17.510000000000002</v>
      </c>
    </row>
    <row r="183" spans="3:15" hidden="1" outlineLevel="1" x14ac:dyDescent="0.25">
      <c r="C183" s="42" t="s">
        <v>455</v>
      </c>
      <c r="D183" s="60" t="str">
        <f>$D$5</f>
        <v>VDO 2024-25 - Draft</v>
      </c>
      <c r="E183" s="18" t="s">
        <v>316</v>
      </c>
      <c r="F183" s="60" t="str">
        <f>INDEX(Inputs!$C$17:$AZ$17,1,MATCH($D183,Inputs!$C$15:$AZ$15,0))</f>
        <v>D-NextVDO_Input</v>
      </c>
      <c r="G183" s="49"/>
      <c r="H183" s="18" t="s">
        <v>178</v>
      </c>
      <c r="I183" s="18" t="s">
        <v>220</v>
      </c>
      <c r="J183" s="42" t="s">
        <v>66</v>
      </c>
      <c r="K183" s="47" cm="1">
        <f t="array" ref="K183">IFERROR(INDEX(Input_ForRateCalc[],MATCH($C183&amp;" - "&amp;K$100,Input_ForRateCalc[[Cost item]:[Cost item]],0),MATCH(Calc_TUV_Net_1[[#This Row],[Decision ref]:[Decision ref]],Input_ForRateCalc[#Headers],0)),"-")</f>
        <v>4.7878518853913743</v>
      </c>
      <c r="L183" s="47" cm="1">
        <f t="array" ref="L183">IFERROR(INDEX(Input_ForRateCalc[],MATCH($C183&amp;" - "&amp;L$100,Input_ForRateCalc[[Cost item]:[Cost item]],0),MATCH(Calc_TUV_Net_1[[#This Row],[Decision ref]:[Decision ref]],Input_ForRateCalc[#Headers],0)),"-")</f>
        <v>4</v>
      </c>
      <c r="M183" s="47" cm="1">
        <f t="array" ref="M183">IFERROR(INDEX(Input_ForRateCalc[],MATCH($C183&amp;" - "&amp;M$100,Input_ForRateCalc[[Cost item]:[Cost item]],0),MATCH(Calc_TUV_Net_1[[#This Row],[Decision ref]:[Decision ref]],Input_ForRateCalc[#Headers],0)),"-")</f>
        <v>4.8303303799999995</v>
      </c>
      <c r="N183" s="47" cm="1">
        <f t="array" ref="N183">IFERROR(INDEX(Input_ForRateCalc[],MATCH($C183&amp;" - "&amp;N$100,Input_ForRateCalc[[Cost item]:[Cost item]],0),MATCH(Calc_TUV_Net_1[[#This Row],[Decision ref]:[Decision ref]],Input_ForRateCalc[#Headers],0)),"-")</f>
        <v>4.63</v>
      </c>
      <c r="O183" s="47" cm="1">
        <f t="array" ref="O183">IFERROR(INDEX(Input_ForRateCalc[],MATCH($C183&amp;" - "&amp;O$100,Input_ForRateCalc[[Cost item]:[Cost item]],0),MATCH(Calc_TUV_Net_1[[#This Row],[Decision ref]:[Decision ref]],Input_ForRateCalc[#Headers],0)),"-")</f>
        <v>4.37</v>
      </c>
    </row>
    <row r="184" spans="3:15" hidden="1" outlineLevel="1" x14ac:dyDescent="0.25">
      <c r="C184" s="42" t="s">
        <v>411</v>
      </c>
      <c r="D184" s="60" t="str">
        <f>$D$5</f>
        <v>VDO 2024-25 - Draft</v>
      </c>
      <c r="E184" s="18" t="s">
        <v>316</v>
      </c>
      <c r="F184" s="60" t="str">
        <f>INDEX(Inputs!$C$17:$AZ$17,1,MATCH($D184,Inputs!$C$15:$AZ$15,0))</f>
        <v>D-NextVDO_Input</v>
      </c>
      <c r="G184" s="41"/>
      <c r="H184" s="18" t="s">
        <v>178</v>
      </c>
      <c r="I184" s="18" t="s">
        <v>220</v>
      </c>
      <c r="J184" s="42" t="s">
        <v>66</v>
      </c>
      <c r="K184" s="48">
        <f>SUMIFS(TUNet_Usage_Actual_1[Value],TUNet_Usage_Actual_1[Customer type],Calc_TUV_Net_1[[#This Row],[Customer type]],TUNet_Usage_Actual_1[Description],"Usage per customer")*SUM(
IFERROR(K182/100*SUMIFS(#REF!,#REF!,Calc_TUV_Net_1[[#This Row],[Customer type]],#REF!,"Peak"),0),
IFERROR(K183/100*SUMIFS(#REF!,#REF!,Calc_TUV_Net_1[[#This Row],[Customer type]],#REF!,"Off peak"),0))</f>
        <v>0</v>
      </c>
      <c r="L184" s="48">
        <f>SUMIFS(TUNet_Usage_Actual_1[Value],TUNet_Usage_Actual_1[Customer type],Calc_TUV_Net_1[[#This Row],[Customer type]],TUNet_Usage_Actual_1[Description],"Usage per customer")*SUM(
IFERROR(L182/100*SUMIFS(#REF!,#REF!,Calc_TUV_Net_1[[#This Row],[Customer type]],#REF!,"Peak"),0),
IFERROR(L183/100*SUMIFS(#REF!,#REF!,Calc_TUV_Net_1[[#This Row],[Customer type]],#REF!,"Off peak"),0))</f>
        <v>0</v>
      </c>
      <c r="M184" s="48">
        <f>SUMIFS(TUNet_Usage_Actual_1[Value],TUNet_Usage_Actual_1[Customer type],Calc_TUV_Net_1[[#This Row],[Customer type]],TUNet_Usage_Actual_1[Description],"Usage per customer")*SUM(
IFERROR(M182/100*SUMIFS(#REF!,#REF!,Calc_TUV_Net_1[[#This Row],[Customer type]],#REF!,"Peak"),0),
IFERROR(M183/100*SUMIFS(#REF!,#REF!,Calc_TUV_Net_1[[#This Row],[Customer type]],#REF!,"Off peak"),0))</f>
        <v>0</v>
      </c>
      <c r="N184" s="48">
        <f>SUMIFS(TUNet_Usage_Actual_1[Value],TUNet_Usage_Actual_1[Customer type],Calc_TUV_Net_1[[#This Row],[Customer type]],TUNet_Usage_Actual_1[Description],"Usage per customer")*SUM(
IFERROR(N182/100*SUMIFS(#REF!,#REF!,Calc_TUV_Net_1[[#This Row],[Customer type]],#REF!,"Peak"),0),
IFERROR(N183/100*SUMIFS(#REF!,#REF!,Calc_TUV_Net_1[[#This Row],[Customer type]],#REF!,"Off peak"),0))</f>
        <v>0</v>
      </c>
      <c r="O184" s="48">
        <f>SUMIFS(TUNet_Usage_Actual_1[Value],TUNet_Usage_Actual_1[Customer type],Calc_TUV_Net_1[[#This Row],[Customer type]],TUNet_Usage_Actual_1[Description],"Usage per customer")*SUM(
IFERROR(O182/100*SUMIFS(#REF!,#REF!,Calc_TUV_Net_1[[#This Row],[Customer type]],#REF!,"Peak"),0),
IFERROR(O183/100*SUMIFS(#REF!,#REF!,Calc_TUV_Net_1[[#This Row],[Customer type]],#REF!,"Off peak"),0))</f>
        <v>0</v>
      </c>
    </row>
    <row r="185" spans="3:15" hidden="1" outlineLevel="1" x14ac:dyDescent="0.25">
      <c r="C185" s="42" t="s">
        <v>437</v>
      </c>
      <c r="D185" s="60" t="str">
        <f>INDEX(Input_DecisionActual[[Decision]:[Decision]],MATCH($D$5,Input_DecisionActual[[VDO period]:[VDO period]],0),1)</f>
        <v>VDO 2023-24 - Final</v>
      </c>
      <c r="E185" s="18" t="s">
        <v>96</v>
      </c>
      <c r="F185" s="60" t="str">
        <f>IF($D185="-","-",INDEX(Inputs!$C$17:$AZ$17,1,MATCH($D185,Inputs!$C$15:$AZ$15,0)))</f>
        <v>F-CurrentVDO_Input</v>
      </c>
      <c r="G185" s="41"/>
      <c r="H185" s="18" t="s">
        <v>178</v>
      </c>
      <c r="I185" s="18" t="s">
        <v>65</v>
      </c>
      <c r="J185" s="42" t="s">
        <v>66</v>
      </c>
      <c r="K185" s="47" cm="1">
        <f t="array" ref="K185">IFERROR(INDEX(Input_ForRateCalc[],MATCH($C185&amp;" - "&amp;K$100,Input_ForRateCalc[[Cost item]:[Cost item]],0),MATCH(Calc_TUV_Net_1[[#This Row],[Decision ref]:[Decision ref]],Input_ForRateCalc[#Headers],0)),"-")</f>
        <v>13.09807741874299</v>
      </c>
      <c r="L185" s="47" t="str" cm="1">
        <f t="array" ref="L185">IFERROR(INDEX(Input_ForRateCalc[],MATCH($C185&amp;" - "&amp;L$100,Input_ForRateCalc[[Cost item]:[Cost item]],0),MATCH(Calc_TUV_Net_1[[#This Row],[Decision ref]:[Decision ref]],Input_ForRateCalc[#Headers],0)),"-")</f>
        <v>-</v>
      </c>
      <c r="M185" s="47" t="str" cm="1">
        <f t="array" ref="M185">IFERROR(INDEX(Input_ForRateCalc[],MATCH($C185&amp;" - "&amp;M$100,Input_ForRateCalc[[Cost item]:[Cost item]],0),MATCH(Calc_TUV_Net_1[[#This Row],[Decision ref]:[Decision ref]],Input_ForRateCalc[#Headers],0)),"-")</f>
        <v>-</v>
      </c>
      <c r="N185" s="47" t="str" cm="1">
        <f t="array" ref="N185">IFERROR(INDEX(Input_ForRateCalc[],MATCH($C185&amp;" - "&amp;N$100,Input_ForRateCalc[[Cost item]:[Cost item]],0),MATCH(Calc_TUV_Net_1[[#This Row],[Decision ref]:[Decision ref]],Input_ForRateCalc[#Headers],0)),"-")</f>
        <v>-</v>
      </c>
      <c r="O185" s="47" t="str" cm="1">
        <f t="array" ref="O185">IFERROR(INDEX(Input_ForRateCalc[],MATCH($C185&amp;" - "&amp;O$100,Input_ForRateCalc[[Cost item]:[Cost item]],0),MATCH(Calc_TUV_Net_1[[#This Row],[Decision ref]:[Decision ref]],Input_ForRateCalc[#Headers],0)),"-")</f>
        <v>-</v>
      </c>
    </row>
    <row r="186" spans="3:15" hidden="1" outlineLevel="1" x14ac:dyDescent="0.25">
      <c r="C186" s="42" t="s">
        <v>438</v>
      </c>
      <c r="D186" s="60" t="str">
        <f>INDEX(Input_DecisionActual[[Decision]:[Decision]],MATCH($D$5,Input_DecisionActual[[VDO period]:[VDO period]],0),1)</f>
        <v>VDO 2023-24 - Final</v>
      </c>
      <c r="E186" s="18" t="s">
        <v>96</v>
      </c>
      <c r="F186" s="60" t="str">
        <f>IF($D186="-","-",INDEX(Inputs!$C$17:$AZ$17,1,MATCH($D186,Inputs!$C$15:$AZ$15,0)))</f>
        <v>F-CurrentVDO_Input</v>
      </c>
      <c r="G186" s="41"/>
      <c r="H186" s="18" t="s">
        <v>178</v>
      </c>
      <c r="I186" s="18" t="s">
        <v>220</v>
      </c>
      <c r="J186" s="42" t="s">
        <v>66</v>
      </c>
      <c r="K186" s="47" cm="1">
        <f t="array" ref="K186">IFERROR(INDEX(Input_ForRateCalc[],MATCH($C186&amp;" - "&amp;K$100,Input_ForRateCalc[[Cost item]:[Cost item]],0),MATCH(Calc_TUV_Net_1[[#This Row],[Decision ref]:[Decision ref]],Input_ForRateCalc[#Headers],0)),"-")</f>
        <v>13.989069468735993</v>
      </c>
      <c r="L186" s="47" t="str" cm="1">
        <f t="array" ref="L186">IFERROR(INDEX(Input_ForRateCalc[],MATCH($C186&amp;" - "&amp;L$100,Input_ForRateCalc[[Cost item]:[Cost item]],0),MATCH(Calc_TUV_Net_1[[#This Row],[Decision ref]:[Decision ref]],Input_ForRateCalc[#Headers],0)),"-")</f>
        <v>-</v>
      </c>
      <c r="M186" s="47" t="str" cm="1">
        <f t="array" ref="M186">IFERROR(INDEX(Input_ForRateCalc[],MATCH($C186&amp;" - "&amp;M$100,Input_ForRateCalc[[Cost item]:[Cost item]],0),MATCH(Calc_TUV_Net_1[[#This Row],[Decision ref]:[Decision ref]],Input_ForRateCalc[#Headers],0)),"-")</f>
        <v>-</v>
      </c>
      <c r="N186" s="47" t="str" cm="1">
        <f t="array" ref="N186">IFERROR(INDEX(Input_ForRateCalc[],MATCH($C186&amp;" - "&amp;N$100,Input_ForRateCalc[[Cost item]:[Cost item]],0),MATCH(Calc_TUV_Net_1[[#This Row],[Decision ref]:[Decision ref]],Input_ForRateCalc[#Headers],0)),"-")</f>
        <v>-</v>
      </c>
      <c r="O186" s="47" t="str" cm="1">
        <f t="array" ref="O186">IFERROR(INDEX(Input_ForRateCalc[],MATCH($C186&amp;" - "&amp;O$100,Input_ForRateCalc[[Cost item]:[Cost item]],0),MATCH(Calc_TUV_Net_1[[#This Row],[Decision ref]:[Decision ref]],Input_ForRateCalc[#Headers],0)),"-")</f>
        <v>-</v>
      </c>
    </row>
    <row r="187" spans="3:15" hidden="1" outlineLevel="1" x14ac:dyDescent="0.25">
      <c r="C187" s="42" t="s">
        <v>439</v>
      </c>
      <c r="D187" s="60" t="str">
        <f>INDEX(Input_DecisionActual[[Decision]:[Decision]],MATCH($D$5,Input_DecisionActual[[VDO period]:[VDO period]],0),1)</f>
        <v>VDO 2023-24 - Final</v>
      </c>
      <c r="E187" s="18" t="s">
        <v>96</v>
      </c>
      <c r="F187" s="60" t="str">
        <f>IF($D187="-","-",INDEX(Inputs!$C$17:$AZ$17,1,MATCH($D187,Inputs!$C$15:$AZ$15,0)))</f>
        <v>F-CurrentVDO_Input</v>
      </c>
      <c r="G187" s="41"/>
      <c r="H187" s="18" t="s">
        <v>178</v>
      </c>
      <c r="I187" s="18" t="s">
        <v>220</v>
      </c>
      <c r="J187" s="42" t="s">
        <v>66</v>
      </c>
      <c r="K187" s="47" t="str" cm="1">
        <f t="array" ref="K187">IFERROR(INDEX(Input_ForRateCalc[],MATCH($C187&amp;" - "&amp;K$100,Input_ForRateCalc[[Cost item]:[Cost item]],0),MATCH(Calc_TUV_Net_1[[#This Row],[Decision ref]:[Decision ref]],Input_ForRateCalc[#Headers],0)),"-")</f>
        <v>-</v>
      </c>
      <c r="L187" s="47" cm="1">
        <f t="array" ref="L187">IFERROR(INDEX(Input_ForRateCalc[],MATCH($C187&amp;" - "&amp;L$100,Input_ForRateCalc[[Cost item]:[Cost item]],0),MATCH(Calc_TUV_Net_1[[#This Row],[Decision ref]:[Decision ref]],Input_ForRateCalc[#Headers],0)),"-")</f>
        <v>7.37</v>
      </c>
      <c r="M187" s="47" cm="1">
        <f t="array" ref="M187">IFERROR(INDEX(Input_ForRateCalc[],MATCH($C187&amp;" - "&amp;M$100,Input_ForRateCalc[[Cost item]:[Cost item]],0),MATCH(Calc_TUV_Net_1[[#This Row],[Decision ref]:[Decision ref]],Input_ForRateCalc[#Headers],0)),"-")</f>
        <v>8.9770000000000003</v>
      </c>
      <c r="N187" s="47" cm="1">
        <f t="array" ref="N187">IFERROR(INDEX(Input_ForRateCalc[],MATCH($C187&amp;" - "&amp;N$100,Input_ForRateCalc[[Cost item]:[Cost item]],0),MATCH(Calc_TUV_Net_1[[#This Row],[Decision ref]:[Decision ref]],Input_ForRateCalc[#Headers],0)),"-")</f>
        <v>8.77</v>
      </c>
      <c r="O187" s="47" cm="1">
        <f t="array" ref="O187">IFERROR(INDEX(Input_ForRateCalc[],MATCH($C187&amp;" - "&amp;O$100,Input_ForRateCalc[[Cost item]:[Cost item]],0),MATCH(Calc_TUV_Net_1[[#This Row],[Decision ref]:[Decision ref]],Input_ForRateCalc[#Headers],0)),"-")</f>
        <v>8.5400000000000009</v>
      </c>
    </row>
    <row r="188" spans="3:15" hidden="1" outlineLevel="1" x14ac:dyDescent="0.25">
      <c r="C188" s="42" t="s">
        <v>411</v>
      </c>
      <c r="D188" s="60" t="str">
        <f>INDEX(Input_DecisionActual[[Decision]:[Decision]],MATCH($D$5,Input_DecisionActual[[VDO period]:[VDO period]],0),1)</f>
        <v>VDO 2023-24 - Final</v>
      </c>
      <c r="E188" s="18" t="s">
        <v>96</v>
      </c>
      <c r="F188" s="60" t="str">
        <f>IF($D188="-","-",INDEX(Inputs!$C$17:$AZ$17,1,MATCH($D188,Inputs!$C$15:$AZ$15,0)))</f>
        <v>F-CurrentVDO_Input</v>
      </c>
      <c r="G188" s="41"/>
      <c r="H188" s="18" t="s">
        <v>178</v>
      </c>
      <c r="I188" s="18" t="s">
        <v>220</v>
      </c>
      <c r="J188" s="42" t="s">
        <v>66</v>
      </c>
      <c r="K188" s="48">
        <f>SUMIFS(TUNet_Usage_Actual_1[Value],TUNet_Usage_Actual_1[Customer type],Calc_TUV_Net_1[[#This Row],[Customer type]],TUNet_Usage_Actual_1[Description],"Usage per customer")*SUM(
IFERROR(K185/100*SUMIFS(#REF!,#REF!,Calc_TUV_Net_1[[#This Row],[Customer type]],#REF!,"Block 1"),0),
IFERROR(K186/100*SUMIFS(#REF!,#REF!,Calc_TUV_Net_1[[#This Row],[Customer type]],#REF!,"Balance"),0),
IFERROR(K187/100*SUMIFS(#REF!,#REF!,Calc_TUV_Net_1[[#This Row],[Customer type]],#REF!,"Single rate"),0))</f>
        <v>0</v>
      </c>
      <c r="L188" s="48">
        <f>SUMIFS(TUNet_Usage_Actual_1[Value],TUNet_Usage_Actual_1[Customer type],Calc_TUV_Net_1[[#This Row],[Customer type]],TUNet_Usage_Actual_1[Description],"Usage per customer")*SUM(
IFERROR(L185/100*SUMIFS(#REF!,#REF!,Calc_TUV_Net_1[[#This Row],[Customer type]],#REF!,"Block 1"),0),
IFERROR(L186/100*SUMIFS(#REF!,#REF!,Calc_TUV_Net_1[[#This Row],[Customer type]],#REF!,"Balance"),0),
IFERROR(L187/100*SUMIFS(#REF!,#REF!,Calc_TUV_Net_1[[#This Row],[Customer type]],#REF!,"Single rate"),0))</f>
        <v>0</v>
      </c>
      <c r="M188" s="48">
        <f>SUMIFS(TUNet_Usage_Actual_1[Value],TUNet_Usage_Actual_1[Customer type],Calc_TUV_Net_1[[#This Row],[Customer type]],TUNet_Usage_Actual_1[Description],"Usage per customer")*SUM(
IFERROR(M185/100*SUMIFS(#REF!,#REF!,Calc_TUV_Net_1[[#This Row],[Customer type]],#REF!,"Block 1"),0),
IFERROR(M186/100*SUMIFS(#REF!,#REF!,Calc_TUV_Net_1[[#This Row],[Customer type]],#REF!,"Balance"),0),
IFERROR(M187/100*SUMIFS(#REF!,#REF!,Calc_TUV_Net_1[[#This Row],[Customer type]],#REF!,"Single rate"),0))</f>
        <v>0</v>
      </c>
      <c r="N188" s="48">
        <f>SUMIFS(TUNet_Usage_Actual_1[Value],TUNet_Usage_Actual_1[Customer type],Calc_TUV_Net_1[[#This Row],[Customer type]],TUNet_Usage_Actual_1[Description],"Usage per customer")*SUM(
IFERROR(N185/100*SUMIFS(#REF!,#REF!,Calc_TUV_Net_1[[#This Row],[Customer type]],#REF!,"Block 1"),0),
IFERROR(N186/100*SUMIFS(#REF!,#REF!,Calc_TUV_Net_1[[#This Row],[Customer type]],#REF!,"Balance"),0),
IFERROR(N187/100*SUMIFS(#REF!,#REF!,Calc_TUV_Net_1[[#This Row],[Customer type]],#REF!,"Single rate"),0))</f>
        <v>0</v>
      </c>
      <c r="O188" s="48">
        <f>SUMIFS(TUNet_Usage_Actual_1[Value],TUNet_Usage_Actual_1[Customer type],Calc_TUV_Net_1[[#This Row],[Customer type]],TUNet_Usage_Actual_1[Description],"Usage per customer")*SUM(
IFERROR(O185/100*SUMIFS(#REF!,#REF!,Calc_TUV_Net_1[[#This Row],[Customer type]],#REF!,"Block 1"),0),
IFERROR(O186/100*SUMIFS(#REF!,#REF!,Calc_TUV_Net_1[[#This Row],[Customer type]],#REF!,"Balance"),0),
IFERROR(O187/100*SUMIFS(#REF!,#REF!,Calc_TUV_Net_1[[#This Row],[Customer type]],#REF!,"Single rate"),0))</f>
        <v>0</v>
      </c>
    </row>
    <row r="189" spans="3:15" hidden="1" outlineLevel="1" x14ac:dyDescent="0.25">
      <c r="C189" s="42" t="s">
        <v>412</v>
      </c>
      <c r="D189" s="42"/>
      <c r="E189" s="42"/>
      <c r="F189" s="42"/>
      <c r="G189" s="42"/>
      <c r="H189" s="18" t="s">
        <v>178</v>
      </c>
      <c r="I189" s="18" t="s">
        <v>65</v>
      </c>
      <c r="J189" s="42" t="s">
        <v>66</v>
      </c>
      <c r="K189" s="46" t="str">
        <f>IF(K188=0,"-",K184-K188)</f>
        <v>-</v>
      </c>
      <c r="L189" s="46" t="str">
        <f>IF(L188=0,"-",L184-L188)</f>
        <v>-</v>
      </c>
      <c r="M189" s="46" t="str">
        <f>IF(M188=0,"-",M184-M188)</f>
        <v>-</v>
      </c>
      <c r="N189" s="46" t="str">
        <f>IF(N188=0,"-",N184-N188)</f>
        <v>-</v>
      </c>
      <c r="O189" s="46" t="str">
        <f>IF(O188=0,"-",O184-O188)</f>
        <v>-</v>
      </c>
    </row>
    <row r="190" spans="3:15" hidden="1" outlineLevel="1" x14ac:dyDescent="0.25">
      <c r="C190" s="42" t="s">
        <v>414</v>
      </c>
      <c r="D190" s="60" t="str">
        <f>INDEX(Input_DecisionActual[[Decision]:[Decision]],MATCH($D$5,Input_DecisionActual[[VDO period]:[VDO period]],0),1)</f>
        <v>VDO 2023-24 - Final</v>
      </c>
      <c r="E190" s="18" t="s">
        <v>96</v>
      </c>
      <c r="F190" s="60" t="str">
        <f>IF($D190="-","-",INDEX(Inputs!$C$17:$AZ$17,1,MATCH($D190,Inputs!$C$15:$AZ$15,0)))</f>
        <v>F-CurrentVDO_Input</v>
      </c>
      <c r="G190" s="42"/>
      <c r="H190" s="18" t="s">
        <v>178</v>
      </c>
      <c r="I190" s="18" t="s">
        <v>65</v>
      </c>
      <c r="J190" s="42" t="s">
        <v>66</v>
      </c>
      <c r="K190" s="47" t="str" cm="1">
        <f t="array" ref="K190">IFERROR(SUM(K189:K189)*(INDEX(Inputs!$H$18:$U$141,MATCH("Retail operating margin",Input_ForRateCalc[[Cost item]:[Cost item]],0),MATCH(Calc_TUV_Net_1[[#This Row],[Decision ref]:[Decision ref]],Inputs!$H$17:$U$17,0))),"-")</f>
        <v>-</v>
      </c>
      <c r="L190" s="47" t="str" cm="1">
        <f t="array" ref="L190">IFERROR(SUM(L189:L189)*(INDEX(Inputs!$H$18:$U$141,MATCH("Retail operating margin",Input_ForRateCalc[[Cost item]:[Cost item]],0),MATCH(Calc_TUV_Net_1[[#This Row],[Decision ref]:[Decision ref]],Inputs!$H$17:$U$17,0))),"-")</f>
        <v>-</v>
      </c>
      <c r="M190" s="47" t="str" cm="1">
        <f t="array" ref="M190">IFERROR(SUM(M189:M189)*(INDEX(Inputs!$H$18:$U$141,MATCH("Retail operating margin",Input_ForRateCalc[[Cost item]:[Cost item]],0),MATCH(Calc_TUV_Net_1[[#This Row],[Decision ref]:[Decision ref]],Inputs!$H$17:$U$17,0))),"-")</f>
        <v>-</v>
      </c>
      <c r="N190" s="47" t="str" cm="1">
        <f t="array" ref="N190">IFERROR(SUM(N189:N189)*(INDEX(Inputs!$H$18:$U$141,MATCH("Retail operating margin",Input_ForRateCalc[[Cost item]:[Cost item]],0),MATCH(Calc_TUV_Net_1[[#This Row],[Decision ref]:[Decision ref]],Inputs!$H$17:$U$17,0))),"-")</f>
        <v>-</v>
      </c>
      <c r="O190" s="47" t="str" cm="1">
        <f t="array" ref="O190">IFERROR(SUM(O189:O189)*(INDEX(Inputs!$H$18:$U$141,MATCH("Retail operating margin",Input_ForRateCalc[[Cost item]:[Cost item]],0),MATCH(Calc_TUV_Net_1[[#This Row],[Decision ref]:[Decision ref]],Inputs!$H$17:$U$17,0))),"-")</f>
        <v>-</v>
      </c>
    </row>
    <row r="191" spans="3:15" hidden="1" outlineLevel="1" x14ac:dyDescent="0.25">
      <c r="C191" s="42" t="s">
        <v>415</v>
      </c>
      <c r="D191" s="42"/>
      <c r="E191" s="42"/>
      <c r="F191" s="42"/>
      <c r="G191" s="42"/>
      <c r="H191" s="18" t="s">
        <v>178</v>
      </c>
      <c r="I191" s="18" t="s">
        <v>65</v>
      </c>
      <c r="J191" s="42" t="s">
        <v>66</v>
      </c>
      <c r="K191" s="47" t="str">
        <f>IF(K188=0,"-",SUM(K189:K190)*GST)</f>
        <v>-</v>
      </c>
      <c r="L191" s="47" t="str">
        <f>IF(L188=0,"-",SUM(L189:L190)*GST)</f>
        <v>-</v>
      </c>
      <c r="M191" s="47" t="str">
        <f>IF(M188=0,"-",SUM(M189:M190)*GST)</f>
        <v>-</v>
      </c>
      <c r="N191" s="47" t="str">
        <f>IF(N188=0,"-",SUM(N189:N190)*GST)</f>
        <v>-</v>
      </c>
      <c r="O191" s="47" t="str">
        <f>IF(O188=0,"-",SUM(O189:O190)*GST)</f>
        <v>-</v>
      </c>
    </row>
    <row r="192" spans="3:15" hidden="1" outlineLevel="1" x14ac:dyDescent="0.25">
      <c r="C192" s="18" t="s">
        <v>456</v>
      </c>
      <c r="D192" s="42"/>
      <c r="E192" s="42"/>
      <c r="F192" s="42"/>
      <c r="H192" s="18" t="s">
        <v>178</v>
      </c>
      <c r="I192" s="18" t="s">
        <v>65</v>
      </c>
      <c r="J192" s="42" t="s">
        <v>66</v>
      </c>
      <c r="K192" s="47" t="str">
        <f>IF(K188=0,"-",SUM(K189:K191))</f>
        <v>-</v>
      </c>
      <c r="L192" s="47" t="str">
        <f>IF(L188=0,"-",SUM(L189:L191))</f>
        <v>-</v>
      </c>
      <c r="M192" s="47" t="str">
        <f>IF(M188=0,"-",SUM(M189:M191))</f>
        <v>-</v>
      </c>
      <c r="N192" s="47" t="str">
        <f>IF(N188=0,"-",SUM(N189:N191))</f>
        <v>-</v>
      </c>
      <c r="O192" s="47" t="str">
        <f>IF(O188=0,"-",SUM(O189:O191))</f>
        <v>-</v>
      </c>
    </row>
    <row r="193" spans="3:15" hidden="1" outlineLevel="1" x14ac:dyDescent="0.25">
      <c r="C193" s="42"/>
      <c r="D193" s="42"/>
      <c r="E193" s="42"/>
      <c r="F193" s="42"/>
      <c r="G193" s="42"/>
      <c r="H193" s="18"/>
      <c r="I193" s="18"/>
      <c r="J193" s="42"/>
      <c r="K193" s="47"/>
      <c r="L193" s="47"/>
      <c r="M193" s="47"/>
      <c r="N193" s="47"/>
      <c r="O193" s="47"/>
    </row>
    <row r="194" spans="3:15" ht="15.75" hidden="1" outlineLevel="1" x14ac:dyDescent="0.25">
      <c r="C194" s="1" t="s">
        <v>313</v>
      </c>
      <c r="D194" s="42"/>
      <c r="E194" s="42"/>
      <c r="F194" s="42"/>
      <c r="G194" s="30" t="str">
        <f>INDEX(Input_TU_YesNo[],MATCH(Calc_TUV_Net_1[[#This Row],[Cost item]],Input_TU_YesNo[Component],0),MATCH($D$5,Inputs!$C$210:$BM$210,0))</f>
        <v>No</v>
      </c>
      <c r="H194" s="42"/>
      <c r="I194" s="18"/>
      <c r="J194" s="18"/>
      <c r="K194" s="46"/>
      <c r="L194" s="18"/>
      <c r="M194" s="18"/>
      <c r="N194" s="18"/>
      <c r="O194" s="18"/>
    </row>
    <row r="195" spans="3:15" hidden="1" outlineLevel="1" x14ac:dyDescent="0.25">
      <c r="C195" s="40" t="s">
        <v>457</v>
      </c>
      <c r="D195" s="40"/>
      <c r="E195" s="40"/>
      <c r="F195" s="40"/>
      <c r="G195" s="49"/>
      <c r="H195" s="49"/>
      <c r="I195" s="18"/>
      <c r="J195" s="18"/>
      <c r="K195" s="46"/>
      <c r="L195" s="18"/>
      <c r="M195" s="18"/>
      <c r="N195" s="18"/>
      <c r="O195" s="18"/>
    </row>
    <row r="196" spans="3:15" hidden="1" outlineLevel="1" x14ac:dyDescent="0.25">
      <c r="C196" s="42" t="s">
        <v>458</v>
      </c>
      <c r="D196" s="60" t="str">
        <f>$D$5</f>
        <v>VDO 2024-25 - Draft</v>
      </c>
      <c r="E196" s="18" t="s">
        <v>316</v>
      </c>
      <c r="F196" s="60" t="str">
        <f>INDEX(Inputs!$C$17:$AZ$17,1,MATCH($D196,Inputs!$C$15:$AZ$15,0))</f>
        <v>D-NextVDO_Input</v>
      </c>
      <c r="G196" s="41"/>
      <c r="H196" s="18" t="s">
        <v>132</v>
      </c>
      <c r="I196" s="18" t="s">
        <v>65</v>
      </c>
      <c r="J196" s="42" t="s">
        <v>67</v>
      </c>
      <c r="K196" s="47" cm="1">
        <f t="array" ref="K196">IFERROR(INDEX(Input_ForRateCalc[],MATCH($C196&amp;" - "&amp;K$100,Input_ForRateCalc[[Cost item]:[Cost item]],0),MATCH(Calc_TUV_Net_1[[#This Row],[Decision ref]:[Decision ref]],Input_ForRateCalc[#Headers],0)),"-")*TUProp_Days_1</f>
        <v>0</v>
      </c>
      <c r="L196" s="47" cm="1">
        <f t="array" ref="L196">IFERROR(INDEX(Input_ForRateCalc[],MATCH($C196&amp;" - "&amp;L$100,Input_ForRateCalc[[Cost item]:[Cost item]],0),MATCH(Calc_TUV_Net_1[[#This Row],[Decision ref]:[Decision ref]],Input_ForRateCalc[#Headers],0)),"-")*TUProp_Days_1</f>
        <v>0</v>
      </c>
      <c r="M196" s="47" cm="1">
        <f t="array" ref="M196">IFERROR(INDEX(Input_ForRateCalc[],MATCH($C196&amp;" - "&amp;M$100,Input_ForRateCalc[[Cost item]:[Cost item]],0),MATCH(Calc_TUV_Net_1[[#This Row],[Decision ref]:[Decision ref]],Input_ForRateCalc[#Headers],0)),"-")*TUProp_Days_1</f>
        <v>0</v>
      </c>
      <c r="N196" s="47" cm="1">
        <f t="array" ref="N196">IFERROR(INDEX(Input_ForRateCalc[],MATCH($C196&amp;" - "&amp;N$100,Input_ForRateCalc[[Cost item]:[Cost item]],0),MATCH(Calc_TUV_Net_1[[#This Row],[Decision ref]:[Decision ref]],Input_ForRateCalc[#Headers],0)),"-")*TUProp_Days_1</f>
        <v>0</v>
      </c>
      <c r="O196" s="47" cm="1">
        <f t="array" ref="O196">IFERROR(INDEX(Input_ForRateCalc[],MATCH($C196&amp;" - "&amp;O$100,Input_ForRateCalc[[Cost item]:[Cost item]],0),MATCH(Calc_TUV_Net_1[[#This Row],[Decision ref]:[Decision ref]],Input_ForRateCalc[#Headers],0)),"-")*TUProp_Days_1</f>
        <v>0</v>
      </c>
    </row>
    <row r="197" spans="3:15" hidden="1" outlineLevel="1" x14ac:dyDescent="0.25">
      <c r="C197" s="42" t="s">
        <v>357</v>
      </c>
      <c r="D197" s="60" t="str">
        <f>$D$5</f>
        <v>VDO 2024-25 - Draft</v>
      </c>
      <c r="E197" s="18" t="s">
        <v>316</v>
      </c>
      <c r="F197" s="60" t="str">
        <f>INDEX(Inputs!$C$17:$AZ$17,1,MATCH($D197,Inputs!$C$15:$AZ$15,0))</f>
        <v>D-NextVDO_Input</v>
      </c>
      <c r="G197" s="41"/>
      <c r="H197" s="18" t="s">
        <v>132</v>
      </c>
      <c r="I197" s="18" t="s">
        <v>65</v>
      </c>
      <c r="J197" s="42" t="s">
        <v>67</v>
      </c>
      <c r="K197" s="47" cm="1">
        <f t="array" ref="K197">IFERROR(INDEX(Input_ForRateCalc[],MATCH($C197&amp;" - "&amp;K$100,Input_ForRateCalc[[Cost item]:[Cost item]],0),MATCH(Calc_TUV_Net_1[[#This Row],[Decision ref]:[Decision ref]],Input_ForRateCalc[#Headers],0)),"-")*TUProp_Days_1</f>
        <v>0</v>
      </c>
      <c r="L197" s="47" cm="1">
        <f t="array" ref="L197">IFERROR(INDEX(Input_ForRateCalc[],MATCH($C197&amp;" - "&amp;L$100,Input_ForRateCalc[[Cost item]:[Cost item]],0),MATCH(Calc_TUV_Net_1[[#This Row],[Decision ref]:[Decision ref]],Input_ForRateCalc[#Headers],0)),"-")*TUProp_Days_1</f>
        <v>0</v>
      </c>
      <c r="M197" s="47" cm="1">
        <f t="array" ref="M197">IFERROR(INDEX(Input_ForRateCalc[],MATCH($C197&amp;" - "&amp;M$100,Input_ForRateCalc[[Cost item]:[Cost item]],0),MATCH(Calc_TUV_Net_1[[#This Row],[Decision ref]:[Decision ref]],Input_ForRateCalc[#Headers],0)),"-")*TUProp_Days_1</f>
        <v>0</v>
      </c>
      <c r="N197" s="47" cm="1">
        <f t="array" ref="N197">IFERROR(INDEX(Input_ForRateCalc[],MATCH($C197&amp;" - "&amp;N$100,Input_ForRateCalc[[Cost item]:[Cost item]],0),MATCH(Calc_TUV_Net_1[[#This Row],[Decision ref]:[Decision ref]],Input_ForRateCalc[#Headers],0)),"-")*TUProp_Days_1</f>
        <v>0</v>
      </c>
      <c r="O197" s="47" cm="1">
        <f t="array" ref="O197">IFERROR(INDEX(Input_ForRateCalc[],MATCH($C197&amp;" - "&amp;O$100,Input_ForRateCalc[[Cost item]:[Cost item]],0),MATCH(Calc_TUV_Net_1[[#This Row],[Decision ref]:[Decision ref]],Input_ForRateCalc[#Headers],0)),"-")*TUProp_Days_1</f>
        <v>0</v>
      </c>
    </row>
    <row r="198" spans="3:15" hidden="1" outlineLevel="1" x14ac:dyDescent="0.25">
      <c r="C198" s="42" t="s">
        <v>411</v>
      </c>
      <c r="D198" s="60" t="str">
        <f>$D$5</f>
        <v>VDO 2024-25 - Draft</v>
      </c>
      <c r="E198" s="18" t="s">
        <v>316</v>
      </c>
      <c r="F198" s="60" t="str">
        <f>INDEX(Inputs!$C$17:$AZ$17,1,MATCH($D198,Inputs!$C$15:$AZ$15,0))</f>
        <v>D-NextVDO_Input</v>
      </c>
      <c r="G198" s="41"/>
      <c r="H198" s="18" t="s">
        <v>132</v>
      </c>
      <c r="I198" s="18" t="s">
        <v>65</v>
      </c>
      <c r="J198" s="42" t="s">
        <v>67</v>
      </c>
      <c r="K198" s="45">
        <f>IFERROR(SUM(K196:K197),"-")</f>
        <v>0</v>
      </c>
      <c r="L198" s="45">
        <f>IFERROR(SUM(L196:L197),"-")</f>
        <v>0</v>
      </c>
      <c r="M198" s="45">
        <f>IFERROR(SUM(M196:M197),"-")</f>
        <v>0</v>
      </c>
      <c r="N198" s="45">
        <f>IFERROR(SUM(N196:N197),"-")</f>
        <v>0</v>
      </c>
      <c r="O198" s="45">
        <f>IFERROR(SUM(O196:O197),"-")</f>
        <v>0</v>
      </c>
    </row>
    <row r="199" spans="3:15" hidden="1" outlineLevel="1" x14ac:dyDescent="0.25">
      <c r="C199" s="42" t="s">
        <v>445</v>
      </c>
      <c r="D199" s="60" t="str">
        <f>INDEX(Input_DecisionActual[[Decision]:[Decision]],MATCH($D$5,Input_DecisionActual[[VDO period]:[VDO period]],0),1)</f>
        <v>VDO 2023-24 - Final</v>
      </c>
      <c r="E199" s="18" t="s">
        <v>96</v>
      </c>
      <c r="F199" s="60" t="str">
        <f>IF($D199="-","-",INDEX(Inputs!$C$17:$AZ$17,1,MATCH($D199,Inputs!$C$15:$AZ$15,0)))</f>
        <v>F-CurrentVDO_Input</v>
      </c>
      <c r="G199" s="41"/>
      <c r="H199" s="18" t="s">
        <v>132</v>
      </c>
      <c r="I199" s="18" t="s">
        <v>65</v>
      </c>
      <c r="J199" s="42" t="s">
        <v>67</v>
      </c>
      <c r="K199" s="47" cm="1">
        <f t="array" ref="K199">IFERROR(INDEX(Input_ForRateCalc[],MATCH($C199&amp;" - "&amp;K$100,Input_ForRateCalc[[Cost item]:[Cost item]],0),MATCH(Calc_TUV_Net_1[[#This Row],[Decision ref]:[Decision ref]],Input_ForRateCalc[#Headers],0)),"-")*TUProp_Days_1</f>
        <v>0</v>
      </c>
      <c r="L199" s="47" cm="1">
        <f t="array" ref="L199">IFERROR(INDEX(Input_ForRateCalc[],MATCH($C199&amp;" - "&amp;L$100,Input_ForRateCalc[[Cost item]:[Cost item]],0),MATCH(Calc_TUV_Net_1[[#This Row],[Decision ref]:[Decision ref]],Input_ForRateCalc[#Headers],0)),"-")*TUProp_Days_1</f>
        <v>0</v>
      </c>
      <c r="M199" s="47" cm="1">
        <f t="array" ref="M199">IFERROR(INDEX(Input_ForRateCalc[],MATCH($C199&amp;" - "&amp;M$100,Input_ForRateCalc[[Cost item]:[Cost item]],0),MATCH(Calc_TUV_Net_1[[#This Row],[Decision ref]:[Decision ref]],Input_ForRateCalc[#Headers],0)),"-")*TUProp_Days_1</f>
        <v>0</v>
      </c>
      <c r="N199" s="47" cm="1">
        <f t="array" ref="N199">IFERROR(INDEX(Input_ForRateCalc[],MATCH($C199&amp;" - "&amp;N$100,Input_ForRateCalc[[Cost item]:[Cost item]],0),MATCH(Calc_TUV_Net_1[[#This Row],[Decision ref]:[Decision ref]],Input_ForRateCalc[#Headers],0)),"-")*TUProp_Days_1</f>
        <v>0</v>
      </c>
      <c r="O199" s="47" cm="1">
        <f t="array" ref="O199">IFERROR(INDEX(Input_ForRateCalc[],MATCH($C199&amp;" - "&amp;O$100,Input_ForRateCalc[[Cost item]:[Cost item]],0),MATCH(Calc_TUV_Net_1[[#This Row],[Decision ref]:[Decision ref]],Input_ForRateCalc[#Headers],0)),"-")*TUProp_Days_1</f>
        <v>0</v>
      </c>
    </row>
    <row r="200" spans="3:15" hidden="1" outlineLevel="1" x14ac:dyDescent="0.25">
      <c r="C200" s="42" t="s">
        <v>357</v>
      </c>
      <c r="D200" s="60" t="str">
        <f>INDEX(Input_DecisionActual[[Decision]:[Decision]],MATCH($D$5,Input_DecisionActual[[VDO period]:[VDO period]],0),1)</f>
        <v>VDO 2023-24 - Final</v>
      </c>
      <c r="E200" s="18" t="s">
        <v>96</v>
      </c>
      <c r="F200" s="60" t="str">
        <f>IF($D200="-","-",INDEX(Inputs!$C$17:$AZ$17,1,MATCH($D200,Inputs!$C$15:$AZ$15,0)))</f>
        <v>F-CurrentVDO_Input</v>
      </c>
      <c r="G200" s="41"/>
      <c r="H200" s="18" t="s">
        <v>132</v>
      </c>
      <c r="I200" s="18" t="s">
        <v>65</v>
      </c>
      <c r="J200" s="42" t="s">
        <v>67</v>
      </c>
      <c r="K200" s="47" cm="1">
        <f t="array" ref="K200">IFERROR(INDEX(Input_ForRateCalc[],MATCH($C200&amp;" - "&amp;K$100,Input_ForRateCalc[[Cost item]:[Cost item]],0),MATCH(Calc_TUV_Net_1[[#This Row],[Decision ref]:[Decision ref]],Input_ForRateCalc[#Headers],0)),"-")*TUProp_Days_1</f>
        <v>0</v>
      </c>
      <c r="L200" s="47" cm="1">
        <f t="array" ref="L200">IFERROR(INDEX(Input_ForRateCalc[],MATCH($C200&amp;" - "&amp;L$100,Input_ForRateCalc[[Cost item]:[Cost item]],0),MATCH(Calc_TUV_Net_1[[#This Row],[Decision ref]:[Decision ref]],Input_ForRateCalc[#Headers],0)),"-")*TUProp_Days_1</f>
        <v>0</v>
      </c>
      <c r="M200" s="47" cm="1">
        <f t="array" ref="M200">IFERROR(INDEX(Input_ForRateCalc[],MATCH($C200&amp;" - "&amp;M$100,Input_ForRateCalc[[Cost item]:[Cost item]],0),MATCH(Calc_TUV_Net_1[[#This Row],[Decision ref]:[Decision ref]],Input_ForRateCalc[#Headers],0)),"-")*TUProp_Days_1</f>
        <v>0</v>
      </c>
      <c r="N200" s="47" cm="1">
        <f t="array" ref="N200">IFERROR(INDEX(Input_ForRateCalc[],MATCH($C200&amp;" - "&amp;N$100,Input_ForRateCalc[[Cost item]:[Cost item]],0),MATCH(Calc_TUV_Net_1[[#This Row],[Decision ref]:[Decision ref]],Input_ForRateCalc[#Headers],0)),"-")*TUProp_Days_1</f>
        <v>0</v>
      </c>
      <c r="O200" s="47" cm="1">
        <f t="array" ref="O200">IFERROR(INDEX(Input_ForRateCalc[],MATCH($C200&amp;" - "&amp;O$100,Input_ForRateCalc[[Cost item]:[Cost item]],0),MATCH(Calc_TUV_Net_1[[#This Row],[Decision ref]:[Decision ref]],Input_ForRateCalc[#Headers],0)),"-")*TUProp_Days_1</f>
        <v>0</v>
      </c>
    </row>
    <row r="201" spans="3:15" hidden="1" outlineLevel="1" x14ac:dyDescent="0.25">
      <c r="C201" s="42" t="s">
        <v>411</v>
      </c>
      <c r="D201" s="60" t="str">
        <f>INDEX(Input_DecisionActual[[Decision]:[Decision]],MATCH($D$5,Input_DecisionActual[[VDO period]:[VDO period]],0),1)</f>
        <v>VDO 2023-24 - Final</v>
      </c>
      <c r="E201" s="18" t="s">
        <v>96</v>
      </c>
      <c r="F201" s="60" t="str">
        <f>IF($D201="-","-",INDEX(Inputs!$C$17:$AZ$17,1,MATCH($D201,Inputs!$C$15:$AZ$15,0)))</f>
        <v>F-CurrentVDO_Input</v>
      </c>
      <c r="G201" s="41"/>
      <c r="H201" s="18" t="s">
        <v>132</v>
      </c>
      <c r="I201" s="18" t="s">
        <v>65</v>
      </c>
      <c r="J201" s="42" t="s">
        <v>67</v>
      </c>
      <c r="K201" s="46">
        <f>SUM(K199:K200)</f>
        <v>0</v>
      </c>
      <c r="L201" s="46">
        <f>SUM(L199:L200)</f>
        <v>0</v>
      </c>
      <c r="M201" s="46">
        <f>SUM(M199:M200)</f>
        <v>0</v>
      </c>
      <c r="N201" s="46">
        <f>SUM(N199:N200)</f>
        <v>0</v>
      </c>
      <c r="O201" s="46">
        <f>SUM(O199:O200)</f>
        <v>0</v>
      </c>
    </row>
    <row r="202" spans="3:15" hidden="1" outlineLevel="1" x14ac:dyDescent="0.25">
      <c r="C202" s="42" t="s">
        <v>412</v>
      </c>
      <c r="D202" s="18"/>
      <c r="E202" s="18"/>
      <c r="F202" s="18"/>
      <c r="G202" s="42"/>
      <c r="H202" s="18" t="s">
        <v>132</v>
      </c>
      <c r="I202" s="18" t="s">
        <v>65</v>
      </c>
      <c r="J202" s="42" t="s">
        <v>67</v>
      </c>
      <c r="K202" s="46" t="str">
        <f>IF(K201=0,"-",K198-K201)</f>
        <v>-</v>
      </c>
      <c r="L202" s="46" t="str">
        <f>IF(L201=0,"-",L198-L201)</f>
        <v>-</v>
      </c>
      <c r="M202" s="46" t="str">
        <f>IF(M201=0,"-",M198-M201)</f>
        <v>-</v>
      </c>
      <c r="N202" s="46" t="str">
        <f>IF(N201=0,"-",N198-N201)</f>
        <v>-</v>
      </c>
      <c r="O202" s="46" t="str">
        <f>IF(O201=0,"-",O198-O201)</f>
        <v>-</v>
      </c>
    </row>
    <row r="203" spans="3:15" hidden="1" outlineLevel="1" x14ac:dyDescent="0.25">
      <c r="C203" s="42" t="s">
        <v>414</v>
      </c>
      <c r="D203" s="60" t="str">
        <f>INDEX(Input_DecisionActual[[Decision]:[Decision]],MATCH($D$5,Input_DecisionActual[[VDO period]:[VDO period]],0),1)</f>
        <v>VDO 2023-24 - Final</v>
      </c>
      <c r="E203" s="18" t="s">
        <v>96</v>
      </c>
      <c r="F203" s="60" t="str">
        <f>IF($D203="-","-",INDEX(Inputs!$C$17:$AZ$17,1,MATCH($D203,Inputs!$C$15:$AZ$15,0)))</f>
        <v>F-CurrentVDO_Input</v>
      </c>
      <c r="G203" s="42"/>
      <c r="H203" s="18" t="s">
        <v>132</v>
      </c>
      <c r="I203" s="18" t="s">
        <v>65</v>
      </c>
      <c r="J203" s="42" t="s">
        <v>67</v>
      </c>
      <c r="K203" s="47" t="str" cm="1">
        <f t="array" ref="K203">IFERROR(SUM(K202:K202)*(INDEX(Inputs!$H$18:$U$141,MATCH("Retail operating margin",Input_ForRateCalc[[Cost item]:[Cost item]],0),MATCH(Calc_TUV_Net_1[[#This Row],[Decision ref]:[Decision ref]],Inputs!$H$17:$U$17,0))),"-")</f>
        <v>-</v>
      </c>
      <c r="L203" s="47" t="str" cm="1">
        <f t="array" ref="L203">IFERROR(SUM(L202:L202)*(INDEX(Inputs!$H$18:$U$141,MATCH("Retail operating margin",Input_ForRateCalc[[Cost item]:[Cost item]],0),MATCH(Calc_TUV_Net_1[[#This Row],[Decision ref]:[Decision ref]],Inputs!$H$17:$U$17,0))),"-")</f>
        <v>-</v>
      </c>
      <c r="M203" s="47" t="str" cm="1">
        <f t="array" ref="M203">IFERROR(SUM(M202:M202)*(INDEX(Inputs!$H$18:$U$141,MATCH("Retail operating margin",Input_ForRateCalc[[Cost item]:[Cost item]],0),MATCH(Calc_TUV_Net_1[[#This Row],[Decision ref]:[Decision ref]],Inputs!$H$17:$U$17,0))),"-")</f>
        <v>-</v>
      </c>
      <c r="N203" s="47" t="str" cm="1">
        <f t="array" ref="N203">IFERROR(SUM(N202:N202)*(INDEX(Inputs!$H$18:$U$141,MATCH("Retail operating margin",Input_ForRateCalc[[Cost item]:[Cost item]],0),MATCH(Calc_TUV_Net_1[[#This Row],[Decision ref]:[Decision ref]],Inputs!$H$17:$U$17,0))),"-")</f>
        <v>-</v>
      </c>
      <c r="O203" s="47" t="str" cm="1">
        <f t="array" ref="O203">IFERROR(SUM(O202:O202)*(INDEX(Inputs!$H$18:$U$141,MATCH("Retail operating margin",Input_ForRateCalc[[Cost item]:[Cost item]],0),MATCH(Calc_TUV_Net_1[[#This Row],[Decision ref]:[Decision ref]],Inputs!$H$17:$U$17,0))),"-")</f>
        <v>-</v>
      </c>
    </row>
    <row r="204" spans="3:15" hidden="1" outlineLevel="1" x14ac:dyDescent="0.25">
      <c r="C204" s="42" t="s">
        <v>415</v>
      </c>
      <c r="D204" s="18"/>
      <c r="E204" s="18"/>
      <c r="F204" s="18"/>
      <c r="G204" s="42"/>
      <c r="H204" s="18" t="s">
        <v>132</v>
      </c>
      <c r="I204" s="18" t="s">
        <v>65</v>
      </c>
      <c r="J204" s="42" t="s">
        <v>67</v>
      </c>
      <c r="K204" s="47" t="str">
        <f>IF(K201=0,"-",SUM(K202:K203)*GST)</f>
        <v>-</v>
      </c>
      <c r="L204" s="47" t="str">
        <f>IF(L201=0,"-",SUM(L202:L203)*GST)</f>
        <v>-</v>
      </c>
      <c r="M204" s="47" t="str">
        <f>IF(M201=0,"-",SUM(M202:M203)*GST)</f>
        <v>-</v>
      </c>
      <c r="N204" s="47" t="str">
        <f>IF(N201=0,"-",SUM(N202:N203)*GST)</f>
        <v>-</v>
      </c>
      <c r="O204" s="47" t="str">
        <f>IF(O201=0,"-",SUM(O202:O203)*GST)</f>
        <v>-</v>
      </c>
    </row>
    <row r="205" spans="3:15" hidden="1" outlineLevel="1" x14ac:dyDescent="0.25">
      <c r="C205" s="18" t="s">
        <v>452</v>
      </c>
      <c r="D205" s="18"/>
      <c r="E205" s="18"/>
      <c r="F205" s="18"/>
      <c r="G205" s="42"/>
      <c r="H205" s="18" t="s">
        <v>132</v>
      </c>
      <c r="I205" s="18" t="s">
        <v>65</v>
      </c>
      <c r="J205" s="42" t="s">
        <v>67</v>
      </c>
      <c r="K205" s="47" t="str">
        <f>IF(K201=0,"-",SUM(K202:K204))</f>
        <v>-</v>
      </c>
      <c r="L205" s="47" t="str">
        <f>IF(L201=0,"-",SUM(L202:L204))</f>
        <v>-</v>
      </c>
      <c r="M205" s="47" t="str">
        <f>IF(M201=0,"-",SUM(M202:M204))</f>
        <v>-</v>
      </c>
      <c r="N205" s="47" t="str">
        <f>IF(N201=0,"-",SUM(N202:N204))</f>
        <v>-</v>
      </c>
      <c r="O205" s="47" t="str">
        <f>IF(O201=0,"-",SUM(O202:O204))</f>
        <v>-</v>
      </c>
    </row>
    <row r="206" spans="3:15" hidden="1" outlineLevel="1" x14ac:dyDescent="0.25">
      <c r="C206" s="42"/>
      <c r="D206" s="42"/>
      <c r="E206" s="42"/>
      <c r="F206" s="42"/>
      <c r="H206" s="42"/>
      <c r="I206" s="18"/>
      <c r="J206" s="18"/>
      <c r="K206" s="90"/>
      <c r="L206" s="90"/>
      <c r="M206" s="90"/>
      <c r="N206" s="90"/>
      <c r="O206" s="90"/>
    </row>
    <row r="207" spans="3:15" hidden="1" outlineLevel="1" x14ac:dyDescent="0.25">
      <c r="C207" s="40" t="s">
        <v>459</v>
      </c>
      <c r="D207" s="42"/>
      <c r="E207" s="42"/>
      <c r="F207" s="42"/>
      <c r="G207" s="49"/>
      <c r="H207" s="42"/>
      <c r="I207" s="18"/>
      <c r="J207" s="18"/>
      <c r="K207" s="90"/>
      <c r="L207" s="90"/>
      <c r="M207" s="90"/>
      <c r="N207" s="90"/>
      <c r="O207" s="90"/>
    </row>
    <row r="208" spans="3:15" hidden="1" outlineLevel="1" x14ac:dyDescent="0.25">
      <c r="C208" s="42" t="s">
        <v>460</v>
      </c>
      <c r="D208" s="60" t="str">
        <f>$D$5</f>
        <v>VDO 2024-25 - Draft</v>
      </c>
      <c r="E208" s="18" t="s">
        <v>316</v>
      </c>
      <c r="F208" s="60" t="str">
        <f>INDEX(Inputs!$C$17:$AZ$17,1,MATCH($D208,Inputs!$C$15:$AZ$15,0))</f>
        <v>D-NextVDO_Input</v>
      </c>
      <c r="G208" s="42"/>
      <c r="H208" s="18" t="s">
        <v>178</v>
      </c>
      <c r="I208" s="18" t="s">
        <v>220</v>
      </c>
      <c r="J208" s="42" t="s">
        <v>67</v>
      </c>
      <c r="K208" s="47" cm="1">
        <f t="array" ref="K208">IFERROR(INDEX(Input_ForRateCalc[],MATCH($C208&amp;" - "&amp;K$100,Input_ForRateCalc[[Cost item]:[Cost item]],0),MATCH(Calc_TUV_Net_1[[#This Row],[Decision ref]:[Decision ref]],Input_ForRateCalc[#Headers],0)),"-")</f>
        <v>20.422266911355628</v>
      </c>
      <c r="L208" s="47" cm="1">
        <f t="array" ref="L208">IFERROR(INDEX(Input_ForRateCalc[],MATCH($C208&amp;" - "&amp;L$100,Input_ForRateCalc[[Cost item]:[Cost item]],0),MATCH(Calc_TUV_Net_1[[#This Row],[Decision ref]:[Decision ref]],Input_ForRateCalc[#Headers],0)),"-")</f>
        <v>14.46</v>
      </c>
      <c r="M208" s="47" cm="1">
        <f t="array" ref="M208">IFERROR(INDEX(Input_ForRateCalc[],MATCH($C208&amp;" - "&amp;M$100,Input_ForRateCalc[[Cost item]:[Cost item]],0),MATCH(Calc_TUV_Net_1[[#This Row],[Decision ref]:[Decision ref]],Input_ForRateCalc[#Headers],0)),"-")</f>
        <v>17.037500000000001</v>
      </c>
      <c r="N208" s="47" cm="1">
        <f t="array" ref="N208">IFERROR(INDEX(Input_ForRateCalc[],MATCH($C208&amp;" - "&amp;N$100,Input_ForRateCalc[[Cost item]:[Cost item]],0),MATCH(Calc_TUV_Net_1[[#This Row],[Decision ref]:[Decision ref]],Input_ForRateCalc[#Headers],0)),"-")</f>
        <v>18.86</v>
      </c>
      <c r="O208" s="47" cm="1">
        <f t="array" ref="O208">IFERROR(INDEX(Input_ForRateCalc[],MATCH($C208&amp;" - "&amp;O$100,Input_ForRateCalc[[Cost item]:[Cost item]],0),MATCH(Calc_TUV_Net_1[[#This Row],[Decision ref]:[Decision ref]],Input_ForRateCalc[#Headers],0)),"-")</f>
        <v>16.18</v>
      </c>
    </row>
    <row r="209" spans="3:15" hidden="1" outlineLevel="1" x14ac:dyDescent="0.25">
      <c r="C209" s="42" t="s">
        <v>461</v>
      </c>
      <c r="D209" s="60" t="str">
        <f>$D$5</f>
        <v>VDO 2024-25 - Draft</v>
      </c>
      <c r="E209" s="18" t="s">
        <v>316</v>
      </c>
      <c r="F209" s="60" t="str">
        <f>INDEX(Inputs!$C$17:$AZ$17,1,MATCH($D209,Inputs!$C$15:$AZ$15,0))</f>
        <v>D-NextVDO_Input</v>
      </c>
      <c r="G209" s="49"/>
      <c r="H209" s="18" t="s">
        <v>178</v>
      </c>
      <c r="I209" s="18" t="s">
        <v>220</v>
      </c>
      <c r="J209" s="42" t="s">
        <v>67</v>
      </c>
      <c r="K209" s="47" cm="1">
        <f t="array" ref="K209">IFERROR(INDEX(Input_ForRateCalc[],MATCH($C209&amp;" - "&amp;K$100,Input_ForRateCalc[[Cost item]:[Cost item]],0),MATCH(Calc_TUV_Net_1[[#This Row],[Decision ref]:[Decision ref]],Input_ForRateCalc[#Headers],0)),"-")</f>
        <v>4.8104057633506638</v>
      </c>
      <c r="L209" s="47" cm="1">
        <f t="array" ref="L209">IFERROR(INDEX(Input_ForRateCalc[],MATCH($C209&amp;" - "&amp;L$100,Input_ForRateCalc[[Cost item]:[Cost item]],0),MATCH(Calc_TUV_Net_1[[#This Row],[Decision ref]:[Decision ref]],Input_ForRateCalc[#Headers],0)),"-")</f>
        <v>3.22</v>
      </c>
      <c r="M209" s="47" cm="1">
        <f t="array" ref="M209">IFERROR(INDEX(Input_ForRateCalc[],MATCH($C209&amp;" - "&amp;M$100,Input_ForRateCalc[[Cost item]:[Cost item]],0),MATCH(Calc_TUV_Net_1[[#This Row],[Decision ref]:[Decision ref]],Input_ForRateCalc[#Headers],0)),"-")</f>
        <v>3.5709</v>
      </c>
      <c r="N209" s="47" cm="1">
        <f t="array" ref="N209">IFERROR(INDEX(Input_ForRateCalc[],MATCH($C209&amp;" - "&amp;N$100,Input_ForRateCalc[[Cost item]:[Cost item]],0),MATCH(Calc_TUV_Net_1[[#This Row],[Decision ref]:[Decision ref]],Input_ForRateCalc[#Headers],0)),"-")</f>
        <v>4.1900000000000004</v>
      </c>
      <c r="O209" s="47" cm="1">
        <f t="array" ref="O209">IFERROR(INDEX(Input_ForRateCalc[],MATCH($C209&amp;" - "&amp;O$100,Input_ForRateCalc[[Cost item]:[Cost item]],0),MATCH(Calc_TUV_Net_1[[#This Row],[Decision ref]:[Decision ref]],Input_ForRateCalc[#Headers],0)),"-")</f>
        <v>3.6</v>
      </c>
    </row>
    <row r="210" spans="3:15" hidden="1" outlineLevel="1" x14ac:dyDescent="0.25">
      <c r="C210" s="42" t="s">
        <v>411</v>
      </c>
      <c r="D210" s="60" t="str">
        <f>$D$5</f>
        <v>VDO 2024-25 - Draft</v>
      </c>
      <c r="E210" s="18" t="s">
        <v>316</v>
      </c>
      <c r="F210" s="60" t="str">
        <f>INDEX(Inputs!$C$17:$AZ$17,1,MATCH($D210,Inputs!$C$15:$AZ$15,0))</f>
        <v>D-NextVDO_Input</v>
      </c>
      <c r="G210" s="41"/>
      <c r="H210" s="18" t="s">
        <v>178</v>
      </c>
      <c r="I210" s="18" t="s">
        <v>220</v>
      </c>
      <c r="J210" s="42" t="s">
        <v>67</v>
      </c>
      <c r="K210" s="48">
        <f>SUMIFS(TUNet_Usage_Actual_1[Value],TUNet_Usage_Actual_1[Customer type],Calc_TUV_Net_1[[#This Row],[Customer type]],TUNet_Usage_Actual_1[Description],"Usage per customer")*SUM(
IFERROR(K208/100*SUMIFS(#REF!,#REF!,Calc_TUV_Net_1[[#This Row],[Customer type]],#REF!,"Peak"),0),
IFERROR(K209/100*SUMIFS(#REF!,#REF!,Calc_TUV_Net_1[[#This Row],[Customer type]],#REF!,"Off peak"),0))</f>
        <v>0</v>
      </c>
      <c r="L210" s="48">
        <f>SUMIFS(TUNet_Usage_Actual_1[Value],TUNet_Usage_Actual_1[Customer type],Calc_TUV_Net_1[[#This Row],[Customer type]],TUNet_Usage_Actual_1[Description],"Usage per customer")*SUM(
IFERROR(L208/100*SUMIFS(#REF!,#REF!,Calc_TUV_Net_1[[#This Row],[Customer type]],#REF!,"Peak"),0),
IFERROR(L209/100*SUMIFS(#REF!,#REF!,Calc_TUV_Net_1[[#This Row],[Customer type]],#REF!,"Off peak"),0))</f>
        <v>0</v>
      </c>
      <c r="M210" s="48">
        <f>SUMIFS(TUNet_Usage_Actual_1[Value],TUNet_Usage_Actual_1[Customer type],Calc_TUV_Net_1[[#This Row],[Customer type]],TUNet_Usage_Actual_1[Description],"Usage per customer")*SUM(
IFERROR(M208/100*SUMIFS(#REF!,#REF!,Calc_TUV_Net_1[[#This Row],[Customer type]],#REF!,"Peak"),0),
IFERROR(M209/100*SUMIFS(#REF!,#REF!,Calc_TUV_Net_1[[#This Row],[Customer type]],#REF!,"Off peak"),0))</f>
        <v>0</v>
      </c>
      <c r="N210" s="48">
        <f>SUMIFS(TUNet_Usage_Actual_1[Value],TUNet_Usage_Actual_1[Customer type],Calc_TUV_Net_1[[#This Row],[Customer type]],TUNet_Usage_Actual_1[Description],"Usage per customer")*SUM(
IFERROR(N208/100*SUMIFS(#REF!,#REF!,Calc_TUV_Net_1[[#This Row],[Customer type]],#REF!,"Peak"),0),
IFERROR(N209/100*SUMIFS(#REF!,#REF!,Calc_TUV_Net_1[[#This Row],[Customer type]],#REF!,"Off peak"),0))</f>
        <v>0</v>
      </c>
      <c r="O210" s="48">
        <f>SUMIFS(TUNet_Usage_Actual_1[Value],TUNet_Usage_Actual_1[Customer type],Calc_TUV_Net_1[[#This Row],[Customer type]],TUNet_Usage_Actual_1[Description],"Usage per customer")*SUM(
IFERROR(O208/100*SUMIFS(#REF!,#REF!,Calc_TUV_Net_1[[#This Row],[Customer type]],#REF!,"Peak"),0),
IFERROR(O209/100*SUMIFS(#REF!,#REF!,Calc_TUV_Net_1[[#This Row],[Customer type]],#REF!,"Off peak"),0))</f>
        <v>0</v>
      </c>
    </row>
    <row r="211" spans="3:15" hidden="1" outlineLevel="1" x14ac:dyDescent="0.25">
      <c r="C211" s="42" t="s">
        <v>447</v>
      </c>
      <c r="D211" s="60" t="str">
        <f>INDEX(Input_DecisionActual[[Decision]:[Decision]],MATCH($D$5,Input_DecisionActual[[VDO period]:[VDO period]],0),1)</f>
        <v>VDO 2023-24 - Final</v>
      </c>
      <c r="E211" s="18" t="s">
        <v>96</v>
      </c>
      <c r="F211" s="60" t="str">
        <f>IF($D211="-","-",INDEX(Inputs!$C$17:$AZ$17,1,MATCH($D211,Inputs!$C$15:$AZ$15,0)))</f>
        <v>F-CurrentVDO_Input</v>
      </c>
      <c r="G211" s="41"/>
      <c r="H211" s="18" t="s">
        <v>178</v>
      </c>
      <c r="I211" s="18" t="s">
        <v>65</v>
      </c>
      <c r="J211" s="42" t="s">
        <v>67</v>
      </c>
      <c r="K211" s="47" cm="1">
        <f t="array" ref="K211">IFERROR(INDEX(Input_ForRateCalc[],MATCH($C211&amp;" - "&amp;K$100,Input_ForRateCalc[[Cost item]:[Cost item]],0),MATCH(Calc_TUV_Net_1[[#This Row],[Decision ref]:[Decision ref]],Input_ForRateCalc[#Headers],0)),"-")</f>
        <v>18.668411930490375</v>
      </c>
      <c r="L211" s="47" t="str" cm="1">
        <f t="array" ref="L211">IFERROR(INDEX(Input_ForRateCalc[],MATCH($C211&amp;" - "&amp;L$100,Input_ForRateCalc[[Cost item]:[Cost item]],0),MATCH(Calc_TUV_Net_1[[#This Row],[Decision ref]:[Decision ref]],Input_ForRateCalc[#Headers],0)),"-")</f>
        <v>-</v>
      </c>
      <c r="M211" s="47" t="str" cm="1">
        <f t="array" ref="M211">IFERROR(INDEX(Input_ForRateCalc[],MATCH($C211&amp;" - "&amp;M$100,Input_ForRateCalc[[Cost item]:[Cost item]],0),MATCH(Calc_TUV_Net_1[[#This Row],[Decision ref]:[Decision ref]],Input_ForRateCalc[#Headers],0)),"-")</f>
        <v>-</v>
      </c>
      <c r="N211" s="47" t="str" cm="1">
        <f t="array" ref="N211">IFERROR(INDEX(Input_ForRateCalc[],MATCH($C211&amp;" - "&amp;N$100,Input_ForRateCalc[[Cost item]:[Cost item]],0),MATCH(Calc_TUV_Net_1[[#This Row],[Decision ref]:[Decision ref]],Input_ForRateCalc[#Headers],0)),"-")</f>
        <v>-</v>
      </c>
      <c r="O211" s="47" t="str" cm="1">
        <f t="array" ref="O211">IFERROR(INDEX(Input_ForRateCalc[],MATCH($C211&amp;" - "&amp;O$100,Input_ForRateCalc[[Cost item]:[Cost item]],0),MATCH(Calc_TUV_Net_1[[#This Row],[Decision ref]:[Decision ref]],Input_ForRateCalc[#Headers],0)),"-")</f>
        <v>-</v>
      </c>
    </row>
    <row r="212" spans="3:15" hidden="1" outlineLevel="1" x14ac:dyDescent="0.25">
      <c r="C212" s="42" t="s">
        <v>448</v>
      </c>
      <c r="D212" s="60" t="str">
        <f>INDEX(Input_DecisionActual[[Decision]:[Decision]],MATCH($D$5,Input_DecisionActual[[VDO period]:[VDO period]],0),1)</f>
        <v>VDO 2023-24 - Final</v>
      </c>
      <c r="E212" s="18" t="s">
        <v>96</v>
      </c>
      <c r="F212" s="60" t="str">
        <f>IF($D212="-","-",INDEX(Inputs!$C$17:$AZ$17,1,MATCH($D212,Inputs!$C$15:$AZ$15,0)))</f>
        <v>F-CurrentVDO_Input</v>
      </c>
      <c r="G212" s="41"/>
      <c r="H212" s="18" t="s">
        <v>178</v>
      </c>
      <c r="I212" s="18" t="s">
        <v>220</v>
      </c>
      <c r="J212" s="42" t="s">
        <v>67</v>
      </c>
      <c r="K212" s="47" cm="1">
        <f t="array" ref="K212">IFERROR(INDEX(Input_ForRateCalc[],MATCH($C212&amp;" - "&amp;K$100,Input_ForRateCalc[[Cost item]:[Cost item]],0),MATCH(Calc_TUV_Net_1[[#This Row],[Decision ref]:[Decision ref]],Input_ForRateCalc[#Headers],0)),"-")</f>
        <v>20.620858559880922</v>
      </c>
      <c r="L212" s="47" t="str" cm="1">
        <f t="array" ref="L212">IFERROR(INDEX(Input_ForRateCalc[],MATCH($C212&amp;" - "&amp;L$100,Input_ForRateCalc[[Cost item]:[Cost item]],0),MATCH(Calc_TUV_Net_1[[#This Row],[Decision ref]:[Decision ref]],Input_ForRateCalc[#Headers],0)),"-")</f>
        <v>-</v>
      </c>
      <c r="M212" s="47" t="str" cm="1">
        <f t="array" ref="M212">IFERROR(INDEX(Input_ForRateCalc[],MATCH($C212&amp;" - "&amp;M$100,Input_ForRateCalc[[Cost item]:[Cost item]],0),MATCH(Calc_TUV_Net_1[[#This Row],[Decision ref]:[Decision ref]],Input_ForRateCalc[#Headers],0)),"-")</f>
        <v>-</v>
      </c>
      <c r="N212" s="47" t="str" cm="1">
        <f t="array" ref="N212">IFERROR(INDEX(Input_ForRateCalc[],MATCH($C212&amp;" - "&amp;N$100,Input_ForRateCalc[[Cost item]:[Cost item]],0),MATCH(Calc_TUV_Net_1[[#This Row],[Decision ref]:[Decision ref]],Input_ForRateCalc[#Headers],0)),"-")</f>
        <v>-</v>
      </c>
      <c r="O212" s="47" t="str" cm="1">
        <f t="array" ref="O212">IFERROR(INDEX(Input_ForRateCalc[],MATCH($C212&amp;" - "&amp;O$100,Input_ForRateCalc[[Cost item]:[Cost item]],0),MATCH(Calc_TUV_Net_1[[#This Row],[Decision ref]:[Decision ref]],Input_ForRateCalc[#Headers],0)),"-")</f>
        <v>-</v>
      </c>
    </row>
    <row r="213" spans="3:15" hidden="1" outlineLevel="1" x14ac:dyDescent="0.25">
      <c r="C213" s="42" t="s">
        <v>449</v>
      </c>
      <c r="D213" s="60" t="str">
        <f>INDEX(Input_DecisionActual[[Decision]:[Decision]],MATCH($D$5,Input_DecisionActual[[VDO period]:[VDO period]],0),1)</f>
        <v>VDO 2023-24 - Final</v>
      </c>
      <c r="E213" s="18" t="s">
        <v>96</v>
      </c>
      <c r="F213" s="60" t="str">
        <f>IF($D213="-","-",INDEX(Inputs!$C$17:$AZ$17,1,MATCH($D213,Inputs!$C$15:$AZ$15,0)))</f>
        <v>F-CurrentVDO_Input</v>
      </c>
      <c r="G213" s="41"/>
      <c r="H213" s="18" t="s">
        <v>178</v>
      </c>
      <c r="I213" s="18" t="s">
        <v>220</v>
      </c>
      <c r="J213" s="42" t="s">
        <v>67</v>
      </c>
      <c r="K213" s="47" t="str" cm="1">
        <f t="array" ref="K213">IFERROR(INDEX(Input_ForRateCalc[],MATCH($C213&amp;" - "&amp;K$100,Input_ForRateCalc[[Cost item]:[Cost item]],0),MATCH(Calc_TUV_Net_1[[#This Row],[Decision ref]:[Decision ref]],Input_ForRateCalc[#Headers],0)),"-")</f>
        <v>-</v>
      </c>
      <c r="L213" s="47" cm="1">
        <f t="array" ref="L213">IFERROR(INDEX(Input_ForRateCalc[],MATCH($C213&amp;" - "&amp;L$100,Input_ForRateCalc[[Cost item]:[Cost item]],0),MATCH(Calc_TUV_Net_1[[#This Row],[Decision ref]:[Decision ref]],Input_ForRateCalc[#Headers],0)),"-")</f>
        <v>8.15</v>
      </c>
      <c r="M213" s="47" cm="1">
        <f t="array" ref="M213">IFERROR(INDEX(Input_ForRateCalc[],MATCH($C213&amp;" - "&amp;M$100,Input_ForRateCalc[[Cost item]:[Cost item]],0),MATCH(Calc_TUV_Net_1[[#This Row],[Decision ref]:[Decision ref]],Input_ForRateCalc[#Headers],0)),"-")</f>
        <v>11.834</v>
      </c>
      <c r="N213" s="47" cm="1">
        <f t="array" ref="N213">IFERROR(INDEX(Input_ForRateCalc[],MATCH($C213&amp;" - "&amp;N$100,Input_ForRateCalc[[Cost item]:[Cost item]],0),MATCH(Calc_TUV_Net_1[[#This Row],[Decision ref]:[Decision ref]],Input_ForRateCalc[#Headers],0)),"-")</f>
        <v>9.81</v>
      </c>
      <c r="O213" s="47" cm="1">
        <f t="array" ref="O213">IFERROR(INDEX(Input_ForRateCalc[],MATCH($C213&amp;" - "&amp;O$100,Input_ForRateCalc[[Cost item]:[Cost item]],0),MATCH(Calc_TUV_Net_1[[#This Row],[Decision ref]:[Decision ref]],Input_ForRateCalc[#Headers],0)),"-")</f>
        <v>9.39</v>
      </c>
    </row>
    <row r="214" spans="3:15" hidden="1" outlineLevel="1" x14ac:dyDescent="0.25">
      <c r="C214" s="42" t="s">
        <v>411</v>
      </c>
      <c r="D214" s="60" t="str">
        <f>INDEX(Input_DecisionActual[[Decision]:[Decision]],MATCH($D$5,Input_DecisionActual[[VDO period]:[VDO period]],0),1)</f>
        <v>VDO 2023-24 - Final</v>
      </c>
      <c r="E214" s="18" t="s">
        <v>96</v>
      </c>
      <c r="F214" s="60" t="str">
        <f>IF($D214="-","-",INDEX(Inputs!$C$17:$AZ$17,1,MATCH($D214,Inputs!$C$15:$AZ$15,0)))</f>
        <v>F-CurrentVDO_Input</v>
      </c>
      <c r="G214" s="41"/>
      <c r="H214" s="18" t="s">
        <v>178</v>
      </c>
      <c r="I214" s="18" t="s">
        <v>220</v>
      </c>
      <c r="J214" s="42" t="s">
        <v>67</v>
      </c>
      <c r="K214" s="48">
        <f>SUMIFS(TUNet_Usage_Actual_1[Value],TUNet_Usage_Actual_1[Customer type],Calc_TUV_Net_1[[#This Row],[Customer type]],TUNet_Usage_Actual_1[Description],"Usage per customer")*SUM(
IFERROR(K211/100*SUMIFS(#REF!,#REF!,Calc_TUV_Net_1[[#This Row],[Customer type]],#REF!,"Block 1"),0),
IFERROR(K212/100*SUMIFS(#REF!,#REF!,Calc_TUV_Net_1[[#This Row],[Customer type]],#REF!,"Balance"),0),
IFERROR(K213/100*SUMIFS(#REF!,#REF!,Calc_TUV_Net_1[[#This Row],[Customer type]],#REF!,"Single rate"),0))</f>
        <v>0</v>
      </c>
      <c r="L214" s="48">
        <f>SUMIFS(TUNet_Usage_Actual_1[Value],TUNet_Usage_Actual_1[Customer type],Calc_TUV_Net_1[[#This Row],[Customer type]],TUNet_Usage_Actual_1[Description],"Usage per customer")*SUM(
IFERROR(L211/100*SUMIFS(#REF!,#REF!,Calc_TUV_Net_1[[#This Row],[Customer type]],#REF!,"Block 1"),0),
IFERROR(L212/100*SUMIFS(#REF!,#REF!,Calc_TUV_Net_1[[#This Row],[Customer type]],#REF!,"Balance"),0),
IFERROR(L213/100*SUMIFS(#REF!,#REF!,Calc_TUV_Net_1[[#This Row],[Customer type]],#REF!,"Single rate"),0))</f>
        <v>0</v>
      </c>
      <c r="M214" s="48">
        <f>SUMIFS(TUNet_Usage_Actual_1[Value],TUNet_Usage_Actual_1[Customer type],Calc_TUV_Net_1[[#This Row],[Customer type]],TUNet_Usage_Actual_1[Description],"Usage per customer")*SUM(
IFERROR(M211/100*SUMIFS(#REF!,#REF!,Calc_TUV_Net_1[[#This Row],[Customer type]],#REF!,"Block 1"),0),
IFERROR(M212/100*SUMIFS(#REF!,#REF!,Calc_TUV_Net_1[[#This Row],[Customer type]],#REF!,"Balance"),0),
IFERROR(M213/100*SUMIFS(#REF!,#REF!,Calc_TUV_Net_1[[#This Row],[Customer type]],#REF!,"Single rate"),0))</f>
        <v>0</v>
      </c>
      <c r="N214" s="48">
        <f>SUMIFS(TUNet_Usage_Actual_1[Value],TUNet_Usage_Actual_1[Customer type],Calc_TUV_Net_1[[#This Row],[Customer type]],TUNet_Usage_Actual_1[Description],"Usage per customer")*SUM(
IFERROR(N211/100*SUMIFS(#REF!,#REF!,Calc_TUV_Net_1[[#This Row],[Customer type]],#REF!,"Block 1"),0),
IFERROR(N212/100*SUMIFS(#REF!,#REF!,Calc_TUV_Net_1[[#This Row],[Customer type]],#REF!,"Balance"),0),
IFERROR(N213/100*SUMIFS(#REF!,#REF!,Calc_TUV_Net_1[[#This Row],[Customer type]],#REF!,"Single rate"),0))</f>
        <v>0</v>
      </c>
      <c r="O214" s="48">
        <f>SUMIFS(TUNet_Usage_Actual_1[Value],TUNet_Usage_Actual_1[Customer type],Calc_TUV_Net_1[[#This Row],[Customer type]],TUNet_Usage_Actual_1[Description],"Usage per customer")*SUM(
IFERROR(O211/100*SUMIFS(#REF!,#REF!,Calc_TUV_Net_1[[#This Row],[Customer type]],#REF!,"Block 1"),0),
IFERROR(O212/100*SUMIFS(#REF!,#REF!,Calc_TUV_Net_1[[#This Row],[Customer type]],#REF!,"Balance"),0),
IFERROR(O213/100*SUMIFS(#REF!,#REF!,Calc_TUV_Net_1[[#This Row],[Customer type]],#REF!,"Single rate"),0))</f>
        <v>0</v>
      </c>
    </row>
    <row r="215" spans="3:15" hidden="1" outlineLevel="1" x14ac:dyDescent="0.25">
      <c r="C215" s="42" t="s">
        <v>412</v>
      </c>
      <c r="D215" s="42"/>
      <c r="E215" s="42"/>
      <c r="F215" s="42"/>
      <c r="G215" s="42"/>
      <c r="H215" s="18" t="s">
        <v>178</v>
      </c>
      <c r="I215" s="18" t="s">
        <v>65</v>
      </c>
      <c r="J215" s="42" t="s">
        <v>67</v>
      </c>
      <c r="K215" s="46" t="str">
        <f>IF(K214=0,"-",K210-K214)</f>
        <v>-</v>
      </c>
      <c r="L215" s="46" t="str">
        <f>IF(L214=0,"-",L210-L214)</f>
        <v>-</v>
      </c>
      <c r="M215" s="46" t="str">
        <f>IF(M214=0,"-",M210-M214)</f>
        <v>-</v>
      </c>
      <c r="N215" s="46" t="str">
        <f>IF(N214=0,"-",N210-N214)</f>
        <v>-</v>
      </c>
      <c r="O215" s="46" t="str">
        <f>IF(O214=0,"-",O210-O214)</f>
        <v>-</v>
      </c>
    </row>
    <row r="216" spans="3:15" hidden="1" outlineLevel="1" x14ac:dyDescent="0.25">
      <c r="C216" s="42" t="s">
        <v>414</v>
      </c>
      <c r="D216" s="60" t="str">
        <f>INDEX(Input_DecisionActual[[Decision]:[Decision]],MATCH($D$5,Input_DecisionActual[[VDO period]:[VDO period]],0),1)</f>
        <v>VDO 2023-24 - Final</v>
      </c>
      <c r="E216" s="18" t="s">
        <v>96</v>
      </c>
      <c r="F216" s="60" t="str">
        <f>IF($D216="-","-",INDEX(Inputs!$C$17:$AZ$17,1,MATCH($D216,Inputs!$C$15:$AZ$15,0)))</f>
        <v>F-CurrentVDO_Input</v>
      </c>
      <c r="G216" s="42"/>
      <c r="H216" s="18" t="s">
        <v>178</v>
      </c>
      <c r="I216" s="18" t="s">
        <v>65</v>
      </c>
      <c r="J216" s="42" t="s">
        <v>67</v>
      </c>
      <c r="K216" s="47" t="str" cm="1">
        <f t="array" ref="K216">IFERROR(SUM(K215:K215)*(INDEX(Inputs!$H$18:$U$141,MATCH("Retail operating margin",Input_ForRateCalc[[Cost item]:[Cost item]],0),MATCH(Calc_TUV_Net_1[[#This Row],[Decision ref]:[Decision ref]],Inputs!$H$17:$U$17,0))),"-")</f>
        <v>-</v>
      </c>
      <c r="L216" s="47" t="str" cm="1">
        <f t="array" ref="L216">IFERROR(SUM(L215:L215)*(INDEX(Inputs!$H$18:$U$141,MATCH("Retail operating margin",Input_ForRateCalc[[Cost item]:[Cost item]],0),MATCH(Calc_TUV_Net_1[[#This Row],[Decision ref]:[Decision ref]],Inputs!$H$17:$U$17,0))),"-")</f>
        <v>-</v>
      </c>
      <c r="M216" s="47" t="str" cm="1">
        <f t="array" ref="M216">IFERROR(SUM(M215:M215)*(INDEX(Inputs!$H$18:$U$141,MATCH("Retail operating margin",Input_ForRateCalc[[Cost item]:[Cost item]],0),MATCH(Calc_TUV_Net_1[[#This Row],[Decision ref]:[Decision ref]],Inputs!$H$17:$U$17,0))),"-")</f>
        <v>-</v>
      </c>
      <c r="N216" s="47" t="str" cm="1">
        <f t="array" ref="N216">IFERROR(SUM(N215:N215)*(INDEX(Inputs!$H$18:$U$141,MATCH("Retail operating margin",Input_ForRateCalc[[Cost item]:[Cost item]],0),MATCH(Calc_TUV_Net_1[[#This Row],[Decision ref]:[Decision ref]],Inputs!$H$17:$U$17,0))),"-")</f>
        <v>-</v>
      </c>
      <c r="O216" s="47" t="str" cm="1">
        <f t="array" ref="O216">IFERROR(SUM(O215:O215)*(INDEX(Inputs!$H$18:$U$141,MATCH("Retail operating margin",Input_ForRateCalc[[Cost item]:[Cost item]],0),MATCH(Calc_TUV_Net_1[[#This Row],[Decision ref]:[Decision ref]],Inputs!$H$17:$U$17,0))),"-")</f>
        <v>-</v>
      </c>
    </row>
    <row r="217" spans="3:15" hidden="1" outlineLevel="1" x14ac:dyDescent="0.25">
      <c r="C217" s="42" t="s">
        <v>415</v>
      </c>
      <c r="D217" s="42"/>
      <c r="E217" s="42"/>
      <c r="F217" s="42"/>
      <c r="G217" s="42"/>
      <c r="H217" s="18" t="s">
        <v>178</v>
      </c>
      <c r="I217" s="18" t="s">
        <v>65</v>
      </c>
      <c r="J217" s="42" t="s">
        <v>67</v>
      </c>
      <c r="K217" s="47" t="str">
        <f>IF(K214=0,"-",SUM(K215:K216)*GST)</f>
        <v>-</v>
      </c>
      <c r="L217" s="47" t="str">
        <f>IF(L214=0,"-",SUM(L215:L216)*GST)</f>
        <v>-</v>
      </c>
      <c r="M217" s="47" t="str">
        <f>IF(M214=0,"-",SUM(M215:M216)*GST)</f>
        <v>-</v>
      </c>
      <c r="N217" s="47" t="str">
        <f>IF(N214=0,"-",SUM(N215:N216)*GST)</f>
        <v>-</v>
      </c>
      <c r="O217" s="47" t="str">
        <f>IF(O214=0,"-",SUM(O215:O216)*GST)</f>
        <v>-</v>
      </c>
    </row>
    <row r="218" spans="3:15" hidden="1" outlineLevel="1" x14ac:dyDescent="0.25">
      <c r="C218" s="18" t="s">
        <v>456</v>
      </c>
      <c r="D218" s="42"/>
      <c r="E218" s="42"/>
      <c r="F218" s="42"/>
      <c r="H218" s="18" t="s">
        <v>178</v>
      </c>
      <c r="I218" s="18" t="s">
        <v>65</v>
      </c>
      <c r="J218" s="42" t="s">
        <v>67</v>
      </c>
      <c r="K218" s="47" t="str">
        <f>IF(K214=0,"-",SUM(K215:K217))</f>
        <v>-</v>
      </c>
      <c r="L218" s="47" t="str">
        <f>IF(L214=0,"-",SUM(L215:L217))</f>
        <v>-</v>
      </c>
      <c r="M218" s="47" t="str">
        <f>IF(M214=0,"-",SUM(M215:M217))</f>
        <v>-</v>
      </c>
      <c r="N218" s="47" t="str">
        <f>IF(N214=0,"-",SUM(N215:N217))</f>
        <v>-</v>
      </c>
      <c r="O218" s="47" t="str">
        <f>IF(O214=0,"-",SUM(O215:O217))</f>
        <v>-</v>
      </c>
    </row>
    <row r="219" spans="3:15" hidden="1" outlineLevel="1" x14ac:dyDescent="0.25">
      <c r="C219" s="40"/>
      <c r="D219" s="40"/>
      <c r="E219" s="40"/>
      <c r="F219" s="40"/>
      <c r="G219" s="49"/>
      <c r="H219" s="49"/>
      <c r="I219" s="18"/>
      <c r="J219" s="18"/>
      <c r="K219" s="46"/>
      <c r="L219" s="18"/>
      <c r="M219" s="18"/>
      <c r="N219" s="18"/>
      <c r="O219" s="18"/>
    </row>
    <row r="220" spans="3:15" hidden="1" outlineLevel="1" x14ac:dyDescent="0.25"/>
    <row r="224" spans="3:15" ht="15.75" x14ac:dyDescent="0.25">
      <c r="C224" s="39" t="s">
        <v>47</v>
      </c>
      <c r="D224" s="30" t="str">
        <f>Calc_Rates!$D$266</f>
        <v>VDO 2023-24 - Final</v>
      </c>
    </row>
    <row r="226" spans="2:17" ht="16.5" collapsed="1" thickBot="1" x14ac:dyDescent="0.3">
      <c r="B226" s="161">
        <f ca="1">MAX(B$3:B225)+0.01</f>
        <v>9.0299999999999994</v>
      </c>
      <c r="C226" s="26" t="s">
        <v>399</v>
      </c>
      <c r="D226" s="23"/>
      <c r="E226" s="23"/>
      <c r="F226" s="23"/>
      <c r="G226" s="23"/>
      <c r="H226" s="23"/>
      <c r="I226" s="23"/>
      <c r="J226" s="23"/>
      <c r="K226" s="23"/>
      <c r="L226" s="23"/>
      <c r="M226" s="23"/>
      <c r="N226" s="23"/>
      <c r="O226" s="23"/>
      <c r="P226" s="23"/>
      <c r="Q226" s="23"/>
    </row>
    <row r="227" spans="2:17" hidden="1" outlineLevel="1" x14ac:dyDescent="0.25"/>
    <row r="228" spans="2:17" ht="15.75" hidden="1" outlineLevel="1" x14ac:dyDescent="0.25">
      <c r="C228" s="39" t="s">
        <v>400</v>
      </c>
      <c r="D228" s="104">
        <v>12</v>
      </c>
      <c r="H228" s="31" t="s">
        <v>49</v>
      </c>
      <c r="I228" s="31" t="s">
        <v>56</v>
      </c>
      <c r="J228" s="31" t="s">
        <v>57</v>
      </c>
      <c r="K228" s="35" t="s">
        <v>59</v>
      </c>
      <c r="L228" s="35" t="s">
        <v>60</v>
      </c>
      <c r="M228" s="35" t="s">
        <v>61</v>
      </c>
      <c r="N228" s="35" t="s">
        <v>62</v>
      </c>
      <c r="O228" s="35" t="s">
        <v>63</v>
      </c>
      <c r="P228" s="35" t="s">
        <v>401</v>
      </c>
    </row>
    <row r="229" spans="2:17" ht="15.75" hidden="1" outlineLevel="1" x14ac:dyDescent="0.25">
      <c r="C229" s="39" t="s">
        <v>402</v>
      </c>
      <c r="D229" s="105">
        <f>D228/MiY</f>
        <v>1</v>
      </c>
      <c r="H229" s="42" t="s">
        <v>403</v>
      </c>
      <c r="I229" s="18" t="s">
        <v>179</v>
      </c>
      <c r="J229" s="42" t="s">
        <v>133</v>
      </c>
      <c r="K229" s="95">
        <f>INDEX(Calc_TUV_Env_2[[Ausnet]:[United Energy]],MATCH($H229,Calc_TUV_Env_2[[Cost item]:[Cost item]],0),MATCH(K$228,Calc_TUV_Env_2[[#Headers],[Ausnet]:[United Energy]],0))*1000</f>
        <v>7.1411889574377815E-2</v>
      </c>
      <c r="L229" s="95">
        <f>INDEX(Calc_TUV_Env_2[[Ausnet]:[United Energy]],MATCH($H229,Calc_TUV_Env_2[[Cost item]:[Cost item]],0),MATCH(L$228,Calc_TUV_Env_2[[#Headers],[Ausnet]:[United Energy]],0))*1000</f>
        <v>6.9262229545457424E-2</v>
      </c>
      <c r="M229" s="95">
        <f>INDEX(Calc_TUV_Env_2[[Ausnet]:[United Energy]],MATCH($H229,Calc_TUV_Env_2[[Cost item]:[Cost item]],0),MATCH(M$228,Calc_TUV_Env_2[[#Headers],[Ausnet]:[United Energy]],0))*1000</f>
        <v>6.8672733182471399E-2</v>
      </c>
      <c r="N229" s="95">
        <f>INDEX(Calc_TUV_Env_2[[Ausnet]:[United Energy]],MATCH($H229,Calc_TUV_Env_2[[Cost item]:[Cost item]],0),MATCH(N$228,Calc_TUV_Env_2[[#Headers],[Ausnet]:[United Energy]],0))*1000</f>
        <v>7.0779916457632069E-2</v>
      </c>
      <c r="O229" s="95">
        <f>INDEX(Calc_TUV_Env_2[[Ausnet]:[United Energy]],MATCH($H229,Calc_TUV_Env_2[[Cost item]:[Cost item]],0),MATCH(O$228,Calc_TUV_Env_2[[#Headers],[Ausnet]:[United Energy]],0))*1000</f>
        <v>6.9073799593706769E-2</v>
      </c>
      <c r="P229" s="95">
        <f>AVERAGE(K229:O229)</f>
        <v>6.9840113670729093E-2</v>
      </c>
    </row>
    <row r="230" spans="2:17" hidden="1" outlineLevel="1" x14ac:dyDescent="0.25">
      <c r="H230" s="42" t="s">
        <v>405</v>
      </c>
      <c r="I230" s="18" t="s">
        <v>179</v>
      </c>
      <c r="J230" s="42" t="s">
        <v>133</v>
      </c>
      <c r="K230" s="95">
        <f>INDEX(Calc_TUV_Env_2[[Ausnet]:[United Energy]],MATCH($H230,Calc_TUV_Env_2[[Cost item]:[Cost item]],0),MATCH(K$228,Calc_TUV_Env_2[[#Headers],[Ausnet]:[United Energy]],0))*1000</f>
        <v>-1.5204731141753007</v>
      </c>
      <c r="L230" s="95">
        <f>INDEX(Calc_TUV_Env_2[[Ausnet]:[United Energy]],MATCH($H230,Calc_TUV_Env_2[[Cost item]:[Cost item]],0),MATCH(L$228,Calc_TUV_Env_2[[#Headers],[Ausnet]:[United Energy]],0))*1000</f>
        <v>-1.4747034209481451</v>
      </c>
      <c r="M230" s="95">
        <f>INDEX(Calc_TUV_Env_2[[Ausnet]:[United Energy]],MATCH($H230,Calc_TUV_Env_2[[Cost item]:[Cost item]],0),MATCH(M$228,Calc_TUV_Env_2[[#Headers],[Ausnet]:[United Energy]],0))*1000</f>
        <v>-1.462152102446892</v>
      </c>
      <c r="N230" s="95">
        <f>INDEX(Calc_TUV_Env_2[[Ausnet]:[United Energy]],MATCH($H230,Calc_TUV_Env_2[[Cost item]:[Cost item]],0),MATCH(N$228,Calc_TUV_Env_2[[#Headers],[Ausnet]:[United Energy]],0))*1000</f>
        <v>-1.5070173977866077</v>
      </c>
      <c r="O230" s="95">
        <f>INDEX(Calc_TUV_Env_2[[Ausnet]:[United Energy]],MATCH($H230,Calc_TUV_Env_2[[Cost item]:[Cost item]],0),MATCH(O$228,Calc_TUV_Env_2[[#Headers],[Ausnet]:[United Energy]],0))*1000</f>
        <v>-1.4706914465101379</v>
      </c>
      <c r="P230" s="95">
        <f>AVERAGE(K230:O230)</f>
        <v>-1.4870074963734168</v>
      </c>
    </row>
    <row r="231" spans="2:17" hidden="1" outlineLevel="1" x14ac:dyDescent="0.25">
      <c r="H231" s="42" t="s">
        <v>406</v>
      </c>
      <c r="I231" s="18" t="s">
        <v>179</v>
      </c>
      <c r="J231" s="42" t="s">
        <v>133</v>
      </c>
      <c r="K231" s="95">
        <f>INDEX(Calc_TUV_Env_2[[Ausnet]:[United Energy]],MATCH($H231,Calc_TUV_Env_2[[Cost item]:[Cost item]],0),MATCH(K$228,Calc_TUV_Env_2[[#Headers],[Ausnet]:[United Energy]],0))*1000</f>
        <v>-8.1204149442636335E-4</v>
      </c>
      <c r="L231" s="95">
        <f>INDEX(Calc_TUV_Env_2[[Ausnet]:[United Energy]],MATCH($H231,Calc_TUV_Env_2[[Cost item]:[Cost item]],0),MATCH(L$228,Calc_TUV_Env_2[[#Headers],[Ausnet]:[United Energy]],0))*1000</f>
        <v>-7.8759720156704855E-4</v>
      </c>
      <c r="M231" s="95">
        <f>INDEX(Calc_TUV_Env_2[[Ausnet]:[United Energy]],MATCH($H231,Calc_TUV_Env_2[[Cost item]:[Cost item]],0),MATCH(M$228,Calc_TUV_Env_2[[#Headers],[Ausnet]:[United Energy]],0))*1000</f>
        <v>-7.8089389893199509E-4</v>
      </c>
      <c r="N231" s="95">
        <f>INDEX(Calc_TUV_Env_2[[Ausnet]:[United Energy]],MATCH($H231,Calc_TUV_Env_2[[Cost item]:[Cost item]],0),MATCH(N$228,Calc_TUV_Env_2[[#Headers],[Ausnet]:[United Energy]],0))*1000</f>
        <v>-8.048551785731047E-4</v>
      </c>
      <c r="O231" s="95">
        <f>INDEX(Calc_TUV_Env_2[[Ausnet]:[United Energy]],MATCH($H231,Calc_TUV_Env_2[[Cost item]:[Cost item]],0),MATCH(O$228,Calc_TUV_Env_2[[#Headers],[Ausnet]:[United Energy]],0))*1000</f>
        <v>-7.8545451999782712E-4</v>
      </c>
      <c r="P231" s="95">
        <f>AVERAGE(K231:O231)</f>
        <v>-7.9416845869926774E-4</v>
      </c>
    </row>
    <row r="232" spans="2:17" hidden="1" outlineLevel="1" x14ac:dyDescent="0.25"/>
    <row r="233" spans="2:17" ht="15.75" hidden="1" outlineLevel="1" x14ac:dyDescent="0.25">
      <c r="C233" s="24" t="s">
        <v>462</v>
      </c>
    </row>
    <row r="234" spans="2:17" ht="15.75" hidden="1" outlineLevel="1" x14ac:dyDescent="0.25">
      <c r="C234" s="32" t="s">
        <v>49</v>
      </c>
      <c r="D234" s="32" t="s">
        <v>47</v>
      </c>
      <c r="E234" s="32" t="s">
        <v>408</v>
      </c>
      <c r="F234" s="32" t="s">
        <v>409</v>
      </c>
      <c r="G234" s="32" t="s">
        <v>410</v>
      </c>
      <c r="H234" s="32" t="s">
        <v>108</v>
      </c>
      <c r="I234" s="32" t="s">
        <v>56</v>
      </c>
      <c r="J234" s="31" t="s">
        <v>57</v>
      </c>
      <c r="K234" s="43" t="s">
        <v>59</v>
      </c>
      <c r="L234" s="43" t="s">
        <v>60</v>
      </c>
      <c r="M234" s="43" t="s">
        <v>61</v>
      </c>
      <c r="N234" s="43" t="s">
        <v>62</v>
      </c>
      <c r="O234" s="43" t="s">
        <v>63</v>
      </c>
    </row>
    <row r="235" spans="2:17" hidden="1" outlineLevel="1" x14ac:dyDescent="0.25">
      <c r="C235" s="18"/>
      <c r="D235" s="18"/>
      <c r="E235" s="18"/>
      <c r="F235" s="18"/>
      <c r="G235" s="18"/>
      <c r="H235" s="18"/>
      <c r="I235" s="18"/>
      <c r="J235" s="18"/>
      <c r="K235" s="18"/>
      <c r="L235" s="18"/>
      <c r="M235" s="18"/>
      <c r="N235" s="18"/>
      <c r="O235" s="18"/>
    </row>
    <row r="236" spans="2:17" hidden="1" outlineLevel="1" x14ac:dyDescent="0.25">
      <c r="C236" s="40" t="s">
        <v>305</v>
      </c>
      <c r="D236" s="40"/>
      <c r="E236" s="40"/>
      <c r="F236" s="40"/>
      <c r="G236" s="30" t="str">
        <f>INDEX(Input_TU_YesNo[],MATCH(Calc_TUV_Env_2[[#This Row],[Cost item]],Input_TU_YesNo[Component],0),MATCH($D$224,Inputs!$C$210:$BM$210,0))</f>
        <v>Yes</v>
      </c>
      <c r="H236" s="49"/>
      <c r="I236" s="18"/>
      <c r="J236" s="18"/>
      <c r="K236" s="18"/>
      <c r="L236" s="18"/>
      <c r="M236" s="18"/>
      <c r="N236" s="18"/>
      <c r="O236" s="18"/>
    </row>
    <row r="237" spans="2:17" hidden="1" outlineLevel="1" x14ac:dyDescent="0.25">
      <c r="C237" s="18" t="s">
        <v>201</v>
      </c>
      <c r="D237" s="60" t="str">
        <f>Calc_TU_values!$D$224</f>
        <v>VDO 2023-24 - Final</v>
      </c>
      <c r="E237" s="18" t="s">
        <v>316</v>
      </c>
      <c r="F237" s="60" t="str">
        <f>INDEX(Inputs!$C$17:$AZ$17,1,MATCH($D237,Inputs!$C$15:$AZ$15,0))</f>
        <v>F-CurrentVDO_Input</v>
      </c>
      <c r="G237" s="41"/>
      <c r="H237" s="18" t="s">
        <v>178</v>
      </c>
      <c r="I237" s="18" t="s">
        <v>200</v>
      </c>
      <c r="J237" s="42" t="s">
        <v>133</v>
      </c>
      <c r="K237" s="46">
        <f>IFERROR(INDEX(Input_TUEnv_Actual[],MATCH($C237,Input_TUEnv_Actual[Cost item],0),MATCH($F237,Input_TUEnv_Actual[#Headers],0)),"-")</f>
        <v>35.46</v>
      </c>
      <c r="L237" s="46">
        <f>IFERROR(INDEX(Input_TUEnv_Actual[],MATCH($C237,Input_TUEnv_Actual[Cost item],0),MATCH($F237,Input_TUEnv_Actual[#Headers],0)),"-")</f>
        <v>35.46</v>
      </c>
      <c r="M237" s="46">
        <f>IFERROR(INDEX(Input_TUEnv_Actual[],MATCH($C237,Input_TUEnv_Actual[Cost item],0),MATCH($F237,Input_TUEnv_Actual[#Headers],0)),"-")</f>
        <v>35.46</v>
      </c>
      <c r="N237" s="46">
        <f>IFERROR(INDEX(Input_TUEnv_Actual[],MATCH($C237,Input_TUEnv_Actual[Cost item],0),MATCH($F237,Input_TUEnv_Actual[#Headers],0)),"-")</f>
        <v>35.46</v>
      </c>
      <c r="O237" s="46">
        <f>IFERROR(INDEX(Input_TUEnv_Actual[],MATCH($C237,Input_TUEnv_Actual[Cost item],0),MATCH($F237,Input_TUEnv_Actual[#Headers],0)),"-")</f>
        <v>35.46</v>
      </c>
    </row>
    <row r="238" spans="2:17" hidden="1" outlineLevel="1" x14ac:dyDescent="0.25">
      <c r="C238" s="18" t="s">
        <v>205</v>
      </c>
      <c r="D238" s="60" t="str">
        <f>Calc_TU_values!$D$224</f>
        <v>VDO 2023-24 - Final</v>
      </c>
      <c r="E238" s="18" t="s">
        <v>316</v>
      </c>
      <c r="F238" s="60" t="str">
        <f>INDEX(Inputs!$C$17:$AZ$17,1,MATCH($D238,Inputs!$C$15:$AZ$15,0))</f>
        <v>F-CurrentVDO_Input</v>
      </c>
      <c r="G238" s="41"/>
      <c r="H238" s="18" t="s">
        <v>178</v>
      </c>
      <c r="I238" s="18" t="s">
        <v>204</v>
      </c>
      <c r="J238" s="42" t="s">
        <v>133</v>
      </c>
      <c r="K238" s="48">
        <f>IFERROR(INDEX(Input_TUEnv_Actual[],MATCH($C238,Input_TUEnv_Actual[Cost item],0),MATCH($F238,Input_TUEnv_Actual[#Headers],0)),"-")</f>
        <v>0.188</v>
      </c>
      <c r="L238" s="48">
        <f>IFERROR(INDEX(Input_TUEnv_Actual[],MATCH($C238,Input_TUEnv_Actual[Cost item],0),MATCH($F238,Input_TUEnv_Actual[#Headers],0)),"-")</f>
        <v>0.188</v>
      </c>
      <c r="M238" s="48">
        <f>IFERROR(INDEX(Input_TUEnv_Actual[],MATCH($C238,Input_TUEnv_Actual[Cost item],0),MATCH($F238,Input_TUEnv_Actual[#Headers],0)),"-")</f>
        <v>0.188</v>
      </c>
      <c r="N238" s="48">
        <f>IFERROR(INDEX(Input_TUEnv_Actual[],MATCH($C238,Input_TUEnv_Actual[Cost item],0),MATCH($F238,Input_TUEnv_Actual[#Headers],0)),"-")</f>
        <v>0.188</v>
      </c>
      <c r="O238" s="48">
        <f>IFERROR(INDEX(Input_TUEnv_Actual[],MATCH($C238,Input_TUEnv_Actual[Cost item],0),MATCH($F238,Input_TUEnv_Actual[#Headers],0)),"-")</f>
        <v>0.188</v>
      </c>
    </row>
    <row r="239" spans="2:17" hidden="1" outlineLevel="1" x14ac:dyDescent="0.25">
      <c r="C239" s="18" t="s">
        <v>411</v>
      </c>
      <c r="D239" s="60" t="str">
        <f>Calc_TU_values!$D$224</f>
        <v>VDO 2023-24 - Final</v>
      </c>
      <c r="E239" s="18" t="s">
        <v>316</v>
      </c>
      <c r="F239" s="60" t="str">
        <f>INDEX(Inputs!$C$17:$AZ$17,1,MATCH($D239,Inputs!$C$15:$AZ$15,0))</f>
        <v>F-CurrentVDO_Input</v>
      </c>
      <c r="G239" s="41"/>
      <c r="H239" s="18" t="s">
        <v>178</v>
      </c>
      <c r="I239" s="18" t="s">
        <v>69</v>
      </c>
      <c r="J239" s="42" t="s">
        <v>133</v>
      </c>
      <c r="K239" s="45">
        <f>IFERROR(K237*K238/1000,"-")</f>
        <v>6.6664799999999998E-3</v>
      </c>
      <c r="L239" s="45">
        <f>IFERROR(L237*L238/1000,"-")</f>
        <v>6.6664799999999998E-3</v>
      </c>
      <c r="M239" s="45">
        <f>IFERROR(M237*M238/1000,"-")</f>
        <v>6.6664799999999998E-3</v>
      </c>
      <c r="N239" s="45">
        <f>IFERROR(N237*N238/1000,"-")</f>
        <v>6.6664799999999998E-3</v>
      </c>
      <c r="O239" s="45">
        <f>IFERROR(O237*O238/1000,"-")</f>
        <v>6.6664799999999998E-3</v>
      </c>
    </row>
    <row r="240" spans="2:17" hidden="1" outlineLevel="1" x14ac:dyDescent="0.25">
      <c r="C240" s="18" t="s">
        <v>201</v>
      </c>
      <c r="D240" s="60" t="str">
        <f>INDEX(Input_DecisionActual[[Decision]:[Decision]],MATCH(Calc_TU_values!$D$224,Input_DecisionActual[[VDO period]:[VDO period]],0),1)</f>
        <v>VDO 2022-23 - Final</v>
      </c>
      <c r="E240" s="18" t="s">
        <v>96</v>
      </c>
      <c r="F240" s="60" t="str">
        <f>IF($D240="-","-",INDEX(Inputs!$C$17:$AZ$17,1,MATCH($D240,Inputs!$C$15:$AZ$15,0)))</f>
        <v>F-PreviousVDO_Input3</v>
      </c>
      <c r="G240" s="41"/>
      <c r="H240" s="18" t="s">
        <v>178</v>
      </c>
      <c r="I240" s="18" t="s">
        <v>200</v>
      </c>
      <c r="J240" s="42" t="s">
        <v>133</v>
      </c>
      <c r="K240" s="47">
        <f>IFERROR(INDEX(Input_ForRateCalc[],MATCH($C240,Input_ForRateCalc[Cost item],0),MATCH($F240,Inputs!$C$17:$AZ$17,0)),"-")</f>
        <v>35.46</v>
      </c>
      <c r="L240" s="47">
        <f>IFERROR(INDEX(Input_ForRateCalc[],MATCH($C240,Input_ForRateCalc[Cost item],0),MATCH($F240,Inputs!$C$17:$AZ$17,0)),"-")</f>
        <v>35.46</v>
      </c>
      <c r="M240" s="47">
        <f>IFERROR(INDEX(Input_ForRateCalc[],MATCH($C240,Input_ForRateCalc[Cost item],0),MATCH($F240,Inputs!$C$17:$AZ$17,0)),"-")</f>
        <v>35.46</v>
      </c>
      <c r="N240" s="47">
        <f>IFERROR(INDEX(Input_ForRateCalc[],MATCH($C240,Input_ForRateCalc[Cost item],0),MATCH($F240,Inputs!$C$17:$AZ$17,0)),"-")</f>
        <v>35.46</v>
      </c>
      <c r="O240" s="47">
        <f>IFERROR(INDEX(Input_ForRateCalc[],MATCH($C240,Input_ForRateCalc[Cost item],0),MATCH($F240,Inputs!$C$17:$AZ$17,0)),"-")</f>
        <v>35.46</v>
      </c>
    </row>
    <row r="241" spans="3:20" hidden="1" outlineLevel="1" x14ac:dyDescent="0.25">
      <c r="C241" s="18" t="s">
        <v>205</v>
      </c>
      <c r="D241" s="60" t="str">
        <f>INDEX(Input_DecisionActual[[Decision]:[Decision]],MATCH(Calc_TU_values!$D$224,Input_DecisionActual[[VDO period]:[VDO period]],0),1)</f>
        <v>VDO 2022-23 - Final</v>
      </c>
      <c r="E241" s="18" t="s">
        <v>96</v>
      </c>
      <c r="F241" s="60" t="str">
        <f>IF($D241="-","-",INDEX(Inputs!$C$17:$AZ$17,1,MATCH($D241,Inputs!$C$15:$AZ$15,0)))</f>
        <v>F-PreviousVDO_Input3</v>
      </c>
      <c r="G241" s="41"/>
      <c r="H241" s="18" t="s">
        <v>178</v>
      </c>
      <c r="I241" s="18" t="s">
        <v>204</v>
      </c>
      <c r="J241" s="42" t="s">
        <v>133</v>
      </c>
      <c r="K241" s="48">
        <f>IFERROR(INDEX(Input_ForRateCalc[],MATCH($C241,Input_ForRateCalc[Cost item],0),MATCH($F241,Inputs!$C$17:$AZ$17,0)),"-")</f>
        <v>0.18640000000000001</v>
      </c>
      <c r="L241" s="48">
        <f>IFERROR(INDEX(Input_ForRateCalc[],MATCH($C241,Input_ForRateCalc[Cost item],0),MATCH($F241,Inputs!$C$17:$AZ$17,0)),"-")</f>
        <v>0.18640000000000001</v>
      </c>
      <c r="M241" s="48">
        <f>IFERROR(INDEX(Input_ForRateCalc[],MATCH($C241,Input_ForRateCalc[Cost item],0),MATCH($F241,Inputs!$C$17:$AZ$17,0)),"-")</f>
        <v>0.18640000000000001</v>
      </c>
      <c r="N241" s="48">
        <f>IFERROR(INDEX(Input_ForRateCalc[],MATCH($C241,Input_ForRateCalc[Cost item],0),MATCH($F241,Inputs!$C$17:$AZ$17,0)),"-")</f>
        <v>0.18640000000000001</v>
      </c>
      <c r="O241" s="48">
        <f>IFERROR(INDEX(Input_ForRateCalc[],MATCH($C241,Input_ForRateCalc[Cost item],0),MATCH($F241,Inputs!$C$17:$AZ$17,0)),"-")</f>
        <v>0.18640000000000001</v>
      </c>
      <c r="T241" s="86"/>
    </row>
    <row r="242" spans="3:20" hidden="1" outlineLevel="1" x14ac:dyDescent="0.25">
      <c r="C242" s="18" t="s">
        <v>411</v>
      </c>
      <c r="D242" s="60" t="str">
        <f>INDEX(Input_DecisionActual[[Decision]:[Decision]],MATCH(Calc_TU_values!$D$224,Input_DecisionActual[[VDO period]:[VDO period]],0),1)</f>
        <v>VDO 2022-23 - Final</v>
      </c>
      <c r="E242" s="18" t="s">
        <v>96</v>
      </c>
      <c r="F242" s="60" t="str">
        <f>IF($D242="-","-",INDEX(Inputs!$C$17:$AZ$17,1,MATCH($D242,Inputs!$C$15:$AZ$15,0)))</f>
        <v>F-PreviousVDO_Input3</v>
      </c>
      <c r="G242" s="41"/>
      <c r="H242" s="18" t="s">
        <v>178</v>
      </c>
      <c r="I242" s="18" t="s">
        <v>69</v>
      </c>
      <c r="J242" s="42" t="s">
        <v>133</v>
      </c>
      <c r="K242" s="45">
        <f>IFERROR(K240*K241/1000,"-")</f>
        <v>6.6097440000000007E-3</v>
      </c>
      <c r="L242" s="45">
        <f>IFERROR(L240*L241/1000,"-")</f>
        <v>6.6097440000000007E-3</v>
      </c>
      <c r="M242" s="45">
        <f>IFERROR(M240*M241/1000,"-")</f>
        <v>6.6097440000000007E-3</v>
      </c>
      <c r="N242" s="45">
        <f>IFERROR(N240*N241/1000,"-")</f>
        <v>6.6097440000000007E-3</v>
      </c>
      <c r="O242" s="45">
        <f>IFERROR(O240*O241/1000,"-")</f>
        <v>6.6097440000000007E-3</v>
      </c>
    </row>
    <row r="243" spans="3:20" hidden="1" outlineLevel="1" x14ac:dyDescent="0.25">
      <c r="C243" s="18" t="s">
        <v>412</v>
      </c>
      <c r="D243" s="18"/>
      <c r="E243" s="18"/>
      <c r="F243" s="18"/>
      <c r="G243" s="18"/>
      <c r="H243" s="18" t="s">
        <v>178</v>
      </c>
      <c r="I243" s="18" t="s">
        <v>69</v>
      </c>
      <c r="J243" s="18" t="s">
        <v>133</v>
      </c>
      <c r="K243" s="89">
        <f>IFERROR(K239-K242,"-")</f>
        <v>5.6735999999999072E-5</v>
      </c>
      <c r="L243" s="89">
        <f>IFERROR(L239-L242,"-")</f>
        <v>5.6735999999999072E-5</v>
      </c>
      <c r="M243" s="89">
        <f>IFERROR(M239-M242,"-")</f>
        <v>5.6735999999999072E-5</v>
      </c>
      <c r="N243" s="89">
        <f>IFERROR(N239-N242,"-")</f>
        <v>5.6735999999999072E-5</v>
      </c>
      <c r="O243" s="89">
        <f>IFERROR(O239-O242,"-")</f>
        <v>5.6735999999999072E-5</v>
      </c>
      <c r="Q243" s="96"/>
    </row>
    <row r="244" spans="3:20" hidden="1" outlineLevel="1" x14ac:dyDescent="0.25">
      <c r="C244" s="18" t="s">
        <v>413</v>
      </c>
      <c r="D244" s="60" t="str">
        <f>INDEX(Input_DecisionActual[[Decision]:[Decision]],MATCH(Calc_TU_values!$D$224,Input_DecisionActual[[VDO period]:[VDO period]],0),1)</f>
        <v>VDO 2022-23 - Final</v>
      </c>
      <c r="E244" s="18" t="s">
        <v>96</v>
      </c>
      <c r="F244" s="60" t="str">
        <f>IF($D244="-","-",INDEX(Inputs!$C$17:$AZ$17,1,MATCH($D244,Inputs!$C$15:$AZ$15,0)))</f>
        <v>F-PreviousVDO_Input3</v>
      </c>
      <c r="G244" s="18"/>
      <c r="H244" s="18" t="s">
        <v>178</v>
      </c>
      <c r="I244" s="18" t="s">
        <v>69</v>
      </c>
      <c r="J244" s="18" t="s">
        <v>133</v>
      </c>
      <c r="K244" s="90">
        <f>IFERROR(K243*(INDEX(Inputs!$C$18:$AZ$141,MATCH("Marginal loss factor - "&amp;K$15,Input_ForRateCalc[Cost item],0),MATCH($F244,Inputs!$C$17:$AZ$17,0))*INDEX(Inputs!$C$18:$AZ$141,MATCH("Distribution loss factor - "&amp;K$15,Input_ForRateCalc[Cost item],0),MATCH($F244,Inputs!$C$17:$AZ$17,0))-1),"-")</f>
        <v>4.4860856403920447E-6</v>
      </c>
      <c r="L244" s="90">
        <f>IFERROR(L243*(INDEX(Inputs!$C$18:$AZ$141,MATCH("Marginal loss factor - "&amp;L$15,Input_ForRateCalc[Cost item],0),MATCH($F244,Inputs!$C$17:$AZ$17,0))*INDEX(Inputs!$C$18:$AZ$141,MATCH("Distribution loss factor - "&amp;L$15,Input_ForRateCalc[Cost item],0),MATCH($F244,Inputs!$C$17:$AZ$17,0))-1),"-")</f>
        <v>2.6431618475519522E-6</v>
      </c>
      <c r="M244" s="90">
        <f>IFERROR(M243*(INDEX(Inputs!$C$18:$AZ$141,MATCH("Marginal loss factor - "&amp;M$15,Input_ForRateCalc[Cost item],0),MATCH($F244,Inputs!$C$17:$AZ$17,0))*INDEX(Inputs!$C$18:$AZ$141,MATCH("Distribution loss factor - "&amp;M$15,Input_ForRateCalc[Cost item],0),MATCH($F244,Inputs!$C$17:$AZ$17,0))-1),"-")</f>
        <v>2.1377810624399695E-6</v>
      </c>
      <c r="N244" s="90">
        <f>IFERROR(N243*(INDEX(Inputs!$C$18:$AZ$141,MATCH("Marginal loss factor - "&amp;N$15,Input_ForRateCalc[Cost item],0),MATCH($F244,Inputs!$C$17:$AZ$17,0))*INDEX(Inputs!$C$18:$AZ$141,MATCH("Distribution loss factor - "&amp;N$15,Input_ForRateCalc[Cost item],0),MATCH($F244,Inputs!$C$17:$AZ$17,0))-1),"-")</f>
        <v>3.9442891341458991E-6</v>
      </c>
      <c r="O244" s="90">
        <f>IFERROR(O243*(INDEX(Inputs!$C$18:$AZ$141,MATCH("Marginal loss factor - "&amp;O$15,Input_ForRateCalc[Cost item],0),MATCH($F244,Inputs!$C$17:$AZ$17,0))*INDEX(Inputs!$C$18:$AZ$141,MATCH("Distribution loss factor - "&amp;O$15,Input_ForRateCalc[Cost item],0),MATCH($F244,Inputs!$C$17:$AZ$17,0))-1),"-")</f>
        <v>2.4816190748841288E-6</v>
      </c>
      <c r="T244" s="79"/>
    </row>
    <row r="245" spans="3:20" hidden="1" outlineLevel="1" x14ac:dyDescent="0.25">
      <c r="C245" s="18" t="s">
        <v>414</v>
      </c>
      <c r="D245" s="60" t="str">
        <f>INDEX(Input_DecisionActual[[Decision]:[Decision]],MATCH(Calc_TU_values!$D$224,Input_DecisionActual[[VDO period]:[VDO period]],0),1)</f>
        <v>VDO 2022-23 - Final</v>
      </c>
      <c r="E245" s="18" t="s">
        <v>96</v>
      </c>
      <c r="F245" s="60" t="str">
        <f>IF($D245="-","-",INDEX(Inputs!$C$17:$AZ$17,1,MATCH($D245,Inputs!$C$15:$AZ$15,0)))</f>
        <v>F-PreviousVDO_Input3</v>
      </c>
      <c r="G245" s="18"/>
      <c r="H245" s="18" t="s">
        <v>178</v>
      </c>
      <c r="I245" s="18" t="s">
        <v>69</v>
      </c>
      <c r="J245" s="18" t="s">
        <v>133</v>
      </c>
      <c r="K245" s="90">
        <f>IFERROR(SUM(K243:K244)*(INDEX(Inputs!$C$18:$AZ$141,MATCH("Retail operating margin",Input_ForRateCalc[Cost item],0),MATCH($F245,Inputs!$C$17:$AZ$17,0))),"-")</f>
        <v>3.6978139726796235E-6</v>
      </c>
      <c r="L245" s="90">
        <f>IFERROR(SUM(L243:L244)*(INDEX(Inputs!$C$18:$AZ$141,MATCH("Retail operating margin",Input_ForRateCalc[Cost item],0),MATCH($F245,Inputs!$C$17:$AZ$17,0))),"-")</f>
        <v>3.5865013755920819E-6</v>
      </c>
      <c r="M245" s="90">
        <f>IFERROR(SUM(M243:M244)*(INDEX(Inputs!$C$18:$AZ$141,MATCH("Retail operating margin",Input_ForRateCalc[Cost item],0),MATCH($F245,Inputs!$C$17:$AZ$17,0))),"-")</f>
        <v>3.5559763761713181E-6</v>
      </c>
      <c r="N245" s="90">
        <f>IFERROR(SUM(N243:N244)*(INDEX(Inputs!$C$18:$AZ$141,MATCH("Retail operating margin",Input_ForRateCalc[Cost item],0),MATCH($F245,Inputs!$C$17:$AZ$17,0))),"-")</f>
        <v>3.6650894637023566E-6</v>
      </c>
      <c r="O245" s="90">
        <f>IFERROR(SUM(O243:O244)*(INDEX(Inputs!$C$18:$AZ$141,MATCH("Retail operating margin",Input_ForRateCalc[Cost item],0),MATCH($F245,Inputs!$C$17:$AZ$17,0))),"-")</f>
        <v>3.5767441921229453E-6</v>
      </c>
    </row>
    <row r="246" spans="3:20" hidden="1" outlineLevel="1" x14ac:dyDescent="0.25">
      <c r="C246" s="18" t="s">
        <v>415</v>
      </c>
      <c r="D246" s="18"/>
      <c r="E246" s="18"/>
      <c r="F246" s="18"/>
      <c r="G246" s="18"/>
      <c r="H246" s="18" t="s">
        <v>178</v>
      </c>
      <c r="I246" s="18" t="s">
        <v>69</v>
      </c>
      <c r="J246" s="18" t="s">
        <v>133</v>
      </c>
      <c r="K246" s="90">
        <f>SUM(K243:K245)*GST</f>
        <v>6.491989961307075E-6</v>
      </c>
      <c r="L246" s="90">
        <f>SUM(L243:L245)*GST</f>
        <v>6.2965663223143106E-6</v>
      </c>
      <c r="M246" s="90">
        <f>SUM(M243:M245)*GST</f>
        <v>6.2429757438610369E-6</v>
      </c>
      <c r="N246" s="90">
        <f>SUM(N243:N245)*GST</f>
        <v>6.4345378597847339E-6</v>
      </c>
      <c r="O246" s="90">
        <f>SUM(O243:O245)*GST</f>
        <v>6.2794363267006159E-6</v>
      </c>
    </row>
    <row r="247" spans="3:20" hidden="1" outlineLevel="1" x14ac:dyDescent="0.25">
      <c r="C247" s="42" t="s">
        <v>403</v>
      </c>
      <c r="D247" s="42"/>
      <c r="E247" s="42"/>
      <c r="F247" s="42"/>
      <c r="H247" s="42" t="s">
        <v>178</v>
      </c>
      <c r="I247" s="42" t="s">
        <v>69</v>
      </c>
      <c r="J247" s="42" t="s">
        <v>133</v>
      </c>
      <c r="K247" s="90">
        <f>SUM(K243:K246)</f>
        <v>7.1411889574377822E-5</v>
      </c>
      <c r="L247" s="90">
        <f>SUM(L243:L246)</f>
        <v>6.9262229545457419E-5</v>
      </c>
      <c r="M247" s="90">
        <f>SUM(M243:M246)</f>
        <v>6.8672733182471396E-5</v>
      </c>
      <c r="N247" s="90">
        <f>SUM(N243:N246)</f>
        <v>7.0779916457632067E-5</v>
      </c>
      <c r="O247" s="90">
        <f>SUM(O243:O246)</f>
        <v>6.9073799593706765E-5</v>
      </c>
    </row>
    <row r="248" spans="3:20" hidden="1" outlineLevel="1" x14ac:dyDescent="0.25">
      <c r="C248" s="18"/>
      <c r="D248" s="18"/>
      <c r="E248" s="18"/>
      <c r="F248" s="18"/>
      <c r="G248" s="18"/>
      <c r="H248" s="18"/>
      <c r="I248" s="18"/>
      <c r="J248" s="18"/>
      <c r="K248" s="90"/>
      <c r="L248" s="90"/>
      <c r="M248" s="90"/>
      <c r="N248" s="90"/>
      <c r="O248" s="90"/>
    </row>
    <row r="249" spans="3:20" hidden="1" outlineLevel="1" x14ac:dyDescent="0.25">
      <c r="C249" s="40" t="s">
        <v>308</v>
      </c>
      <c r="D249" s="40"/>
      <c r="E249" s="40"/>
      <c r="F249" s="40"/>
      <c r="G249" s="30" t="str">
        <f>INDEX(Input_TU_YesNo[],MATCH(Calc_TUV_Env_2[[#This Row],[Cost item]],Input_TU_YesNo[Component],0),MATCH($D$224,Inputs!$C$210:$BM$210,0))</f>
        <v>Yes</v>
      </c>
      <c r="H249" s="49"/>
      <c r="I249" s="18"/>
      <c r="J249" s="18"/>
      <c r="K249" s="18"/>
      <c r="L249" s="18"/>
      <c r="M249" s="18"/>
      <c r="N249" s="18"/>
      <c r="O249" s="18"/>
    </row>
    <row r="250" spans="3:20" hidden="1" outlineLevel="1" x14ac:dyDescent="0.25">
      <c r="C250" s="18" t="s">
        <v>202</v>
      </c>
      <c r="D250" s="60" t="str">
        <f>Calc_TU_values!$D$224</f>
        <v>VDO 2023-24 - Final</v>
      </c>
      <c r="E250" s="18" t="s">
        <v>316</v>
      </c>
      <c r="F250" s="60" t="str">
        <f>INDEX(Inputs!$C$17:$AZ$17,1,MATCH($D250,Inputs!$C$15:$AZ$15,0))</f>
        <v>F-CurrentVDO_Input</v>
      </c>
      <c r="G250" s="41"/>
      <c r="H250" s="18" t="s">
        <v>178</v>
      </c>
      <c r="I250" s="18" t="s">
        <v>200</v>
      </c>
      <c r="J250" s="42" t="s">
        <v>133</v>
      </c>
      <c r="K250" s="46">
        <f>IFERROR(INDEX(Input_TUEnv_Actual[],MATCH($C250,Input_TUEnv_Actual[Cost item],0),MATCH($F250,Input_TUEnv_Actual[#Headers],0)),"-")</f>
        <v>40</v>
      </c>
      <c r="L250" s="46">
        <f>IFERROR(INDEX(Input_TUEnv_Actual[],MATCH($C250,Input_TUEnv_Actual[Cost item],0),MATCH($F250,Input_TUEnv_Actual[#Headers],0)),"-")</f>
        <v>40</v>
      </c>
      <c r="M250" s="46">
        <f>IFERROR(INDEX(Input_TUEnv_Actual[],MATCH($C250,Input_TUEnv_Actual[Cost item],0),MATCH($F250,Input_TUEnv_Actual[#Headers],0)),"-")</f>
        <v>40</v>
      </c>
      <c r="N250" s="46">
        <f>IFERROR(INDEX(Input_TUEnv_Actual[],MATCH($C250,Input_TUEnv_Actual[Cost item],0),MATCH($F250,Input_TUEnv_Actual[#Headers],0)),"-")</f>
        <v>40</v>
      </c>
      <c r="O250" s="46">
        <f>IFERROR(INDEX(Input_TUEnv_Actual[],MATCH($C250,Input_TUEnv_Actual[Cost item],0),MATCH($F250,Input_TUEnv_Actual[#Headers],0)),"-")</f>
        <v>40</v>
      </c>
    </row>
    <row r="251" spans="3:20" hidden="1" outlineLevel="1" x14ac:dyDescent="0.25">
      <c r="C251" s="42" t="s">
        <v>207</v>
      </c>
      <c r="D251" s="60" t="str">
        <f>Calc_TU_values!$D$224</f>
        <v>VDO 2023-24 - Final</v>
      </c>
      <c r="E251" s="18" t="s">
        <v>316</v>
      </c>
      <c r="F251" s="60" t="str">
        <f>INDEX(Inputs!$C$17:$AZ$17,1,MATCH($D251,Inputs!$C$15:$AZ$15,0))</f>
        <v>F-CurrentVDO_Input</v>
      </c>
      <c r="G251" s="41"/>
      <c r="H251" s="18" t="s">
        <v>178</v>
      </c>
      <c r="I251" s="18" t="s">
        <v>204</v>
      </c>
      <c r="J251" s="42" t="s">
        <v>133</v>
      </c>
      <c r="K251" s="48">
        <f>IFERROR(INDEX(Input_TUEnv_Actual[],MATCH($C251,Input_TUEnv_Actual[Cost item],0),MATCH($F251,Input_TUEnv_Actual[#Headers],0)),"-")</f>
        <v>0.21779999999999999</v>
      </c>
      <c r="L251" s="48">
        <f>IFERROR(INDEX(Input_TUEnv_Actual[],MATCH($C251,Input_TUEnv_Actual[Cost item],0),MATCH($F251,Input_TUEnv_Actual[#Headers],0)),"-")</f>
        <v>0.21779999999999999</v>
      </c>
      <c r="M251" s="48">
        <f>IFERROR(INDEX(Input_TUEnv_Actual[],MATCH($C251,Input_TUEnv_Actual[Cost item],0),MATCH($F251,Input_TUEnv_Actual[#Headers],0)),"-")</f>
        <v>0.21779999999999999</v>
      </c>
      <c r="N251" s="48">
        <f>IFERROR(INDEX(Input_TUEnv_Actual[],MATCH($C251,Input_TUEnv_Actual[Cost item],0),MATCH($F251,Input_TUEnv_Actual[#Headers],0)),"-")</f>
        <v>0.21779999999999999</v>
      </c>
      <c r="O251" s="48">
        <f>IFERROR(INDEX(Input_TUEnv_Actual[],MATCH($C251,Input_TUEnv_Actual[Cost item],0),MATCH($F251,Input_TUEnv_Actual[#Headers],0)),"-")</f>
        <v>0.21779999999999999</v>
      </c>
    </row>
    <row r="252" spans="3:20" hidden="1" outlineLevel="1" x14ac:dyDescent="0.25">
      <c r="C252" s="18" t="s">
        <v>411</v>
      </c>
      <c r="D252" s="60" t="str">
        <f>Calc_TU_values!$D$224</f>
        <v>VDO 2023-24 - Final</v>
      </c>
      <c r="E252" s="18" t="s">
        <v>316</v>
      </c>
      <c r="F252" s="60" t="str">
        <f>INDEX(Inputs!$C$17:$AZ$17,1,MATCH($D252,Inputs!$C$15:$AZ$15,0))</f>
        <v>F-CurrentVDO_Input</v>
      </c>
      <c r="G252" s="41"/>
      <c r="H252" s="18" t="s">
        <v>178</v>
      </c>
      <c r="I252" s="18" t="s">
        <v>69</v>
      </c>
      <c r="J252" s="42" t="s">
        <v>133</v>
      </c>
      <c r="K252" s="45">
        <f>IFERROR(K250*K251/1000,"-")</f>
        <v>8.7119999999999993E-3</v>
      </c>
      <c r="L252" s="45">
        <f>IFERROR(L250*L251/1000,"-")</f>
        <v>8.7119999999999993E-3</v>
      </c>
      <c r="M252" s="45">
        <f>IFERROR(M250*M251/1000,"-")</f>
        <v>8.7119999999999993E-3</v>
      </c>
      <c r="N252" s="45">
        <f>IFERROR(N250*N251/1000,"-")</f>
        <v>8.7119999999999993E-3</v>
      </c>
      <c r="O252" s="45">
        <f>IFERROR(O250*O251/1000,"-")</f>
        <v>8.7119999999999993E-3</v>
      </c>
    </row>
    <row r="253" spans="3:20" hidden="1" outlineLevel="1" x14ac:dyDescent="0.25">
      <c r="C253" s="18" t="s">
        <v>202</v>
      </c>
      <c r="D253" s="60" t="str">
        <f>INDEX(Input_DecisionActual[[Decision]:[Decision]],MATCH(Calc_TU_values!$D$224,Input_DecisionActual[[VDO period]:[VDO period]],0),1)</f>
        <v>VDO 2022-23 - Final</v>
      </c>
      <c r="E253" s="18" t="s">
        <v>96</v>
      </c>
      <c r="F253" s="60" t="str">
        <f>IF($D253="-","-",INDEX(Inputs!$C$17:$AZ$17,1,MATCH($D253,Inputs!$C$15:$AZ$15,0)))</f>
        <v>F-PreviousVDO_Input3</v>
      </c>
      <c r="G253" s="41"/>
      <c r="H253" s="18" t="s">
        <v>178</v>
      </c>
      <c r="I253" s="18" t="s">
        <v>200</v>
      </c>
      <c r="J253" s="42" t="s">
        <v>133</v>
      </c>
      <c r="K253" s="47">
        <f>IFERROR(INDEX(Input_ForRateCalc[],MATCH($C253,Input_ForRateCalc[Cost item],0),MATCH($F253,Inputs!$C$17:$AZ$17,0)),"-")</f>
        <v>40</v>
      </c>
      <c r="L253" s="47">
        <f>IFERROR(INDEX(Input_ForRateCalc[],MATCH($C253,Input_ForRateCalc[Cost item],0),MATCH($F253,Inputs!$C$17:$AZ$17,0)),"-")</f>
        <v>40</v>
      </c>
      <c r="M253" s="47">
        <f>IFERROR(INDEX(Input_ForRateCalc[],MATCH($C253,Input_ForRateCalc[Cost item],0),MATCH($F253,Inputs!$C$17:$AZ$17,0)),"-")</f>
        <v>40</v>
      </c>
      <c r="N253" s="47">
        <f>IFERROR(INDEX(Input_ForRateCalc[],MATCH($C253,Input_ForRateCalc[Cost item],0),MATCH($F253,Inputs!$C$17:$AZ$17,0)),"-")</f>
        <v>40</v>
      </c>
      <c r="O253" s="47">
        <f>IFERROR(INDEX(Input_ForRateCalc[],MATCH($C253,Input_ForRateCalc[Cost item],0),MATCH($F253,Inputs!$C$17:$AZ$17,0)),"-")</f>
        <v>40</v>
      </c>
    </row>
    <row r="254" spans="3:20" hidden="1" outlineLevel="1" x14ac:dyDescent="0.25">
      <c r="C254" s="42" t="s">
        <v>207</v>
      </c>
      <c r="D254" s="60" t="str">
        <f>INDEX(Input_DecisionActual[[Decision]:[Decision]],MATCH(Calc_TU_values!$D$224,Input_DecisionActual[[VDO period]:[VDO period]],0),1)</f>
        <v>VDO 2022-23 - Final</v>
      </c>
      <c r="E254" s="18" t="s">
        <v>96</v>
      </c>
      <c r="F254" s="60" t="str">
        <f>IF($D254="-","-",INDEX(Inputs!$C$17:$AZ$17,1,MATCH($D254,Inputs!$C$15:$AZ$15,0)))</f>
        <v>F-PreviousVDO_Input3</v>
      </c>
      <c r="G254" s="41"/>
      <c r="H254" s="18" t="s">
        <v>178</v>
      </c>
      <c r="I254" s="18" t="s">
        <v>204</v>
      </c>
      <c r="J254" s="42" t="s">
        <v>133</v>
      </c>
      <c r="K254" s="48">
        <f>IFERROR(INDEX(Input_ForRateCalc[],MATCH($C254,Input_ForRateCalc[Cost item],0),MATCH($F254,Inputs!$C$17:$AZ$17,0)),"-")</f>
        <v>0.248</v>
      </c>
      <c r="L254" s="48">
        <f>IFERROR(INDEX(Input_ForRateCalc[],MATCH($C254,Input_ForRateCalc[Cost item],0),MATCH($F254,Inputs!$C$17:$AZ$17,0)),"-")</f>
        <v>0.248</v>
      </c>
      <c r="M254" s="48">
        <f>IFERROR(INDEX(Input_ForRateCalc[],MATCH($C254,Input_ForRateCalc[Cost item],0),MATCH($F254,Inputs!$C$17:$AZ$17,0)),"-")</f>
        <v>0.248</v>
      </c>
      <c r="N254" s="48">
        <f>IFERROR(INDEX(Input_ForRateCalc[],MATCH($C254,Input_ForRateCalc[Cost item],0),MATCH($F254,Inputs!$C$17:$AZ$17,0)),"-")</f>
        <v>0.248</v>
      </c>
      <c r="O254" s="48">
        <f>IFERROR(INDEX(Input_ForRateCalc[],MATCH($C254,Input_ForRateCalc[Cost item],0),MATCH($F254,Inputs!$C$17:$AZ$17,0)),"-")</f>
        <v>0.248</v>
      </c>
    </row>
    <row r="255" spans="3:20" hidden="1" outlineLevel="1" x14ac:dyDescent="0.25">
      <c r="C255" s="18" t="s">
        <v>411</v>
      </c>
      <c r="D255" s="60" t="str">
        <f>INDEX(Input_DecisionActual[[Decision]:[Decision]],MATCH(Calc_TU_values!$D$224,Input_DecisionActual[[VDO period]:[VDO period]],0),1)</f>
        <v>VDO 2022-23 - Final</v>
      </c>
      <c r="E255" s="18" t="s">
        <v>96</v>
      </c>
      <c r="F255" s="60" t="str">
        <f>IF($D255="-","-",INDEX(Inputs!$C$17:$AZ$17,1,MATCH($D255,Inputs!$C$15:$AZ$15,0)))</f>
        <v>F-PreviousVDO_Input3</v>
      </c>
      <c r="G255" s="41"/>
      <c r="H255" s="18" t="s">
        <v>178</v>
      </c>
      <c r="I255" s="18" t="s">
        <v>69</v>
      </c>
      <c r="J255" s="42" t="s">
        <v>133</v>
      </c>
      <c r="K255" s="45">
        <f>IFERROR(K253*K254/1000,"-")</f>
        <v>9.92E-3</v>
      </c>
      <c r="L255" s="45">
        <f>IFERROR(L253*L254/1000,"-")</f>
        <v>9.92E-3</v>
      </c>
      <c r="M255" s="45">
        <f>IFERROR(M253*M254/1000,"-")</f>
        <v>9.92E-3</v>
      </c>
      <c r="N255" s="45">
        <f>IFERROR(N253*N254/1000,"-")</f>
        <v>9.92E-3</v>
      </c>
      <c r="O255" s="45">
        <f>IFERROR(O253*O254/1000,"-")</f>
        <v>9.92E-3</v>
      </c>
    </row>
    <row r="256" spans="3:20" hidden="1" outlineLevel="1" x14ac:dyDescent="0.25">
      <c r="C256" s="18" t="s">
        <v>412</v>
      </c>
      <c r="D256" s="18"/>
      <c r="E256" s="18"/>
      <c r="F256" s="18"/>
      <c r="G256" s="18"/>
      <c r="H256" s="18" t="s">
        <v>178</v>
      </c>
      <c r="I256" s="18" t="s">
        <v>69</v>
      </c>
      <c r="J256" s="18" t="s">
        <v>133</v>
      </c>
      <c r="K256" s="89">
        <f>IFERROR(K252-K255,"-")</f>
        <v>-1.2080000000000007E-3</v>
      </c>
      <c r="L256" s="89">
        <f>IFERROR(L252-L255,"-")</f>
        <v>-1.2080000000000007E-3</v>
      </c>
      <c r="M256" s="89">
        <f>IFERROR(M252-M255,"-")</f>
        <v>-1.2080000000000007E-3</v>
      </c>
      <c r="N256" s="89">
        <f>IFERROR(N252-N255,"-")</f>
        <v>-1.2080000000000007E-3</v>
      </c>
      <c r="O256" s="89">
        <f>IFERROR(O252-O255,"-")</f>
        <v>-1.2080000000000007E-3</v>
      </c>
    </row>
    <row r="257" spans="2:15" hidden="1" outlineLevel="1" x14ac:dyDescent="0.25">
      <c r="C257" s="18" t="s">
        <v>413</v>
      </c>
      <c r="D257" s="60" t="str">
        <f>INDEX(Input_DecisionActual[[Decision]:[Decision]],MATCH(Calc_TU_values!$D$224,Input_DecisionActual[[VDO period]:[VDO period]],0),1)</f>
        <v>VDO 2022-23 - Final</v>
      </c>
      <c r="E257" s="18" t="s">
        <v>96</v>
      </c>
      <c r="F257" s="60" t="str">
        <f>IF($D257="-","-",INDEX(Inputs!$C$17:$AZ$17,1,MATCH($D257,Inputs!$C$15:$AZ$15,0)))</f>
        <v>F-PreviousVDO_Input3</v>
      </c>
      <c r="G257" s="18"/>
      <c r="H257" s="18" t="s">
        <v>178</v>
      </c>
      <c r="I257" s="18" t="s">
        <v>69</v>
      </c>
      <c r="J257" s="18" t="s">
        <v>133</v>
      </c>
      <c r="K257" s="90">
        <f>IFERROR(K256*(INDEX(Inputs!$C$18:$AZ$141,MATCH("Marginal loss factor - "&amp;K$15,Input_ForRateCalc[Cost item],0),MATCH($F257,Inputs!$C$17:$AZ$17,0))*INDEX(Inputs!$C$18:$AZ$141,MATCH("Distribution loss factor - "&amp;K$15,Input_ForRateCalc[Cost item],0),MATCH($F257,Inputs!$C$17:$AZ$17,0))-1),"-")</f>
        <v>-9.5515923815455472E-5</v>
      </c>
      <c r="L257" s="90">
        <f>IFERROR(L256*(INDEX(Inputs!$C$18:$AZ$141,MATCH("Marginal loss factor - "&amp;L$15,Input_ForRateCalc[Cost item],0),MATCH($F257,Inputs!$C$17:$AZ$17,0))*INDEX(Inputs!$C$18:$AZ$141,MATCH("Distribution loss factor - "&amp;L$15,Input_ForRateCalc[Cost item],0),MATCH($F257,Inputs!$C$17:$AZ$17,0))-1),"-")</f>
        <v>-5.6277134655999936E-5</v>
      </c>
      <c r="M257" s="90">
        <f>IFERROR(M256*(INDEX(Inputs!$C$18:$AZ$141,MATCH("Marginal loss factor - "&amp;M$15,Input_ForRateCalc[Cost item],0),MATCH($F257,Inputs!$C$17:$AZ$17,0))*INDEX(Inputs!$C$18:$AZ$141,MATCH("Distribution loss factor - "&amp;M$15,Input_ForRateCalc[Cost item],0),MATCH($F257,Inputs!$C$17:$AZ$17,0))-1),"-")</f>
        <v>-4.5516771070000129E-5</v>
      </c>
      <c r="N257" s="90">
        <f>IFERROR(N256*(INDEX(Inputs!$C$18:$AZ$141,MATCH("Marginal loss factor - "&amp;N$15,Input_ForRateCalc[Cost item],0),MATCH($F257,Inputs!$C$17:$AZ$17,0))*INDEX(Inputs!$C$18:$AZ$141,MATCH("Distribution loss factor - "&amp;N$15,Input_ForRateCalc[Cost item],0),MATCH($F257,Inputs!$C$17:$AZ$17,0))-1),"-")</f>
        <v>-8.3980211401021003E-5</v>
      </c>
      <c r="O257" s="90">
        <f>IFERROR(O256*(INDEX(Inputs!$C$18:$AZ$141,MATCH("Marginal loss factor - "&amp;O$15,Input_ForRateCalc[Cost item],0),MATCH($F257,Inputs!$C$17:$AZ$17,0))*INDEX(Inputs!$C$18:$AZ$141,MATCH("Distribution loss factor - "&amp;O$15,Input_ForRateCalc[Cost item],0),MATCH($F257,Inputs!$C$17:$AZ$17,0))-1),"-")</f>
        <v>-5.2837631177031839E-5</v>
      </c>
    </row>
    <row r="258" spans="2:15" hidden="1" outlineLevel="1" x14ac:dyDescent="0.25">
      <c r="C258" s="18" t="s">
        <v>414</v>
      </c>
      <c r="D258" s="60" t="str">
        <f>INDEX(Input_DecisionActual[[Decision]:[Decision]],MATCH(Calc_TU_values!$D$224,Input_DecisionActual[[VDO period]:[VDO period]],0),1)</f>
        <v>VDO 2022-23 - Final</v>
      </c>
      <c r="E258" s="18" t="s">
        <v>96</v>
      </c>
      <c r="F258" s="60" t="str">
        <f>IF($D258="-","-",INDEX(Inputs!$C$17:$AZ$17,1,MATCH($D258,Inputs!$C$15:$AZ$15,0)))</f>
        <v>F-PreviousVDO_Input3</v>
      </c>
      <c r="G258" s="18"/>
      <c r="H258" s="18" t="s">
        <v>178</v>
      </c>
      <c r="I258" s="18" t="s">
        <v>69</v>
      </c>
      <c r="J258" s="18" t="s">
        <v>133</v>
      </c>
      <c r="K258" s="90">
        <f>IFERROR(SUM(K256:K257)*(INDEX(Inputs!$C$18:$AZ$141,MATCH("Retail operating margin",Input_ForRateCalc[Cost item],0),MATCH($F258,Inputs!$C$17:$AZ$17,0))),"-")</f>
        <v>-7.873236179845356E-5</v>
      </c>
      <c r="L258" s="90">
        <f>IFERROR(SUM(L256:L257)*(INDEX(Inputs!$C$18:$AZ$141,MATCH("Retail operating margin",Input_ForRateCalc[Cost item],0),MATCH($F258,Inputs!$C$17:$AZ$17,0))),"-")</f>
        <v>-7.6362338933222442E-5</v>
      </c>
      <c r="M258" s="90">
        <f>IFERROR(SUM(M256:M257)*(INDEX(Inputs!$C$18:$AZ$141,MATCH("Retail operating margin",Input_ForRateCalc[Cost item],0),MATCH($F258,Inputs!$C$17:$AZ$17,0))),"-")</f>
        <v>-7.5712412972628055E-5</v>
      </c>
      <c r="N258" s="90">
        <f>IFERROR(SUM(N256:N257)*(INDEX(Inputs!$C$18:$AZ$141,MATCH("Retail operating margin",Input_ForRateCalc[Cost item],0),MATCH($F258,Inputs!$C$17:$AZ$17,0))),"-")</f>
        <v>-7.8035604768621718E-5</v>
      </c>
      <c r="O258" s="90">
        <f>IFERROR(SUM(O256:O257)*(INDEX(Inputs!$C$18:$AZ$141,MATCH("Retail operating margin",Input_ForRateCalc[Cost item],0),MATCH($F258,Inputs!$C$17:$AZ$17,0))),"-")</f>
        <v>-7.6154592923092775E-5</v>
      </c>
    </row>
    <row r="259" spans="2:15" hidden="1" outlineLevel="1" x14ac:dyDescent="0.25">
      <c r="C259" s="18" t="s">
        <v>415</v>
      </c>
      <c r="D259" s="18"/>
      <c r="E259" s="18"/>
      <c r="F259" s="18"/>
      <c r="G259" s="18"/>
      <c r="H259" s="18" t="s">
        <v>178</v>
      </c>
      <c r="I259" s="18" t="s">
        <v>69</v>
      </c>
      <c r="J259" s="18" t="s">
        <v>133</v>
      </c>
      <c r="K259" s="90">
        <f>SUM(K256:K258)*GST</f>
        <v>-1.3822482856139099E-4</v>
      </c>
      <c r="L259" s="90">
        <f>SUM(L256:L258)*GST</f>
        <v>-1.3406394735892231E-4</v>
      </c>
      <c r="M259" s="90">
        <f>SUM(M256:M258)*GST</f>
        <v>-1.329229184042629E-4</v>
      </c>
      <c r="N259" s="90">
        <f>SUM(N256:N258)*GST</f>
        <v>-1.3700158161696435E-4</v>
      </c>
      <c r="O259" s="90">
        <f>SUM(O256:O258)*GST</f>
        <v>-1.3369922241001253E-4</v>
      </c>
    </row>
    <row r="260" spans="2:15" hidden="1" outlineLevel="1" x14ac:dyDescent="0.25">
      <c r="C260" s="42" t="s">
        <v>405</v>
      </c>
      <c r="D260" s="42"/>
      <c r="E260" s="42"/>
      <c r="F260" s="42"/>
      <c r="H260" s="42" t="s">
        <v>178</v>
      </c>
      <c r="I260" s="42" t="s">
        <v>69</v>
      </c>
      <c r="J260" s="42" t="s">
        <v>133</v>
      </c>
      <c r="K260" s="90">
        <f>SUM(K256:K259)</f>
        <v>-1.5204731141753008E-3</v>
      </c>
      <c r="L260" s="90">
        <f>SUM(L256:L259)</f>
        <v>-1.4747034209481452E-3</v>
      </c>
      <c r="M260" s="90">
        <f>SUM(M256:M259)</f>
        <v>-1.4621521024468919E-3</v>
      </c>
      <c r="N260" s="90">
        <f>SUM(N256:N259)</f>
        <v>-1.5070173977866077E-3</v>
      </c>
      <c r="O260" s="90">
        <f>SUM(O256:O259)</f>
        <v>-1.470691446510138E-3</v>
      </c>
    </row>
    <row r="261" spans="2:15" hidden="1" outlineLevel="1" x14ac:dyDescent="0.25">
      <c r="C261" s="18"/>
      <c r="D261" s="18"/>
      <c r="E261" s="18"/>
      <c r="F261" s="18"/>
      <c r="G261" s="18"/>
      <c r="H261" s="18"/>
      <c r="I261" s="18"/>
      <c r="J261" s="18"/>
      <c r="K261" s="46"/>
      <c r="L261" s="46"/>
      <c r="M261" s="46"/>
      <c r="N261" s="46"/>
      <c r="O261" s="46"/>
    </row>
    <row r="262" spans="2:15" hidden="1" outlineLevel="1" x14ac:dyDescent="0.25">
      <c r="C262" s="40" t="s">
        <v>309</v>
      </c>
      <c r="D262" s="40"/>
      <c r="E262" s="40"/>
      <c r="F262" s="40"/>
      <c r="G262" s="30" t="str">
        <f>INDEX(Input_TU_YesNo[],MATCH(Calc_TUV_Env_2[[#This Row],[Cost item]],Input_TU_YesNo[Component],0),MATCH($D$224,Inputs!$C$210:$BM$210,0))</f>
        <v>No</v>
      </c>
      <c r="H262" s="49"/>
      <c r="I262" s="18"/>
      <c r="J262" s="18"/>
      <c r="K262" s="18"/>
      <c r="L262" s="18"/>
      <c r="M262" s="18"/>
      <c r="N262" s="18"/>
      <c r="O262" s="18"/>
    </row>
    <row r="263" spans="2:15" hidden="1" outlineLevel="1" x14ac:dyDescent="0.25">
      <c r="C263" s="18" t="s">
        <v>199</v>
      </c>
      <c r="D263" s="60" t="str">
        <f>Calc_TU_values!$D$224</f>
        <v>VDO 2023-24 - Final</v>
      </c>
      <c r="E263" s="18" t="s">
        <v>316</v>
      </c>
      <c r="F263" s="60" t="str">
        <f>INDEX(Inputs!$C$17:$AZ$17,1,MATCH($D263,Inputs!$C$15:$AZ$15,0))</f>
        <v>F-CurrentVDO_Input</v>
      </c>
      <c r="G263" s="41"/>
      <c r="H263" s="18" t="s">
        <v>178</v>
      </c>
      <c r="I263" s="18" t="s">
        <v>200</v>
      </c>
      <c r="J263" s="42" t="s">
        <v>133</v>
      </c>
      <c r="K263" s="46">
        <f>IFERROR(INDEX(Input_TUEnv_Actual[],MATCH($C263,Input_TUEnv_Actual[Cost item],0),MATCH($F263,Input_TUEnv_Actual[#Headers],0)),"-")</f>
        <v>73.62</v>
      </c>
      <c r="L263" s="46">
        <f>IFERROR(INDEX(Input_TUEnv_Actual[],MATCH($C263,Input_TUEnv_Actual[Cost item],0),MATCH($F263,Input_TUEnv_Actual[#Headers],0)),"-")</f>
        <v>73.62</v>
      </c>
      <c r="M263" s="46">
        <f>IFERROR(INDEX(Input_TUEnv_Actual[],MATCH($C263,Input_TUEnv_Actual[Cost item],0),MATCH($F263,Input_TUEnv_Actual[#Headers],0)),"-")</f>
        <v>73.62</v>
      </c>
      <c r="N263" s="46">
        <f>IFERROR(INDEX(Input_TUEnv_Actual[],MATCH($C263,Input_TUEnv_Actual[Cost item],0),MATCH($F263,Input_TUEnv_Actual[#Headers],0)),"-")</f>
        <v>73.62</v>
      </c>
      <c r="O263" s="46">
        <f>IFERROR(INDEX(Input_TUEnv_Actual[],MATCH($C263,Input_TUEnv_Actual[Cost item],0),MATCH($F263,Input_TUEnv_Actual[#Headers],0)),"-")</f>
        <v>73.62</v>
      </c>
    </row>
    <row r="264" spans="2:15" hidden="1" outlineLevel="1" x14ac:dyDescent="0.25">
      <c r="C264" s="18" t="s">
        <v>203</v>
      </c>
      <c r="D264" s="60" t="str">
        <f>Calc_TU_values!$D$224</f>
        <v>VDO 2023-24 - Final</v>
      </c>
      <c r="E264" s="18" t="s">
        <v>316</v>
      </c>
      <c r="F264" s="60" t="str">
        <f>INDEX(Inputs!$C$17:$AZ$17,1,MATCH($D264,Inputs!$C$15:$AZ$15,0))</f>
        <v>F-CurrentVDO_Input</v>
      </c>
      <c r="G264" s="41"/>
      <c r="H264" s="18" t="s">
        <v>178</v>
      </c>
      <c r="I264" s="18" t="s">
        <v>204</v>
      </c>
      <c r="J264" s="42" t="s">
        <v>133</v>
      </c>
      <c r="K264" s="48">
        <f>IFERROR(INDEX(Input_TUEnv_Actual[],MATCH($C264,Input_TUEnv_Actual[Cost item],0),MATCH($F264,Input_TUEnv_Actual[#Headers],0)),"-")</f>
        <v>0.16113</v>
      </c>
      <c r="L264" s="48">
        <f>IFERROR(INDEX(Input_TUEnv_Actual[],MATCH($C264,Input_TUEnv_Actual[Cost item],0),MATCH($F264,Input_TUEnv_Actual[#Headers],0)),"-")</f>
        <v>0.16113</v>
      </c>
      <c r="M264" s="48">
        <f>IFERROR(INDEX(Input_TUEnv_Actual[],MATCH($C264,Input_TUEnv_Actual[Cost item],0),MATCH($F264,Input_TUEnv_Actual[#Headers],0)),"-")</f>
        <v>0.16113</v>
      </c>
      <c r="N264" s="48">
        <f>IFERROR(INDEX(Input_TUEnv_Actual[],MATCH($C264,Input_TUEnv_Actual[Cost item],0),MATCH($F264,Input_TUEnv_Actual[#Headers],0)),"-")</f>
        <v>0.16113</v>
      </c>
      <c r="O264" s="48">
        <f>IFERROR(INDEX(Input_TUEnv_Actual[],MATCH($C264,Input_TUEnv_Actual[Cost item],0),MATCH($F264,Input_TUEnv_Actual[#Headers],0)),"-")</f>
        <v>0.16113</v>
      </c>
    </row>
    <row r="265" spans="2:15" hidden="1" outlineLevel="1" x14ac:dyDescent="0.25">
      <c r="C265" s="18" t="s">
        <v>411</v>
      </c>
      <c r="D265" s="60" t="str">
        <f>Calc_TU_values!$D$224</f>
        <v>VDO 2023-24 - Final</v>
      </c>
      <c r="E265" s="18" t="s">
        <v>316</v>
      </c>
      <c r="F265" s="60" t="str">
        <f>INDEX(Inputs!$C$17:$AZ$17,1,MATCH($D265,Inputs!$C$15:$AZ$15,0))</f>
        <v>F-CurrentVDO_Input</v>
      </c>
      <c r="G265" s="41"/>
      <c r="H265" s="18" t="s">
        <v>178</v>
      </c>
      <c r="I265" s="18" t="s">
        <v>69</v>
      </c>
      <c r="J265" s="42" t="s">
        <v>133</v>
      </c>
      <c r="K265" s="45">
        <f>IFERROR(K263*K264/1000,"-")</f>
        <v>1.1862390600000002E-2</v>
      </c>
      <c r="L265" s="45">
        <f>IFERROR(L263*L264/1000,"-")</f>
        <v>1.1862390600000002E-2</v>
      </c>
      <c r="M265" s="45">
        <f>IFERROR(M263*M264/1000,"-")</f>
        <v>1.1862390600000002E-2</v>
      </c>
      <c r="N265" s="45">
        <f>IFERROR(N263*N264/1000,"-")</f>
        <v>1.1862390600000002E-2</v>
      </c>
      <c r="O265" s="45">
        <f>IFERROR(O263*O264/1000,"-")</f>
        <v>1.1862390600000002E-2</v>
      </c>
    </row>
    <row r="266" spans="2:15" hidden="1" outlineLevel="1" x14ac:dyDescent="0.25">
      <c r="C266" s="18" t="s">
        <v>199</v>
      </c>
      <c r="D266" s="60" t="str">
        <f>INDEX(Input_DecisionActual[[Decision]:[Decision]],MATCH(Calc_TU_values!$D$224,Input_DecisionActual[[VDO period]:[VDO period]],0),1)</f>
        <v>VDO 2022-23 - Final</v>
      </c>
      <c r="E266" s="18" t="s">
        <v>96</v>
      </c>
      <c r="F266" s="60" t="str">
        <f>IF($D266="-","-",INDEX(Inputs!$C$17:$AZ$17,1,MATCH($D266,Inputs!$C$15:$AZ$15,0)))</f>
        <v>F-PreviousVDO_Input3</v>
      </c>
      <c r="G266" s="41"/>
      <c r="H266" s="18" t="s">
        <v>178</v>
      </c>
      <c r="I266" s="18" t="s">
        <v>200</v>
      </c>
      <c r="J266" s="42" t="s">
        <v>133</v>
      </c>
      <c r="K266" s="47">
        <f>IFERROR(INDEX(Input_ForRateCalc[],MATCH($C266,Input_ForRateCalc[Cost item],0),MATCH($F266,Inputs!$C$17:$AZ$17,0)),"-")</f>
        <v>73.624003962523105</v>
      </c>
      <c r="L266" s="47">
        <f>IFERROR(INDEX(Input_ForRateCalc[],MATCH($C266,Input_ForRateCalc[Cost item],0),MATCH($F266,Inputs!$C$17:$AZ$17,0)),"-")</f>
        <v>73.624003962523105</v>
      </c>
      <c r="M266" s="47">
        <f>IFERROR(INDEX(Input_ForRateCalc[],MATCH($C266,Input_ForRateCalc[Cost item],0),MATCH($F266,Inputs!$C$17:$AZ$17,0)),"-")</f>
        <v>73.624003962523105</v>
      </c>
      <c r="N266" s="47">
        <f>IFERROR(INDEX(Input_ForRateCalc[],MATCH($C266,Input_ForRateCalc[Cost item],0),MATCH($F266,Inputs!$C$17:$AZ$17,0)),"-")</f>
        <v>73.624003962523105</v>
      </c>
      <c r="O266" s="47">
        <f>IFERROR(INDEX(Input_ForRateCalc[],MATCH($C266,Input_ForRateCalc[Cost item],0),MATCH($F266,Inputs!$C$17:$AZ$17,0)),"-")</f>
        <v>73.624003962523105</v>
      </c>
    </row>
    <row r="267" spans="2:15" hidden="1" outlineLevel="1" x14ac:dyDescent="0.25">
      <c r="B267"/>
      <c r="C267" s="18" t="s">
        <v>203</v>
      </c>
      <c r="D267" s="60" t="str">
        <f>INDEX(Input_DecisionActual[[Decision]:[Decision]],MATCH(Calc_TU_values!$D$224,Input_DecisionActual[[VDO period]:[VDO period]],0),1)</f>
        <v>VDO 2022-23 - Final</v>
      </c>
      <c r="E267" s="18" t="s">
        <v>96</v>
      </c>
      <c r="F267" s="60" t="str">
        <f>IF($D267="-","-",INDEX(Inputs!$C$17:$AZ$17,1,MATCH($D267,Inputs!$C$15:$AZ$15,0)))</f>
        <v>F-PreviousVDO_Input3</v>
      </c>
      <c r="G267" s="41"/>
      <c r="H267" s="18" t="s">
        <v>178</v>
      </c>
      <c r="I267" s="18" t="s">
        <v>204</v>
      </c>
      <c r="J267" s="42" t="s">
        <v>133</v>
      </c>
      <c r="K267" s="48">
        <f>IFERROR(INDEX(Input_ForRateCalc[],MATCH($C267,Input_ForRateCalc[Cost item],0),MATCH($F267,Inputs!$C$17:$AZ$17,0)),"-")</f>
        <v>0.16113</v>
      </c>
      <c r="L267" s="48">
        <f>IFERROR(INDEX(Input_ForRateCalc[],MATCH($C267,Input_ForRateCalc[Cost item],0),MATCH($F267,Inputs!$C$17:$AZ$17,0)),"-")</f>
        <v>0.16113</v>
      </c>
      <c r="M267" s="48">
        <f>IFERROR(INDEX(Input_ForRateCalc[],MATCH($C267,Input_ForRateCalc[Cost item],0),MATCH($F267,Inputs!$C$17:$AZ$17,0)),"-")</f>
        <v>0.16113</v>
      </c>
      <c r="N267" s="48">
        <f>IFERROR(INDEX(Input_ForRateCalc[],MATCH($C267,Input_ForRateCalc[Cost item],0),MATCH($F267,Inputs!$C$17:$AZ$17,0)),"-")</f>
        <v>0.16113</v>
      </c>
      <c r="O267" s="48">
        <f>IFERROR(INDEX(Input_ForRateCalc[],MATCH($C267,Input_ForRateCalc[Cost item],0),MATCH($F267,Inputs!$C$17:$AZ$17,0)),"-")</f>
        <v>0.16113</v>
      </c>
    </row>
    <row r="268" spans="2:15" hidden="1" outlineLevel="1" x14ac:dyDescent="0.25">
      <c r="B268"/>
      <c r="C268" s="18" t="s">
        <v>411</v>
      </c>
      <c r="D268" s="60" t="str">
        <f>INDEX(Input_DecisionActual[[Decision]:[Decision]],MATCH(Calc_TU_values!$D$224,Input_DecisionActual[[VDO period]:[VDO period]],0),1)</f>
        <v>VDO 2022-23 - Final</v>
      </c>
      <c r="E268" s="18" t="s">
        <v>96</v>
      </c>
      <c r="F268" s="60" t="str">
        <f>IF($D268="-","-",INDEX(Inputs!$C$17:$AZ$17,1,MATCH($D268,Inputs!$C$15:$AZ$15,0)))</f>
        <v>F-PreviousVDO_Input3</v>
      </c>
      <c r="G268" s="41"/>
      <c r="H268" s="18" t="s">
        <v>178</v>
      </c>
      <c r="I268" s="18" t="s">
        <v>69</v>
      </c>
      <c r="J268" s="42" t="s">
        <v>133</v>
      </c>
      <c r="K268" s="45">
        <f>IFERROR(K266*K267/1000,"-")</f>
        <v>1.1863035758481346E-2</v>
      </c>
      <c r="L268" s="45">
        <f>IFERROR(L266*L267/1000,"-")</f>
        <v>1.1863035758481346E-2</v>
      </c>
      <c r="M268" s="45">
        <f>IFERROR(M266*M267/1000,"-")</f>
        <v>1.1863035758481346E-2</v>
      </c>
      <c r="N268" s="45">
        <f>IFERROR(N266*N267/1000,"-")</f>
        <v>1.1863035758481346E-2</v>
      </c>
      <c r="O268" s="45">
        <f>IFERROR(O266*O267/1000,"-")</f>
        <v>1.1863035758481346E-2</v>
      </c>
    </row>
    <row r="269" spans="2:15" hidden="1" outlineLevel="1" x14ac:dyDescent="0.25">
      <c r="C269" s="18" t="s">
        <v>412</v>
      </c>
      <c r="D269" s="18"/>
      <c r="E269" s="18"/>
      <c r="F269" s="18"/>
      <c r="G269" s="18"/>
      <c r="H269" s="18" t="s">
        <v>178</v>
      </c>
      <c r="I269" s="18" t="s">
        <v>69</v>
      </c>
      <c r="J269" s="18" t="s">
        <v>133</v>
      </c>
      <c r="K269" s="89">
        <f>IFERROR(K265-K268,"-")</f>
        <v>-6.4515848134487352E-7</v>
      </c>
      <c r="L269" s="89">
        <f>IFERROR(L265-L268,"-")</f>
        <v>-6.4515848134487352E-7</v>
      </c>
      <c r="M269" s="89">
        <f>IFERROR(M265-M268,"-")</f>
        <v>-6.4515848134487352E-7</v>
      </c>
      <c r="N269" s="89">
        <f>IFERROR(N265-N268,"-")</f>
        <v>-6.4515848134487352E-7</v>
      </c>
      <c r="O269" s="89">
        <f>IFERROR(O265-O268,"-")</f>
        <v>-6.4515848134487352E-7</v>
      </c>
    </row>
    <row r="270" spans="2:15" hidden="1" outlineLevel="1" x14ac:dyDescent="0.25">
      <c r="C270" s="18" t="s">
        <v>413</v>
      </c>
      <c r="D270" s="60" t="str">
        <f>INDEX(Input_DecisionActual[[Decision]:[Decision]],MATCH(Calc_TU_values!$D$224,Input_DecisionActual[[VDO period]:[VDO period]],0),1)</f>
        <v>VDO 2022-23 - Final</v>
      </c>
      <c r="E270" s="18" t="s">
        <v>96</v>
      </c>
      <c r="F270" s="60" t="str">
        <f>IF($D270="-","-",INDEX(Inputs!$C$17:$AZ$17,1,MATCH($D270,Inputs!$C$15:$AZ$15,0)))</f>
        <v>F-PreviousVDO_Input3</v>
      </c>
      <c r="G270" s="18"/>
      <c r="H270" s="18" t="s">
        <v>178</v>
      </c>
      <c r="I270" s="18" t="s">
        <v>69</v>
      </c>
      <c r="J270" s="18" t="s">
        <v>133</v>
      </c>
      <c r="K270" s="90">
        <f>IFERROR(K269*(INDEX(Inputs!$C$18:$AZ$141,MATCH("Marginal loss factor - "&amp;K$15,Input_ForRateCalc[Cost item],0),MATCH($F270,Inputs!$C$17:$AZ$17,0))*INDEX(Inputs!$C$18:$AZ$141,MATCH("Distribution loss factor - "&amp;K$15,Input_ForRateCalc[Cost item],0),MATCH($F270,Inputs!$C$17:$AZ$17,0))-1),"-")</f>
        <v>-5.101234135184756E-8</v>
      </c>
      <c r="L270" s="90">
        <f>IFERROR(L269*(INDEX(Inputs!$C$18:$AZ$141,MATCH("Marginal loss factor - "&amp;L$15,Input_ForRateCalc[Cost item],0),MATCH($F270,Inputs!$C$17:$AZ$17,0))*INDEX(Inputs!$C$18:$AZ$141,MATCH("Distribution loss factor - "&amp;L$15,Input_ForRateCalc[Cost item],0),MATCH($F270,Inputs!$C$17:$AZ$17,0))-1),"-")</f>
        <v>-3.0056018815484974E-8</v>
      </c>
      <c r="M270" s="90">
        <f>IFERROR(M269*(INDEX(Inputs!$C$18:$AZ$141,MATCH("Marginal loss factor - "&amp;M$15,Input_ForRateCalc[Cost item],0),MATCH($F270,Inputs!$C$17:$AZ$17,0))*INDEX(Inputs!$C$18:$AZ$141,MATCH("Distribution loss factor - "&amp;M$15,Input_ForRateCalc[Cost item],0),MATCH($F270,Inputs!$C$17:$AZ$17,0))-1),"-")</f>
        <v>-2.4309214320565841E-8</v>
      </c>
      <c r="N270" s="90">
        <f>IFERROR(N269*(INDEX(Inputs!$C$18:$AZ$141,MATCH("Marginal loss factor - "&amp;N$15,Input_ForRateCalc[Cost item],0),MATCH($F270,Inputs!$C$17:$AZ$17,0))*INDEX(Inputs!$C$18:$AZ$141,MATCH("Distribution loss factor - "&amp;N$15,Input_ForRateCalc[Cost item],0),MATCH($F270,Inputs!$C$17:$AZ$17,0))-1),"-")</f>
        <v>-4.4851445074920615E-8</v>
      </c>
      <c r="O270" s="90">
        <f>IFERROR(O269*(INDEX(Inputs!$C$18:$AZ$141,MATCH("Marginal loss factor - "&amp;O$15,Input_ForRateCalc[Cost item],0),MATCH($F270,Inputs!$C$17:$AZ$17,0))*INDEX(Inputs!$C$18:$AZ$141,MATCH("Distribution loss factor - "&amp;O$15,Input_ForRateCalc[Cost item],0),MATCH($F270,Inputs!$C$17:$AZ$17,0))-1),"-")</f>
        <v>-2.8219077721882768E-8</v>
      </c>
    </row>
    <row r="271" spans="2:15" hidden="1" outlineLevel="1" x14ac:dyDescent="0.25">
      <c r="B271"/>
      <c r="C271" s="18" t="s">
        <v>414</v>
      </c>
      <c r="D271" s="60" t="str">
        <f>INDEX(Input_DecisionActual[[Decision]:[Decision]],MATCH(Calc_TU_values!$D$224,Input_DecisionActual[[VDO period]:[VDO period]],0),1)</f>
        <v>VDO 2022-23 - Final</v>
      </c>
      <c r="E271" s="18" t="s">
        <v>96</v>
      </c>
      <c r="F271" s="60" t="str">
        <f>IF($D271="-","-",INDEX(Inputs!$C$17:$AZ$17,1,MATCH($D271,Inputs!$C$15:$AZ$15,0)))</f>
        <v>F-PreviousVDO_Input3</v>
      </c>
      <c r="G271" s="18"/>
      <c r="H271" s="18" t="s">
        <v>178</v>
      </c>
      <c r="I271" s="18" t="s">
        <v>69</v>
      </c>
      <c r="J271" s="18" t="s">
        <v>133</v>
      </c>
      <c r="K271" s="90">
        <f>IFERROR(SUM(K269:K270)*(INDEX(Inputs!$C$18:$AZ$141,MATCH("Retail operating margin",Input_ForRateCalc[Cost item],0),MATCH($F271,Inputs!$C$17:$AZ$17,0))),"-")</f>
        <v>-4.2048717690881954E-8</v>
      </c>
      <c r="L271" s="90">
        <f>IFERROR(SUM(L269:L270)*(INDEX(Inputs!$C$18:$AZ$141,MATCH("Retail operating margin",Input_ForRateCalc[Cost item],0),MATCH($F271,Inputs!$C$17:$AZ$17,0))),"-")</f>
        <v>-4.0782955809685654E-8</v>
      </c>
      <c r="M271" s="90">
        <f>IFERROR(SUM(M269:M270)*(INDEX(Inputs!$C$18:$AZ$141,MATCH("Retail operating margin",Input_ForRateCalc[Cost item],0),MATCH($F271,Inputs!$C$17:$AZ$17,0))),"-")</f>
        <v>-4.0435848818192538E-8</v>
      </c>
      <c r="N271" s="90">
        <f>IFERROR(SUM(N269:N270)*(INDEX(Inputs!$C$18:$AZ$141,MATCH("Retail operating margin",Input_ForRateCalc[Cost item],0),MATCH($F271,Inputs!$C$17:$AZ$17,0))),"-")</f>
        <v>-4.1676599555755566E-8</v>
      </c>
      <c r="O271" s="90">
        <f>IFERROR(SUM(O269:O270)*(INDEX(Inputs!$C$18:$AZ$141,MATCH("Retail operating margin",Input_ForRateCalc[Cost item],0),MATCH($F271,Inputs!$C$17:$AZ$17,0))),"-")</f>
        <v>-4.0672004567632079E-8</v>
      </c>
    </row>
    <row r="272" spans="2:15" hidden="1" outlineLevel="1" x14ac:dyDescent="0.25">
      <c r="B272"/>
      <c r="C272" s="18" t="s">
        <v>415</v>
      </c>
      <c r="D272" s="18"/>
      <c r="E272" s="18"/>
      <c r="F272" s="18"/>
      <c r="G272" s="18"/>
      <c r="H272" s="18" t="s">
        <v>178</v>
      </c>
      <c r="I272" s="18" t="s">
        <v>69</v>
      </c>
      <c r="J272" s="18" t="s">
        <v>133</v>
      </c>
      <c r="K272" s="90">
        <f>SUM(K269:K271)*GST</f>
        <v>-7.382195403876031E-8</v>
      </c>
      <c r="L272" s="90">
        <f>SUM(L269:L271)*GST</f>
        <v>-7.1599745597004419E-8</v>
      </c>
      <c r="M272" s="90">
        <f>SUM(M269:M271)*GST</f>
        <v>-7.0990354448363195E-8</v>
      </c>
      <c r="N272" s="90">
        <f>SUM(N269:N271)*GST</f>
        <v>-7.3168652597554977E-8</v>
      </c>
      <c r="O272" s="90">
        <f>SUM(O269:O271)*GST</f>
        <v>-7.1404956363438844E-8</v>
      </c>
    </row>
    <row r="273" spans="2:17" ht="15.75" hidden="1" outlineLevel="1" x14ac:dyDescent="0.25">
      <c r="B273" s="6"/>
      <c r="C273" s="33" t="s">
        <v>406</v>
      </c>
      <c r="D273" s="33"/>
      <c r="E273" s="33"/>
      <c r="F273" s="33"/>
      <c r="G273" s="50"/>
      <c r="H273" s="18" t="s">
        <v>178</v>
      </c>
      <c r="I273" s="18" t="s">
        <v>69</v>
      </c>
      <c r="J273" s="42" t="s">
        <v>133</v>
      </c>
      <c r="K273" s="90">
        <f>SUM(K269:K272)</f>
        <v>-8.1204149442636333E-7</v>
      </c>
      <c r="L273" s="90">
        <f>SUM(L269:L272)</f>
        <v>-7.8759720156704853E-7</v>
      </c>
      <c r="M273" s="90">
        <f>SUM(M269:M272)</f>
        <v>-7.8089389893199512E-7</v>
      </c>
      <c r="N273" s="90">
        <f>SUM(N269:N272)</f>
        <v>-8.0485517857310466E-7</v>
      </c>
      <c r="O273" s="90">
        <f>SUM(O269:O272)</f>
        <v>-7.8545451999782717E-7</v>
      </c>
    </row>
    <row r="274" spans="2:17" hidden="1" outlineLevel="1" x14ac:dyDescent="0.25">
      <c r="H274" s="79"/>
      <c r="I274" s="79"/>
      <c r="J274" s="79"/>
      <c r="K274" s="79"/>
      <c r="L274" s="79"/>
    </row>
    <row r="276" spans="2:17" ht="16.5" thickBot="1" x14ac:dyDescent="0.3">
      <c r="B276" s="161">
        <f ca="1">MAX(B$3:B275)+0.01</f>
        <v>9.0399999999999991</v>
      </c>
      <c r="C276" s="23" t="s">
        <v>416</v>
      </c>
      <c r="D276" s="23"/>
      <c r="E276" s="23"/>
      <c r="F276" s="23"/>
      <c r="G276" s="23"/>
      <c r="H276" s="23"/>
      <c r="I276" s="23"/>
      <c r="J276" s="23"/>
      <c r="K276" s="23"/>
      <c r="L276" s="23"/>
      <c r="M276" s="23"/>
      <c r="N276" s="23"/>
      <c r="O276" s="23"/>
      <c r="P276" s="23"/>
      <c r="Q276" s="23"/>
    </row>
    <row r="277" spans="2:17" collapsed="1" x14ac:dyDescent="0.25"/>
    <row r="278" spans="2:17" ht="15.75" hidden="1" outlineLevel="1" x14ac:dyDescent="0.25">
      <c r="C278" s="31" t="s">
        <v>49</v>
      </c>
      <c r="D278" s="31" t="s">
        <v>417</v>
      </c>
      <c r="G278" s="31" t="s">
        <v>410</v>
      </c>
      <c r="H278" s="31" t="s">
        <v>108</v>
      </c>
      <c r="I278" s="31" t="s">
        <v>56</v>
      </c>
      <c r="J278" s="31" t="s">
        <v>57</v>
      </c>
      <c r="K278" s="35" t="s">
        <v>59</v>
      </c>
      <c r="L278" s="35" t="s">
        <v>60</v>
      </c>
      <c r="M278" s="35" t="s">
        <v>61</v>
      </c>
      <c r="N278" s="35" t="s">
        <v>62</v>
      </c>
      <c r="O278" s="35" t="s">
        <v>63</v>
      </c>
      <c r="P278" s="35" t="s">
        <v>401</v>
      </c>
      <c r="Q278" s="31" t="s">
        <v>418</v>
      </c>
    </row>
    <row r="279" spans="2:17" hidden="1" outlineLevel="1" x14ac:dyDescent="0.25">
      <c r="C279" s="40" t="s">
        <v>310</v>
      </c>
      <c r="D279" s="40"/>
      <c r="G279" s="40"/>
      <c r="H279" s="40"/>
      <c r="I279" s="40"/>
      <c r="J279" s="42" t="s">
        <v>66</v>
      </c>
      <c r="K279" s="100">
        <f>SUM(K280:K281)</f>
        <v>0</v>
      </c>
      <c r="L279" s="100">
        <f>SUM(L280:L281)</f>
        <v>0</v>
      </c>
      <c r="M279" s="100">
        <f>SUM(M280:M281)</f>
        <v>0</v>
      </c>
      <c r="N279" s="100">
        <f>SUM(N280:N281)</f>
        <v>0</v>
      </c>
      <c r="O279" s="100">
        <f>SUM(O280:O281)</f>
        <v>0</v>
      </c>
      <c r="P279" s="113">
        <f t="shared" ref="P279:P290" si="2">IFERROR(AVERAGE(K279:O279),"-")</f>
        <v>0</v>
      </c>
      <c r="Q279" s="113" t="str">
        <f>IFERROR(P279/ROUND($D$295/30,0),"-")</f>
        <v>-</v>
      </c>
    </row>
    <row r="280" spans="2:17" hidden="1" outlineLevel="1" x14ac:dyDescent="0.25">
      <c r="C280" s="99" t="s">
        <v>132</v>
      </c>
      <c r="D280" s="42"/>
      <c r="G280" s="42"/>
      <c r="H280" s="42"/>
      <c r="I280" s="42"/>
      <c r="J280" s="42"/>
      <c r="K280" s="47" t="str">
        <f>K333</f>
        <v>-</v>
      </c>
      <c r="L280" s="47" t="str">
        <f>L333</f>
        <v>-</v>
      </c>
      <c r="M280" s="47" t="str">
        <f>M333</f>
        <v>-</v>
      </c>
      <c r="N280" s="47" t="str">
        <f>N333</f>
        <v>-</v>
      </c>
      <c r="O280" s="47" t="str">
        <f>O333</f>
        <v>-</v>
      </c>
      <c r="P280" s="95" t="str">
        <f t="shared" si="2"/>
        <v>-</v>
      </c>
      <c r="Q280" s="113" t="str">
        <f t="shared" ref="Q280:Q290" si="3">IFERROR(P280/ROUND($D$295/30,0),"-")</f>
        <v>-</v>
      </c>
    </row>
    <row r="281" spans="2:17" hidden="1" outlineLevel="1" x14ac:dyDescent="0.25">
      <c r="C281" s="99" t="s">
        <v>178</v>
      </c>
      <c r="D281" s="42"/>
      <c r="G281" s="42"/>
      <c r="H281" s="42"/>
      <c r="I281" s="42"/>
      <c r="J281" s="42"/>
      <c r="K281" s="47" t="str">
        <f>K347</f>
        <v>-</v>
      </c>
      <c r="L281" s="47" t="str">
        <f>L347</f>
        <v>-</v>
      </c>
      <c r="M281" s="47" t="str">
        <f>M347</f>
        <v>-</v>
      </c>
      <c r="N281" s="47" t="str">
        <f>N347</f>
        <v>-</v>
      </c>
      <c r="O281" s="47" t="str">
        <f>O347</f>
        <v>-</v>
      </c>
      <c r="P281" s="95" t="str">
        <f t="shared" si="2"/>
        <v>-</v>
      </c>
      <c r="Q281" s="113" t="str">
        <f t="shared" si="3"/>
        <v>-</v>
      </c>
    </row>
    <row r="282" spans="2:17" hidden="1" outlineLevel="1" x14ac:dyDescent="0.25">
      <c r="C282" s="40" t="s">
        <v>311</v>
      </c>
      <c r="D282" s="40"/>
      <c r="G282" s="40"/>
      <c r="H282" s="40"/>
      <c r="I282" s="40"/>
      <c r="J282" s="42" t="s">
        <v>67</v>
      </c>
      <c r="K282" s="100">
        <f>SUM(K283:K284)</f>
        <v>0</v>
      </c>
      <c r="L282" s="100">
        <f>SUM(L283:L284)</f>
        <v>0</v>
      </c>
      <c r="M282" s="100">
        <f>SUM(M283:M284)</f>
        <v>0</v>
      </c>
      <c r="N282" s="100">
        <f>SUM(N283:N284)</f>
        <v>0</v>
      </c>
      <c r="O282" s="100">
        <f>SUM(O283:O284)</f>
        <v>0</v>
      </c>
      <c r="P282" s="113">
        <f t="shared" si="2"/>
        <v>0</v>
      </c>
      <c r="Q282" s="113" t="str">
        <f t="shared" si="3"/>
        <v>-</v>
      </c>
    </row>
    <row r="283" spans="2:17" hidden="1" outlineLevel="1" x14ac:dyDescent="0.25">
      <c r="C283" s="99" t="s">
        <v>132</v>
      </c>
      <c r="D283" s="42"/>
      <c r="G283" s="42"/>
      <c r="H283" s="42"/>
      <c r="I283" s="42"/>
      <c r="J283" s="42"/>
      <c r="K283" s="47" t="str">
        <f>K370</f>
        <v>-</v>
      </c>
      <c r="L283" s="47" t="str">
        <f>L370</f>
        <v>-</v>
      </c>
      <c r="M283" s="47" t="str">
        <f>M370</f>
        <v>-</v>
      </c>
      <c r="N283" s="47" t="str">
        <f>N370</f>
        <v>-</v>
      </c>
      <c r="O283" s="47" t="str">
        <f>O370</f>
        <v>-</v>
      </c>
      <c r="P283" s="95" t="str">
        <f t="shared" si="2"/>
        <v>-</v>
      </c>
      <c r="Q283" s="113" t="str">
        <f t="shared" si="3"/>
        <v>-</v>
      </c>
    </row>
    <row r="284" spans="2:17" hidden="1" outlineLevel="1" x14ac:dyDescent="0.25">
      <c r="C284" s="99" t="s">
        <v>178</v>
      </c>
      <c r="D284" s="42"/>
      <c r="G284" s="42"/>
      <c r="H284" s="42"/>
      <c r="I284" s="42"/>
      <c r="J284" s="42"/>
      <c r="K284" s="47" t="str">
        <f>K384</f>
        <v>-</v>
      </c>
      <c r="L284" s="47" t="str">
        <f>L384</f>
        <v>-</v>
      </c>
      <c r="M284" s="47" t="str">
        <f>M384</f>
        <v>-</v>
      </c>
      <c r="N284" s="47" t="str">
        <f>N384</f>
        <v>-</v>
      </c>
      <c r="O284" s="47" t="str">
        <f>O384</f>
        <v>-</v>
      </c>
      <c r="P284" s="95" t="str">
        <f t="shared" si="2"/>
        <v>-</v>
      </c>
      <c r="Q284" s="113" t="str">
        <f t="shared" si="3"/>
        <v>-</v>
      </c>
    </row>
    <row r="285" spans="2:17" hidden="1" outlineLevel="1" x14ac:dyDescent="0.25">
      <c r="C285" s="40" t="s">
        <v>312</v>
      </c>
      <c r="D285" s="40"/>
      <c r="G285" s="40"/>
      <c r="H285" s="40"/>
      <c r="I285" s="40"/>
      <c r="J285" s="42" t="s">
        <v>66</v>
      </c>
      <c r="K285" s="100">
        <f>SUM(K286:K287)</f>
        <v>0</v>
      </c>
      <c r="L285" s="100">
        <f>SUM(L286:L287)</f>
        <v>0</v>
      </c>
      <c r="M285" s="100">
        <f>SUM(M286:M287)</f>
        <v>0</v>
      </c>
      <c r="N285" s="100">
        <f>SUM(N286:N287)</f>
        <v>0</v>
      </c>
      <c r="O285" s="100">
        <f>SUM(O286:O287)</f>
        <v>0</v>
      </c>
      <c r="P285" s="113">
        <f>IFERROR(AVERAGE(K285:O285),"-")</f>
        <v>0</v>
      </c>
      <c r="Q285" s="113" t="str">
        <f t="shared" si="3"/>
        <v>-</v>
      </c>
    </row>
    <row r="286" spans="2:17" hidden="1" outlineLevel="1" x14ac:dyDescent="0.25">
      <c r="C286" s="99" t="s">
        <v>132</v>
      </c>
      <c r="D286" s="42"/>
      <c r="G286" s="42"/>
      <c r="H286" s="42"/>
      <c r="I286" s="42"/>
      <c r="J286" s="42"/>
      <c r="K286" s="47" t="str">
        <f>K398</f>
        <v>-</v>
      </c>
      <c r="L286" s="47" t="str">
        <f>L398</f>
        <v>-</v>
      </c>
      <c r="M286" s="47" t="str">
        <f>M398</f>
        <v>-</v>
      </c>
      <c r="N286" s="47" t="str">
        <f>N398</f>
        <v>-</v>
      </c>
      <c r="O286" s="47" t="str">
        <f>O398</f>
        <v>-</v>
      </c>
      <c r="P286" s="95" t="str">
        <f t="shared" si="2"/>
        <v>-</v>
      </c>
      <c r="Q286" s="113" t="str">
        <f t="shared" si="3"/>
        <v>-</v>
      </c>
    </row>
    <row r="287" spans="2:17" hidden="1" outlineLevel="1" x14ac:dyDescent="0.25">
      <c r="C287" s="99" t="s">
        <v>178</v>
      </c>
      <c r="D287" s="42"/>
      <c r="G287" s="42"/>
      <c r="H287" s="42"/>
      <c r="I287" s="42"/>
      <c r="J287" s="42"/>
      <c r="K287" s="47" t="str">
        <f>K411</f>
        <v>-</v>
      </c>
      <c r="L287" s="47" t="str">
        <f>L411</f>
        <v>-</v>
      </c>
      <c r="M287" s="47" t="str">
        <f>M411</f>
        <v>-</v>
      </c>
      <c r="N287" s="47" t="str">
        <f>N411</f>
        <v>-</v>
      </c>
      <c r="O287" s="47" t="str">
        <f>O411</f>
        <v>-</v>
      </c>
      <c r="P287" s="95" t="str">
        <f t="shared" si="2"/>
        <v>-</v>
      </c>
      <c r="Q287" s="113" t="str">
        <f t="shared" si="3"/>
        <v>-</v>
      </c>
    </row>
    <row r="288" spans="2:17" hidden="1" outlineLevel="1" x14ac:dyDescent="0.25">
      <c r="C288" s="40" t="s">
        <v>313</v>
      </c>
      <c r="D288" s="40"/>
      <c r="G288" s="40"/>
      <c r="H288" s="40"/>
      <c r="I288" s="40"/>
      <c r="J288" s="42" t="s">
        <v>67</v>
      </c>
      <c r="K288" s="100">
        <f>SUM(K289:K290)</f>
        <v>0</v>
      </c>
      <c r="L288" s="100">
        <f>SUM(L289:L290)</f>
        <v>0</v>
      </c>
      <c r="M288" s="100">
        <f>SUM(M289:M290)</f>
        <v>0</v>
      </c>
      <c r="N288" s="100">
        <f>SUM(N289:N290)</f>
        <v>0</v>
      </c>
      <c r="O288" s="100">
        <f>SUM(O289:O290)</f>
        <v>0</v>
      </c>
      <c r="P288" s="113">
        <f>IFERROR(AVERAGE(K288:O288),"-")</f>
        <v>0</v>
      </c>
      <c r="Q288" s="113" t="str">
        <f t="shared" si="3"/>
        <v>-</v>
      </c>
    </row>
    <row r="289" spans="2:18" hidden="1" outlineLevel="1" x14ac:dyDescent="0.25">
      <c r="C289" s="99" t="s">
        <v>132</v>
      </c>
      <c r="D289" s="42"/>
      <c r="G289" s="42"/>
      <c r="H289" s="42"/>
      <c r="I289" s="42"/>
      <c r="J289" s="42"/>
      <c r="K289" s="47" t="str">
        <f>K424</f>
        <v>-</v>
      </c>
      <c r="L289" s="47" t="str">
        <f>L424</f>
        <v>-</v>
      </c>
      <c r="M289" s="47" t="str">
        <f>M424</f>
        <v>-</v>
      </c>
      <c r="N289" s="47" t="str">
        <f>N424</f>
        <v>-</v>
      </c>
      <c r="O289" s="47" t="str">
        <f>O424</f>
        <v>-</v>
      </c>
      <c r="P289" s="95" t="str">
        <f t="shared" si="2"/>
        <v>-</v>
      </c>
      <c r="Q289" s="113" t="str">
        <f t="shared" si="3"/>
        <v>-</v>
      </c>
    </row>
    <row r="290" spans="2:18" hidden="1" outlineLevel="1" x14ac:dyDescent="0.25">
      <c r="C290" s="99" t="s">
        <v>178</v>
      </c>
      <c r="D290" s="42"/>
      <c r="G290" s="42"/>
      <c r="H290" s="42"/>
      <c r="I290" s="42"/>
      <c r="J290" s="42"/>
      <c r="K290" s="47" t="str">
        <f>K437</f>
        <v>-</v>
      </c>
      <c r="L290" s="47" t="str">
        <f>L437</f>
        <v>-</v>
      </c>
      <c r="M290" s="47" t="str">
        <f>M437</f>
        <v>-</v>
      </c>
      <c r="N290" s="47" t="str">
        <f>N437</f>
        <v>-</v>
      </c>
      <c r="O290" s="47" t="str">
        <f>O437</f>
        <v>-</v>
      </c>
      <c r="P290" s="95" t="str">
        <f t="shared" si="2"/>
        <v>-</v>
      </c>
      <c r="Q290" s="113" t="str">
        <f t="shared" si="3"/>
        <v>-</v>
      </c>
    </row>
    <row r="291" spans="2:18" hidden="1" outlineLevel="1" x14ac:dyDescent="0.25"/>
    <row r="292" spans="2:18" hidden="1" outlineLevel="1" x14ac:dyDescent="0.25">
      <c r="I292" t="s">
        <v>419</v>
      </c>
      <c r="J292" s="42" t="s">
        <v>66</v>
      </c>
      <c r="K292" s="85" t="str">
        <f>IFERROR(K285/ROUND($D$295/30,0),"-")</f>
        <v>-</v>
      </c>
      <c r="L292" s="85" t="str">
        <f>IFERROR(L285/ROUND($D$295/30,0),"-")</f>
        <v>-</v>
      </c>
      <c r="M292" s="85" t="str">
        <f>IFERROR(M285/ROUND($D$295/30,0),"-")</f>
        <v>-</v>
      </c>
      <c r="N292" s="85" t="str">
        <f>IFERROR(N285/ROUND($D$295/30,0),"-")</f>
        <v>-</v>
      </c>
      <c r="O292" s="85" t="str">
        <f>IFERROR(O285/ROUND($D$295/30,0),"-")</f>
        <v>-</v>
      </c>
      <c r="P292" s="96"/>
      <c r="Q292" s="96"/>
    </row>
    <row r="293" spans="2:18" ht="15.75" hidden="1" outlineLevel="1" x14ac:dyDescent="0.25">
      <c r="C293" s="39" t="s">
        <v>420</v>
      </c>
      <c r="D293" s="60" t="str">
        <f>IFERROR(INDEX(Inputs!$H$17:$U$17,1,MATCH($D$224,Inputs!$H$15:$U$15,0)),"-")</f>
        <v>-</v>
      </c>
      <c r="E293" s="127" t="str">
        <f>IFERROR(INDEX(#REF!,MATCH($C293,#REF!,0),MATCH($D293,#REF!,0)),"-")</f>
        <v>-</v>
      </c>
      <c r="I293" t="s">
        <v>419</v>
      </c>
      <c r="J293" s="42" t="s">
        <v>67</v>
      </c>
      <c r="K293" s="85" t="str">
        <f>IFERROR(K288/ROUND($D$295/30,0),"-")</f>
        <v>-</v>
      </c>
      <c r="L293" s="85" t="str">
        <f>IFERROR(L288/ROUND($D$295/30,0),"-")</f>
        <v>-</v>
      </c>
      <c r="M293" s="85" t="str">
        <f>IFERROR(M288/ROUND($D$295/30,0),"-")</f>
        <v>-</v>
      </c>
      <c r="N293" s="85" t="str">
        <f>IFERROR(N288/ROUND($D$295/30,0),"-")</f>
        <v>-</v>
      </c>
      <c r="O293" s="85" t="str">
        <f>IFERROR(O288/ROUND($D$295/30,0),"-")</f>
        <v>-</v>
      </c>
      <c r="P293" s="96"/>
      <c r="Q293" s="96"/>
    </row>
    <row r="294" spans="2:18" ht="15.75" hidden="1" outlineLevel="1" x14ac:dyDescent="0.25">
      <c r="C294" s="39" t="s">
        <v>421</v>
      </c>
      <c r="D294" s="60" t="str">
        <f>IFERROR(INDEX(Inputs!$H$17:$U$17,1,MATCH($D$224,Inputs!$H$15:$U$15,0)),"-")</f>
        <v>-</v>
      </c>
      <c r="E294" s="127" t="str">
        <f>IFERROR(INDEX(#REF!,MATCH($C294,#REF!,0),MATCH($D294,#REF!,0)),"-")</f>
        <v>-</v>
      </c>
      <c r="K294" s="85"/>
      <c r="L294" s="85"/>
      <c r="M294" s="85"/>
      <c r="N294" s="85"/>
      <c r="O294" s="85"/>
      <c r="P294" s="96"/>
      <c r="Q294" s="96"/>
      <c r="R294" s="62"/>
    </row>
    <row r="295" spans="2:18" ht="15.75" hidden="1" outlineLevel="1" x14ac:dyDescent="0.25">
      <c r="C295" s="39" t="s">
        <v>422</v>
      </c>
      <c r="D295" t="str">
        <f>IFERROR(_xlfn.DAYS(E294,E293)+1,"-")</f>
        <v>-</v>
      </c>
      <c r="K295" s="85"/>
      <c r="L295" s="85"/>
      <c r="M295" s="85"/>
      <c r="N295" s="85"/>
      <c r="O295" s="85"/>
      <c r="P295" s="96"/>
      <c r="Q295" s="96"/>
      <c r="R295" s="62"/>
    </row>
    <row r="296" spans="2:18" ht="15.75" hidden="1" outlineLevel="1" x14ac:dyDescent="0.25">
      <c r="B296"/>
      <c r="C296" s="39" t="s">
        <v>402</v>
      </c>
      <c r="D296" s="105" t="str">
        <f>IFERROR(D295/DiPY,"-")</f>
        <v>-</v>
      </c>
      <c r="G296" s="96"/>
    </row>
    <row r="297" spans="2:18" hidden="1" outlineLevel="1" x14ac:dyDescent="0.25">
      <c r="B297"/>
    </row>
    <row r="298" spans="2:18" hidden="1" outlineLevel="1" x14ac:dyDescent="0.25">
      <c r="B298"/>
    </row>
    <row r="299" spans="2:18" hidden="1" outlineLevel="1" x14ac:dyDescent="0.25">
      <c r="B299"/>
    </row>
    <row r="300" spans="2:18" ht="15.75" hidden="1" outlineLevel="1" x14ac:dyDescent="0.25">
      <c r="B300"/>
      <c r="C300" s="24" t="s">
        <v>463</v>
      </c>
    </row>
    <row r="301" spans="2:18" ht="15.75" hidden="1" outlineLevel="1" x14ac:dyDescent="0.25">
      <c r="B301"/>
      <c r="C301" s="32" t="s">
        <v>9</v>
      </c>
      <c r="D301" s="32" t="s">
        <v>47</v>
      </c>
      <c r="E301" s="32" t="s">
        <v>57</v>
      </c>
      <c r="F301" s="32" t="s">
        <v>330</v>
      </c>
    </row>
    <row r="302" spans="2:18" hidden="1" outlineLevel="1" x14ac:dyDescent="0.25">
      <c r="B302"/>
      <c r="C302" s="42" t="s">
        <v>424</v>
      </c>
      <c r="D302" s="60" t="e">
        <f>INDEX(Inputs!$H$17:$U$17,1,MATCH($D$224,Inputs!$H$15:$U$15,0))</f>
        <v>#N/A</v>
      </c>
      <c r="E302" s="42" t="s">
        <v>66</v>
      </c>
      <c r="F302" s="122" t="str">
        <f>IFERROR(SUMIFS(
INDEX(#REF!,0,MATCH(TUNet_Usage_Actual_2[[#This Row],[VDO decision]],#REF!,0)),#REF!,
Calc_TU_values!E302,#REF!,Calc_TU_values!C302),"-")</f>
        <v>-</v>
      </c>
    </row>
    <row r="303" spans="2:18" hidden="1" outlineLevel="1" x14ac:dyDescent="0.25">
      <c r="B303"/>
      <c r="C303" s="18" t="s">
        <v>425</v>
      </c>
      <c r="D303" s="60" t="e">
        <f>INDEX(Inputs!$H$17:$U$17,1,MATCH($D$224,Inputs!$H$15:$U$15,0))</f>
        <v>#N/A</v>
      </c>
      <c r="E303" s="42" t="s">
        <v>66</v>
      </c>
      <c r="F303" s="122" t="str">
        <f>IFERROR(SUMIFS(
INDEX(#REF!,0,MATCH(TUNet_Usage_Actual_2[[#This Row],[VDO decision]],#REF!,0)),#REF!,
Calc_TU_values!E303,#REF!,Calc_TU_values!C303),"-")</f>
        <v>-</v>
      </c>
    </row>
    <row r="304" spans="2:18" hidden="1" outlineLevel="1" x14ac:dyDescent="0.25">
      <c r="B304"/>
      <c r="C304" s="42" t="s">
        <v>426</v>
      </c>
      <c r="D304" s="60" t="e">
        <f>INDEX(Inputs!$H$17:$U$17,1,MATCH($D$224,Inputs!$H$15:$U$15,0))</f>
        <v>#N/A</v>
      </c>
      <c r="E304" s="42" t="s">
        <v>66</v>
      </c>
      <c r="F304" s="123" t="str">
        <f>IFERROR(F302/F303,"-")</f>
        <v>-</v>
      </c>
    </row>
    <row r="305" spans="2:15" hidden="1" outlineLevel="1" x14ac:dyDescent="0.25">
      <c r="B305"/>
      <c r="C305" s="42" t="s">
        <v>424</v>
      </c>
      <c r="D305" s="60" t="e">
        <f>INDEX(Inputs!$H$17:$U$17,1,MATCH($D$224,Inputs!$H$15:$U$15,0))</f>
        <v>#N/A</v>
      </c>
      <c r="E305" s="42" t="s">
        <v>67</v>
      </c>
      <c r="F305" s="122" t="str">
        <f>IFERROR(SUMIFS(
INDEX(#REF!,0,MATCH(TUNet_Usage_Actual_2[[#This Row],[VDO decision]],#REF!,0)),#REF!,
Calc_TU_values!E305,#REF!,Calc_TU_values!C305),"-")</f>
        <v>-</v>
      </c>
    </row>
    <row r="306" spans="2:15" hidden="1" outlineLevel="1" x14ac:dyDescent="0.25">
      <c r="B306"/>
      <c r="C306" s="18" t="s">
        <v>425</v>
      </c>
      <c r="D306" s="60" t="e">
        <f>INDEX(Inputs!$H$17:$U$17,1,MATCH($D$224,Inputs!$H$15:$U$15,0))</f>
        <v>#N/A</v>
      </c>
      <c r="E306" s="42" t="s">
        <v>67</v>
      </c>
      <c r="F306" s="122" t="str">
        <f>IFERROR(SUMIFS(
INDEX(#REF!,0,MATCH(TUNet_Usage_Actual_2[[#This Row],[VDO decision]],#REF!,0)),#REF!,
Calc_TU_values!E306,#REF!,Calc_TU_values!C306),"-")</f>
        <v>-</v>
      </c>
    </row>
    <row r="307" spans="2:15" hidden="1" outlineLevel="1" x14ac:dyDescent="0.25">
      <c r="B307"/>
      <c r="C307" s="42" t="s">
        <v>426</v>
      </c>
      <c r="D307" s="60" t="e">
        <f>INDEX(Inputs!$H$17:$U$17,1,MATCH($D$224,Inputs!$H$15:$U$15,0))</f>
        <v>#N/A</v>
      </c>
      <c r="E307" s="124" t="s">
        <v>67</v>
      </c>
      <c r="F307" s="123" t="str">
        <f>IFERROR(F305/F306,"-")</f>
        <v>-</v>
      </c>
    </row>
    <row r="308" spans="2:15" hidden="1" outlineLevel="1" x14ac:dyDescent="0.25">
      <c r="B308"/>
      <c r="C308" s="124" t="s">
        <v>427</v>
      </c>
      <c r="D308" s="60" t="e">
        <f>INDEX(Inputs!$H$17:$U$17,1,MATCH($D$224,Inputs!$H$15:$U$15,0))</f>
        <v>#N/A</v>
      </c>
      <c r="E308" s="42" t="s">
        <v>66</v>
      </c>
      <c r="F308" s="149" t="str">
        <f>IFERROR(SUMIFS(
INDEX(#REF!,0,MATCH(TUNet_Usage_Actual_2[[#This Row],[VDO decision]],#REF!,0)),#REF!,
"Total usage - Controlled load",#REF!,TUNet_Usage_Actual_2[[#This Row],[Customer type]],#REF!,"July 2020 to August 2020")
/SUMIFS(
INDEX(#REF!,0,MATCH(TUNet_Usage_Actual_2[[#This Row],[VDO decision]],#REF!,0)),#REF!,
"Total usage - Controlled load",#REF!,TUNet_Usage_Actual_2[[#This Row],[Customer type]],#REF!,"July 2020 to June 2021"),"-")</f>
        <v>-</v>
      </c>
    </row>
    <row r="309" spans="2:15" hidden="1" outlineLevel="1" x14ac:dyDescent="0.25">
      <c r="B309"/>
    </row>
    <row r="310" spans="2:15" ht="15.75" hidden="1" outlineLevel="1" x14ac:dyDescent="0.25">
      <c r="B310"/>
      <c r="C310" s="24" t="s">
        <v>464</v>
      </c>
    </row>
    <row r="311" spans="2:15" ht="15.75" hidden="1" outlineLevel="1" x14ac:dyDescent="0.25">
      <c r="B311"/>
      <c r="C311" s="32" t="s">
        <v>9</v>
      </c>
      <c r="D311" s="32" t="s">
        <v>47</v>
      </c>
      <c r="E311" s="32" t="s">
        <v>57</v>
      </c>
      <c r="F311" s="32" t="s">
        <v>59</v>
      </c>
      <c r="G311" s="43" t="s">
        <v>60</v>
      </c>
      <c r="H311" s="43" t="s">
        <v>61</v>
      </c>
      <c r="I311" s="43" t="s">
        <v>62</v>
      </c>
      <c r="J311" s="43" t="s">
        <v>63</v>
      </c>
    </row>
    <row r="312" spans="2:15" hidden="1" outlineLevel="1" x14ac:dyDescent="0.25">
      <c r="B312"/>
      <c r="C312" s="42" t="s">
        <v>429</v>
      </c>
      <c r="D312" s="60" t="e">
        <f>INDEX(Inputs!$H$17:$U$17,1,MATCH($D$224,Inputs!$H$15:$U$15,0))</f>
        <v>#N/A</v>
      </c>
      <c r="E312" s="42" t="s">
        <v>66</v>
      </c>
      <c r="F312" s="126" t="str">
        <f>IFERROR(IF(SUMIFS(
INDEX(#REF!,0,MATCH(TUNet_Usage_PerRate_2[[#This Row],[VDO decision]],#REF!,0)),#REF!,
$E312,#REF!,$C312&amp;" - "&amp;F$311)=0,"-",MIN(SUMIFS(TUNet_Usage_Actual_2[Value],TUNet_Usage_Actual_2[Customer type],$E312,TUNet_Usage_Actual_2[Description],"Usage per customer"),SUMIFS(
INDEX(#REF!,0,MATCH(TUNet_Usage_PerRate_2[[#This Row],[VDO decision]],#REF!,0)),#REF!,
$E312,#REF!,$C312&amp;" - "&amp;F$311))),"-")</f>
        <v>-</v>
      </c>
      <c r="G312" s="126" t="str">
        <f>IFERROR(IF(SUMIFS(
INDEX(#REF!,0,MATCH(TUNet_Usage_PerRate_2[[#This Row],[Customer type]],#REF!,0)),#REF!,
$E312,#REF!,$C312&amp;" - "&amp;G$311)=0,"-",MIN(SUMIFS(TUNet_Usage_Actual_2[Description],TUNet_Usage_Actual_2[Value],$E312,TUNet_Usage_Actual_2[VDO decision],"Usage per customer"),SUMIFS(
INDEX(#REF!,0,MATCH(TUNet_Usage_PerRate_2[[#This Row],[Customer type]],#REF!,0)),#REF!,
$E312,#REF!,$C312&amp;" - "&amp;G$311))),"-")</f>
        <v>-</v>
      </c>
      <c r="H312" s="126" t="str">
        <f>IFERROR(IF(SUMIFS(
INDEX(#REF!,0,MATCH(TUNet_Usage_PerRate_2[[#This Row],[Ausnet]],#REF!,0)),#REF!,
$E312,#REF!,$C312&amp;" - "&amp;H$311)=0,"-",MIN(SUMIFS(TUNet_Usage_Actual_2[VDO decision],TUNet_Usage_Actual_2[Description],$E312,TUNet_Usage_Actual_2[Customer type],"Usage per customer"),SUMIFS(
INDEX(#REF!,0,MATCH(TUNet_Usage_PerRate_2[[#This Row],[Ausnet]],#REF!,0)),#REF!,
$E312,#REF!,$C312&amp;" - "&amp;H$311))),"-")</f>
        <v>-</v>
      </c>
      <c r="I312" s="126" t="str">
        <f>IFERROR(IF(SUMIFS(
INDEX(#REF!,0,MATCH(TUNet_Usage_PerRate_2[[#This Row],[Citipower]],#REF!,0)),#REF!,
$E312,#REF!,$C312&amp;" - "&amp;I$311)=0,"-",MIN(SUMIFS(TUNet_Usage_Actual_2[Customer type],TUNet_Usage_Actual_2[VDO decision],$E312,TUNet_Usage_Actual_2[Value],"Usage per customer"),SUMIFS(
INDEX(#REF!,0,MATCH(TUNet_Usage_PerRate_2[[#This Row],[Citipower]],#REF!,0)),#REF!,
$E312,#REF!,$C312&amp;" - "&amp;I$311))),"-")</f>
        <v>-</v>
      </c>
      <c r="J312" s="126" t="str">
        <f>IFERROR(IF(SUMIFS(
INDEX(#REF!,0,MATCH(TUNet_Usage_PerRate_2[[#This Row],[Jemena]],#REF!,0)),#REF!,
$E312,#REF!,$C312&amp;" - "&amp;J$311)=0,"-",MIN(SUMIFS(TUNet_Usage_Actual_2[Value],TUNet_Usage_Actual_2[Customer type],$E312,TUNet_Usage_Actual_2[Description],"Usage per customer"),SUMIFS(
INDEX(#REF!,0,MATCH(TUNet_Usage_PerRate_2[[#This Row],[Jemena]],#REF!,0)),#REF!,
$E312,#REF!,$C312&amp;" - "&amp;J$311))),"-")</f>
        <v>-</v>
      </c>
    </row>
    <row r="313" spans="2:15" hidden="1" outlineLevel="1" x14ac:dyDescent="0.25">
      <c r="B313"/>
      <c r="C313" s="42" t="s">
        <v>429</v>
      </c>
      <c r="D313" s="60" t="e">
        <f>INDEX(Inputs!$H$17:$U$17,1,MATCH($D$224,Inputs!$H$15:$U$15,0))</f>
        <v>#N/A</v>
      </c>
      <c r="E313" s="42" t="s">
        <v>67</v>
      </c>
      <c r="F313" s="126" t="str">
        <f>IFERROR(IF(SUMIFS(
INDEX(#REF!,0,MATCH(TUNet_Usage_PerRate_2[[#This Row],[VDO decision]],#REF!,0)),#REF!,
$E313,#REF!,$C313&amp;" - "&amp;F$311)=0,"-",MIN(SUMIFS(TUNet_Usage_Actual_2[Value],TUNet_Usage_Actual_2[Customer type],$E313,TUNet_Usage_Actual_2[Description],"Usage per customer"),SUMIFS(
INDEX(#REF!,0,MATCH(TUNet_Usage_PerRate_2[[#This Row],[VDO decision]],#REF!,0)),#REF!,
$E313,#REF!,$C313&amp;" - "&amp;F$311))),"-")</f>
        <v>-</v>
      </c>
      <c r="G313" s="126" t="str">
        <f>IFERROR(IF(SUMIFS(
INDEX(#REF!,0,MATCH(TUNet_Usage_PerRate_2[[#This Row],[Customer type]],#REF!,0)),#REF!,
$E313,#REF!,$C313&amp;" - "&amp;G$311)=0,"-",MIN(SUMIFS(TUNet_Usage_Actual_2[Description],TUNet_Usage_Actual_2[Value],$E313,TUNet_Usage_Actual_2[VDO decision],"Usage per customer"),SUMIFS(
INDEX(#REF!,0,MATCH(TUNet_Usage_PerRate_2[[#This Row],[Customer type]],#REF!,0)),#REF!,
$E313,#REF!,$C313&amp;" - "&amp;G$311))),"-")</f>
        <v>-</v>
      </c>
      <c r="H313" s="126" t="str">
        <f>IFERROR(IF(SUMIFS(
INDEX(#REF!,0,MATCH(TUNet_Usage_PerRate_2[[#This Row],[Ausnet]],#REF!,0)),#REF!,
$E313,#REF!,$C313&amp;" - "&amp;H$311)=0,"-",MIN(SUMIFS(TUNet_Usage_Actual_2[VDO decision],TUNet_Usage_Actual_2[Description],$E313,TUNet_Usage_Actual_2[Customer type],"Usage per customer"),SUMIFS(
INDEX(#REF!,0,MATCH(TUNet_Usage_PerRate_2[[#This Row],[Ausnet]],#REF!,0)),#REF!,
$E313,#REF!,$C313&amp;" - "&amp;H$311))),"-")</f>
        <v>-</v>
      </c>
      <c r="I313" s="126" t="str">
        <f>IFERROR(IF(SUMIFS(
INDEX(#REF!,0,MATCH(TUNet_Usage_PerRate_2[[#This Row],[Citipower]],#REF!,0)),#REF!,
$E313,#REF!,$C313&amp;" - "&amp;I$311)=0,"-",MIN(SUMIFS(TUNet_Usage_Actual_2[Customer type],TUNet_Usage_Actual_2[VDO decision],$E313,TUNet_Usage_Actual_2[Value],"Usage per customer"),SUMIFS(
INDEX(#REF!,0,MATCH(TUNet_Usage_PerRate_2[[#This Row],[Citipower]],#REF!,0)),#REF!,
$E313,#REF!,$C313&amp;" - "&amp;I$311))),"-")</f>
        <v>-</v>
      </c>
      <c r="J313" s="126" t="str">
        <f>IFERROR(IF(SUMIFS(
INDEX(#REF!,0,MATCH(TUNet_Usage_PerRate_2[[#This Row],[Jemena]],#REF!,0)),#REF!,
$E313,#REF!,$C313&amp;" - "&amp;J$311)=0,"-",MIN(SUMIFS(TUNet_Usage_Actual_2[Value],TUNet_Usage_Actual_2[Customer type],$E313,TUNet_Usage_Actual_2[Description],"Usage per customer"),SUMIFS(
INDEX(#REF!,0,MATCH(TUNet_Usage_PerRate_2[[#This Row],[Jemena]],#REF!,0)),#REF!,
$E313,#REF!,$C313&amp;" - "&amp;J$311))),"-")</f>
        <v>-</v>
      </c>
    </row>
    <row r="314" spans="2:15" hidden="1" outlineLevel="1" x14ac:dyDescent="0.25">
      <c r="B314"/>
      <c r="C314" s="124" t="s">
        <v>430</v>
      </c>
      <c r="D314" s="125" t="e">
        <f>INDEX(Inputs!$H$17:$U$17,1,MATCH($D$224,Inputs!$H$15:$U$15,0))</f>
        <v>#N/A</v>
      </c>
      <c r="E314" s="42" t="s">
        <v>66</v>
      </c>
      <c r="F314" s="126" t="str">
        <f>IFERROR(IF(SUMIFS(F$312:F$313,$E$312:$E$313,$E314,$C$312:$C$313,"Usage per customer - Block 1")=0,"-",SUMIFS(TUNet_Usage_Actual_2[Value],TUNet_Usage_Actual_2[Customer type],$E314,TUNet_Usage_Actual_2[Description],"Usage per customer")-SUMIFS(F$312:F$313,$E$312:$E$313,$E314,$C$312:$C$313,"Usage per customer - Block 1")),"-")</f>
        <v>-</v>
      </c>
      <c r="G314" s="126" t="str">
        <f>IFERROR(IF(SUMIFS(G$312:G$313,$E$312:$E$313,$E314,$C$312:$C$313,"Usage per customer - Block 1")=0,"-",SUMIFS(TUNet_Usage_Actual_2[Description],TUNet_Usage_Actual_2[Value],$E314,TUNet_Usage_Actual_2[VDO decision],"Usage per customer")-SUMIFS(G$312:G$313,$E$312:$E$313,$E314,$C$312:$C$313,"Usage per customer - Block 1")),"-")</f>
        <v>-</v>
      </c>
      <c r="H314" s="126" t="str">
        <f>IFERROR(IF(SUMIFS(H$312:H$313,$E$312:$E$313,$E314,$C$312:$C$313,"Usage per customer - Block 1")=0,"-",SUMIFS(TUNet_Usage_Actual_2[VDO decision],TUNet_Usage_Actual_2[Description],$E314,TUNet_Usage_Actual_2[Customer type],"Usage per customer")-SUMIFS(H$312:H$313,$E$312:$E$313,$E314,$C$312:$C$313,"Usage per customer - Block 1")),"-")</f>
        <v>-</v>
      </c>
      <c r="I314" s="126" t="str">
        <f>IFERROR(IF(SUMIFS(I$312:I$313,$E$312:$E$313,$E314,$C$312:$C$313,"Usage per customer - Block 1")=0,"-",SUMIFS(TUNet_Usage_Actual_2[Customer type],TUNet_Usage_Actual_2[VDO decision],$E314,TUNet_Usage_Actual_2[Value],"Usage per customer")-SUMIFS(I$312:I$313,$E$312:$E$313,$E314,$C$312:$C$313,"Usage per customer - Block 1")),"-")</f>
        <v>-</v>
      </c>
      <c r="J314" s="126" t="str">
        <f>IFERROR(IF(SUMIFS(J$312:J$313,$E$312:$E$313,$E314,$C$312:$C$313,"Usage per customer - Block 1")=0,"-",SUMIFS(TUNet_Usage_Actual_2[Value],TUNet_Usage_Actual_2[Customer type],$E314,TUNet_Usage_Actual_2[Description],"Usage per customer")-SUMIFS(J$312:J$313,$E$312:$E$313,$E314,$C$312:$C$313,"Usage per customer - Block 1")),"-")</f>
        <v>-</v>
      </c>
    </row>
    <row r="315" spans="2:15" hidden="1" outlineLevel="1" x14ac:dyDescent="0.25">
      <c r="B315"/>
      <c r="C315" s="124" t="s">
        <v>430</v>
      </c>
      <c r="D315" s="125" t="e">
        <f>INDEX(Inputs!$H$17:$U$17,1,MATCH($D$224,Inputs!$H$15:$U$15,0))</f>
        <v>#N/A</v>
      </c>
      <c r="E315" s="42" t="s">
        <v>67</v>
      </c>
      <c r="F315" s="126" t="str">
        <f>IFERROR(IF(SUMIFS(F$312:F$313,$E$312:$E$313,$E315,$C$312:$C$316,"Usage per customer - Block 1")=0,"-",SUMIFS(TUNet_Usage_Actual_2[Value],TUNet_Usage_Actual_2[Customer type],$E315,TUNet_Usage_Actual_2[Description],"Usage per customer")-SUMIFS(F$312:F$313,$E$312:$E$313,$E315,$C$312:$C$313,"Usage per customer - Block 1")),"-")</f>
        <v>-</v>
      </c>
      <c r="G315" s="126" t="str">
        <f>IFERROR(IF(SUMIFS(G$312:G$313,$E$312:$E$313,$E315,$C$312:$C$313,"Usage per customer - Block 1")=0,"-",SUMIFS(TUNet_Usage_Actual_2[Description],TUNet_Usage_Actual_2[Value],$E315,TUNet_Usage_Actual_2[VDO decision],"Usage per customer")-SUMIFS(G$312:G$313,$E$312:$E$313,$E315,$C$312:$C$313,"Usage per customer - Block 1")),"-")</f>
        <v>-</v>
      </c>
      <c r="H315" s="126" t="str">
        <f>IFERROR(IF(SUMIFS(H$312:H$313,$E$312:$E$313,$E315,$C$312:$C$313,"Usage per customer - Block 1")=0,"-",SUMIFS(TUNet_Usage_Actual_2[VDO decision],TUNet_Usage_Actual_2[Description],$E315,TUNet_Usage_Actual_2[Customer type],"Usage per customer")-SUMIFS(H$312:H$313,$E$312:$E$313,$E315,$C$312:$C$313,"Usage per customer - Block 1")),"-")</f>
        <v>-</v>
      </c>
      <c r="I315" s="126" t="str">
        <f>IFERROR(IF(SUMIFS(I$312:I$313,$E$312:$E$313,$E315,$C$312:$C$313,"Usage per customer - Block 1")=0,"-",SUMIFS(TUNet_Usage_Actual_2[Customer type],TUNet_Usage_Actual_2[VDO decision],$E315,TUNet_Usage_Actual_2[Value],"Usage per customer")-SUMIFS(I$312:I$313,$E$312:$E$313,$E315,$C$312:$C$313,"Usage per customer - Block 1")),"-")</f>
        <v>-</v>
      </c>
      <c r="J315" s="126" t="str">
        <f>IFERROR(IF(SUMIFS(J$312:J$313,$E$312:$E$313,$E315,$C$312:$C$313,"Usage per customer - Block 1")=0,"-",SUMIFS(TUNet_Usage_Actual_2[Value],TUNet_Usage_Actual_2[Customer type],$E315,TUNet_Usage_Actual_2[Description],"Usage per customer")-SUMIFS(J$312:J$313,$E$312:$E$313,$E315,$C$312:$C$313,"Usage per customer - Block 1")),"-")</f>
        <v>-</v>
      </c>
    </row>
    <row r="316" spans="2:15" hidden="1" outlineLevel="1" x14ac:dyDescent="0.25">
      <c r="B316"/>
      <c r="C316" s="124" t="s">
        <v>431</v>
      </c>
      <c r="D316" s="125" t="e">
        <f>INDEX(Inputs!$H$17:$U$17,1,MATCH($D$224,Inputs!$H$15:$U$15,0))</f>
        <v>#N/A</v>
      </c>
      <c r="E316" s="42" t="s">
        <v>66</v>
      </c>
      <c r="F316" s="126" t="str">
        <f>IFERROR(IF(SUMIFS(
INDEX(#REF!,0,MATCH(TUNet_Usage_PerRate_2[[#This Row],[VDO decision]],#REF!,0)),#REF!,
$E316,#REF!,"Usage per customer - Block 1 - "&amp;F$311)=0,SUMIFS(TUNet_Usage_Actual_2[Value],TUNet_Usage_Actual_2[Customer type],$E316,TUNet_Usage_Actual_2[Description],"Usage per customer"),"-"),"-")</f>
        <v>-</v>
      </c>
      <c r="G316" s="126" t="str">
        <f>IFERROR(IF(SUMIFS(
INDEX(#REF!,0,MATCH(TUNet_Usage_PerRate_2[[#This Row],[VDO decision]],#REF!,0)),#REF!,
$E316,#REF!,"Usage per customer - Block 1 - "&amp;G$311)=0,SUMIFS(TUNet_Usage_Actual_2[Value],TUNet_Usage_Actual_2[Customer type],$E316,TUNet_Usage_Actual_2[Description],"Usage per customer"),"-"),"-")</f>
        <v>-</v>
      </c>
      <c r="H316" s="126" t="str">
        <f>IFERROR(IF(SUMIFS(
INDEX(#REF!,0,MATCH(TUNet_Usage_PerRate_2[[#This Row],[VDO decision]],#REF!,0)),#REF!,
$E316,#REF!,"Usage per customer - Block 1 - "&amp;H$311)=0,SUMIFS(TUNet_Usage_Actual_2[Value],TUNet_Usage_Actual_2[Customer type],$E316,TUNet_Usage_Actual_2[Description],"Usage per customer"),"-"),"-")</f>
        <v>-</v>
      </c>
      <c r="I316" s="126" t="str">
        <f>IFERROR(IF(SUMIFS(
INDEX(#REF!,0,MATCH(TUNet_Usage_PerRate_2[[#This Row],[VDO decision]],#REF!,0)),#REF!,
$E316,#REF!,"Usage per customer - Block 1 - "&amp;I$311)=0,SUMIFS(TUNet_Usage_Actual_2[Value],TUNet_Usage_Actual_2[Customer type],$E316,TUNet_Usage_Actual_2[Description],"Usage per customer"),"-"),"-")</f>
        <v>-</v>
      </c>
      <c r="J316" s="126" t="str">
        <f>IFERROR(IF(SUMIFS(
INDEX(#REF!,0,MATCH(TUNet_Usage_PerRate_2[[#This Row],[VDO decision]],#REF!,0)),#REF!,
$E316,#REF!,"Usage per customer - Block 1 - "&amp;J$311)=0,SUMIFS(TUNet_Usage_Actual_2[Value],TUNet_Usage_Actual_2[Customer type],$E316,TUNet_Usage_Actual_2[Description],"Usage per customer"),"-"),"-")</f>
        <v>-</v>
      </c>
    </row>
    <row r="317" spans="2:15" hidden="1" outlineLevel="1" x14ac:dyDescent="0.25">
      <c r="B317"/>
      <c r="C317" s="42" t="s">
        <v>431</v>
      </c>
      <c r="D317" s="125" t="e">
        <f>INDEX(Inputs!$H$17:$U$17,1,MATCH($D$224,Inputs!$H$15:$U$15,0))</f>
        <v>#N/A</v>
      </c>
      <c r="E317" s="42" t="s">
        <v>67</v>
      </c>
      <c r="F317" s="126" t="str">
        <f>IFERROR(IF(SUMIFS(
INDEX(#REF!,0,MATCH(TUNet_Usage_PerRate_2[[#This Row],[VDO decision]],#REF!,0)),#REF!,
$E317,#REF!,"Usage per customer - Block 1 - "&amp;F$311)=0,SUMIFS(TUNet_Usage_Actual_2[Value],TUNet_Usage_Actual_2[Customer type],$E317,TUNet_Usage_Actual_2[Description],"Usage per customer"),"-"),"-")</f>
        <v>-</v>
      </c>
      <c r="G317" s="126" t="str">
        <f>IFERROR(IF(SUMIFS(
INDEX(#REF!,0,MATCH(TUNet_Usage_PerRate_2[[#This Row],[VDO decision]],#REF!,0)),#REF!,
$E317,#REF!,"Usage per customer - Block 1 - "&amp;G$311)=0,SUMIFS(TUNet_Usage_Actual_2[Value],TUNet_Usage_Actual_2[Customer type],$E317,TUNet_Usage_Actual_2[Description],"Usage per customer"),"-"),"-")</f>
        <v>-</v>
      </c>
      <c r="H317" s="126" t="str">
        <f>IFERROR(IF(SUMIFS(
INDEX(#REF!,0,MATCH(TUNet_Usage_PerRate_2[[#This Row],[VDO decision]],#REF!,0)),#REF!,
$E317,#REF!,"Usage per customer - Block 1 - "&amp;H$311)=0,SUMIFS(TUNet_Usage_Actual_2[Value],TUNet_Usage_Actual_2[Customer type],$E317,TUNet_Usage_Actual_2[Description],"Usage per customer"),"-"),"-")</f>
        <v>-</v>
      </c>
      <c r="I317" s="126" t="str">
        <f>IFERROR(IF(SUMIFS(
INDEX(#REF!,0,MATCH(TUNet_Usage_PerRate_2[[#This Row],[VDO decision]],#REF!,0)),#REF!,
$E317,#REF!,"Usage per customer - Block 1 - "&amp;I$311)=0,SUMIFS(TUNet_Usage_Actual_2[Value],TUNet_Usage_Actual_2[Customer type],$E317,TUNet_Usage_Actual_2[Description],"Usage per customer"),"-"),"-")</f>
        <v>-</v>
      </c>
      <c r="J317" s="126" t="str">
        <f>IFERROR(IF(SUMIFS(
INDEX(#REF!,0,MATCH(TUNet_Usage_PerRate_2[[#This Row],[VDO decision]],#REF!,0)),#REF!,
$E317,#REF!,"Usage per customer - Block 1 - "&amp;J$311)=0,SUMIFS(TUNet_Usage_Actual_2[Value],TUNet_Usage_Actual_2[Customer type],$E317,TUNet_Usage_Actual_2[Description],"Usage per customer"),"-"),"-")</f>
        <v>-</v>
      </c>
    </row>
    <row r="318" spans="2:15" hidden="1" outlineLevel="1" x14ac:dyDescent="0.25">
      <c r="B318"/>
      <c r="C318" s="98"/>
      <c r="F318" s="128"/>
    </row>
    <row r="319" spans="2:15" ht="15.75" hidden="1" outlineLevel="1" x14ac:dyDescent="0.25">
      <c r="B319"/>
      <c r="C319" s="24" t="s">
        <v>465</v>
      </c>
    </row>
    <row r="320" spans="2:15" ht="15.75" hidden="1" outlineLevel="1" x14ac:dyDescent="0.25">
      <c r="C320" s="32" t="s">
        <v>49</v>
      </c>
      <c r="D320" s="32" t="s">
        <v>47</v>
      </c>
      <c r="E320" s="32" t="s">
        <v>408</v>
      </c>
      <c r="F320" s="32" t="s">
        <v>409</v>
      </c>
      <c r="G320" s="32" t="s">
        <v>410</v>
      </c>
      <c r="H320" s="32" t="s">
        <v>108</v>
      </c>
      <c r="I320" s="32" t="s">
        <v>56</v>
      </c>
      <c r="J320" s="31" t="s">
        <v>57</v>
      </c>
      <c r="K320" s="43" t="s">
        <v>59</v>
      </c>
      <c r="L320" s="43" t="s">
        <v>60</v>
      </c>
      <c r="M320" s="43" t="s">
        <v>61</v>
      </c>
      <c r="N320" s="43" t="s">
        <v>62</v>
      </c>
      <c r="O320" s="43" t="s">
        <v>63</v>
      </c>
    </row>
    <row r="321" spans="3:15" hidden="1" outlineLevel="1" x14ac:dyDescent="0.25">
      <c r="C321" s="42"/>
      <c r="D321" s="42"/>
      <c r="E321" s="42"/>
      <c r="F321" s="42"/>
      <c r="G321" s="42"/>
      <c r="H321" s="42"/>
      <c r="I321" s="42"/>
      <c r="J321" s="42"/>
      <c r="K321" s="47"/>
      <c r="L321" s="42"/>
      <c r="M321" s="42"/>
      <c r="N321" s="42"/>
      <c r="O321" s="42"/>
    </row>
    <row r="322" spans="3:15" ht="15.75" hidden="1" outlineLevel="1" x14ac:dyDescent="0.25">
      <c r="C322" s="1" t="s">
        <v>310</v>
      </c>
      <c r="D322" s="42"/>
      <c r="E322" s="42"/>
      <c r="F322" s="42"/>
      <c r="G322" s="30" t="str">
        <f>INDEX(Input_TU_YesNo[],MATCH(Calc_TUV_Net_2[[#This Row],[Cost item]],Input_TU_YesNo[Component],0),MATCH($D$224,Inputs!$C$210:$BM$210,0))</f>
        <v>No</v>
      </c>
      <c r="H322" s="42"/>
      <c r="I322" s="42"/>
      <c r="J322" s="42"/>
      <c r="K322" s="47"/>
      <c r="L322" s="42"/>
      <c r="M322" s="42"/>
      <c r="N322" s="42"/>
      <c r="O322" s="42"/>
    </row>
    <row r="323" spans="3:15" hidden="1" outlineLevel="1" x14ac:dyDescent="0.25">
      <c r="C323" s="40" t="s">
        <v>433</v>
      </c>
      <c r="D323" s="40"/>
      <c r="E323" s="40"/>
      <c r="F323" s="40"/>
      <c r="G323" s="49"/>
      <c r="H323" s="49"/>
      <c r="I323" s="18"/>
      <c r="J323" s="18"/>
      <c r="K323" s="46"/>
      <c r="L323" s="18"/>
      <c r="M323" s="18"/>
      <c r="N323" s="18"/>
      <c r="O323" s="18"/>
    </row>
    <row r="324" spans="3:15" hidden="1" outlineLevel="1" x14ac:dyDescent="0.25">
      <c r="C324" s="42" t="s">
        <v>434</v>
      </c>
      <c r="D324" s="60" t="str">
        <f>Calc_TU_values!$D$224</f>
        <v>VDO 2023-24 - Final</v>
      </c>
      <c r="E324" s="18" t="s">
        <v>316</v>
      </c>
      <c r="F324" s="60" t="e">
        <f>INDEX(Inputs!$H$17:$U$17,1,MATCH($D324,Inputs!$H$15:$U$15,0))</f>
        <v>#N/A</v>
      </c>
      <c r="G324" s="41"/>
      <c r="H324" s="18" t="s">
        <v>132</v>
      </c>
      <c r="I324" s="18" t="s">
        <v>65</v>
      </c>
      <c r="J324" s="42" t="s">
        <v>66</v>
      </c>
      <c r="K324" s="47" t="str" cm="1">
        <f t="array" ref="K324">IFERROR(INDEX(Input_ForRateCalc[],MATCH($C324&amp;" - "&amp;K$320,Input_ForRateCalc[[Cost item]:[Cost item]],0),MATCH(Calc_TUV_Net_2[[#This Row],[Decision ref]:[Decision ref]],Input_ForRateCalc[#Headers],0))*TUProp_Days_2,"-")</f>
        <v>-</v>
      </c>
      <c r="L324" s="47" t="str" cm="1">
        <f t="array" ref="L324">IFERROR(INDEX(Input_ForRateCalc[],MATCH($C324&amp;" - "&amp;L$320,Input_ForRateCalc[[Cost item]:[Cost item]],0),MATCH(Calc_TUV_Net_2[[#This Row],[Decision ref]:[Decision ref]],Input_ForRateCalc[#Headers],0))*TUProp_Days_2,"-")</f>
        <v>-</v>
      </c>
      <c r="M324" s="47" t="str" cm="1">
        <f t="array" ref="M324">IFERROR(INDEX(Input_ForRateCalc[],MATCH($C324&amp;" - "&amp;M$320,Input_ForRateCalc[[Cost item]:[Cost item]],0),MATCH(Calc_TUV_Net_2[[#This Row],[Decision ref]:[Decision ref]],Input_ForRateCalc[#Headers],0))*TUProp_Days_2,"-")</f>
        <v>-</v>
      </c>
      <c r="N324" s="47" t="str" cm="1">
        <f t="array" ref="N324">IFERROR(INDEX(Input_ForRateCalc[],MATCH($C324&amp;" - "&amp;N$320,Input_ForRateCalc[[Cost item]:[Cost item]],0),MATCH(Calc_TUV_Net_2[[#This Row],[Decision ref]:[Decision ref]],Input_ForRateCalc[#Headers],0))*TUProp_Days_2,"-")</f>
        <v>-</v>
      </c>
      <c r="O324" s="47" t="str" cm="1">
        <f t="array" ref="O324">IFERROR(INDEX(Input_ForRateCalc[],MATCH($C324&amp;" - "&amp;O$320,Input_ForRateCalc[[Cost item]:[Cost item]],0),MATCH(Calc_TUV_Net_2[[#This Row],[Decision ref]:[Decision ref]],Input_ForRateCalc[#Headers],0))*TUProp_Days_2,"-")</f>
        <v>-</v>
      </c>
    </row>
    <row r="325" spans="3:15" hidden="1" outlineLevel="1" x14ac:dyDescent="0.25">
      <c r="C325" s="42" t="s">
        <v>357</v>
      </c>
      <c r="D325" s="60" t="str">
        <f>Calc_TU_values!$D$224</f>
        <v>VDO 2023-24 - Final</v>
      </c>
      <c r="E325" s="18" t="s">
        <v>316</v>
      </c>
      <c r="F325" s="60" t="e">
        <f>INDEX(Inputs!$H$17:$U$17,1,MATCH($D325,Inputs!$H$15:$U$15,0))</f>
        <v>#N/A</v>
      </c>
      <c r="G325" s="41"/>
      <c r="H325" s="18" t="s">
        <v>132</v>
      </c>
      <c r="I325" s="18" t="s">
        <v>65</v>
      </c>
      <c r="J325" s="42" t="s">
        <v>66</v>
      </c>
      <c r="K325" s="47" t="str" cm="1">
        <f t="array" ref="K325">IFERROR(INDEX(Input_ForRateCalc[],MATCH($C325&amp;" - "&amp;K$320,Input_ForRateCalc[[Cost item]:[Cost item]],0),MATCH(Calc_TUV_Net_2[[#This Row],[Decision ref]:[Decision ref]],Input_ForRateCalc[#Headers],0))*TUProp_Days_2,"-")</f>
        <v>-</v>
      </c>
      <c r="L325" s="47" t="str" cm="1">
        <f t="array" ref="L325">IFERROR(INDEX(Input_ForRateCalc[],MATCH($C325&amp;" - "&amp;L$320,Input_ForRateCalc[[Cost item]:[Cost item]],0),MATCH(Calc_TUV_Net_2[[#This Row],[Decision ref]:[Decision ref]],Input_ForRateCalc[#Headers],0))*TUProp_Days_2,"-")</f>
        <v>-</v>
      </c>
      <c r="M325" s="47" t="str" cm="1">
        <f t="array" ref="M325">IFERROR(INDEX(Input_ForRateCalc[],MATCH($C325&amp;" - "&amp;M$320,Input_ForRateCalc[[Cost item]:[Cost item]],0),MATCH(Calc_TUV_Net_2[[#This Row],[Decision ref]:[Decision ref]],Input_ForRateCalc[#Headers],0))*TUProp_Days_2,"-")</f>
        <v>-</v>
      </c>
      <c r="N325" s="47" t="str" cm="1">
        <f t="array" ref="N325">IFERROR(INDEX(Input_ForRateCalc[],MATCH($C325&amp;" - "&amp;N$320,Input_ForRateCalc[[Cost item]:[Cost item]],0),MATCH(Calc_TUV_Net_2[[#This Row],[Decision ref]:[Decision ref]],Input_ForRateCalc[#Headers],0))*TUProp_Days_2,"-")</f>
        <v>-</v>
      </c>
      <c r="O325" s="47" t="str" cm="1">
        <f t="array" ref="O325">IFERROR(INDEX(Input_ForRateCalc[],MATCH($C325&amp;" - "&amp;O$320,Input_ForRateCalc[[Cost item]:[Cost item]],0),MATCH(Calc_TUV_Net_2[[#This Row],[Decision ref]:[Decision ref]],Input_ForRateCalc[#Headers],0))*TUProp_Days_2,"-")</f>
        <v>-</v>
      </c>
    </row>
    <row r="326" spans="3:15" hidden="1" outlineLevel="1" x14ac:dyDescent="0.25">
      <c r="C326" s="42" t="s">
        <v>411</v>
      </c>
      <c r="D326" s="60" t="str">
        <f>Calc_TU_values!$D$224</f>
        <v>VDO 2023-24 - Final</v>
      </c>
      <c r="E326" s="18" t="s">
        <v>316</v>
      </c>
      <c r="F326" s="60" t="e">
        <f>INDEX(Inputs!$H$17:$U$17,1,MATCH($D326,Inputs!$H$15:$U$15,0))</f>
        <v>#N/A</v>
      </c>
      <c r="G326" s="41"/>
      <c r="H326" s="18" t="s">
        <v>132</v>
      </c>
      <c r="I326" s="18" t="s">
        <v>65</v>
      </c>
      <c r="J326" s="42" t="s">
        <v>66</v>
      </c>
      <c r="K326" s="45">
        <f>IFERROR(SUM(K324:K325),"-")</f>
        <v>0</v>
      </c>
      <c r="L326" s="45">
        <f>IFERROR(SUM(L324:L325),"-")</f>
        <v>0</v>
      </c>
      <c r="M326" s="45">
        <f>IFERROR(SUM(M324:M325),"-")</f>
        <v>0</v>
      </c>
      <c r="N326" s="45">
        <f>IFERROR(SUM(N324:N325),"-")</f>
        <v>0</v>
      </c>
      <c r="O326" s="45">
        <f>IFERROR(SUM(O324:O325),"-")</f>
        <v>0</v>
      </c>
    </row>
    <row r="327" spans="3:15" hidden="1" outlineLevel="1" x14ac:dyDescent="0.25">
      <c r="C327" s="42" t="s">
        <v>434</v>
      </c>
      <c r="D327" s="60" t="str">
        <f>INDEX(Input_DecisionActual[[Decision]:[Decision]],MATCH(Calc_TU_values!$D$224,Input_DecisionActual[[VDO period]:[VDO period]],0),1)</f>
        <v>VDO 2022-23 - Final</v>
      </c>
      <c r="E327" s="18" t="s">
        <v>96</v>
      </c>
      <c r="F327" s="60" t="str">
        <f>IF($D327="-","-",INDEX(Inputs!$H$17:$U$17,1,MATCH($D327,Inputs!$H$15:$U$15,0)))</f>
        <v>F-PreviousVDO_Input3</v>
      </c>
      <c r="G327" s="41"/>
      <c r="H327" s="18" t="s">
        <v>132</v>
      </c>
      <c r="I327" s="18" t="s">
        <v>65</v>
      </c>
      <c r="J327" s="42" t="s">
        <v>66</v>
      </c>
      <c r="K327" s="47" t="str" cm="1">
        <f t="array" ref="K327">IFERROR(INDEX(Input_ForRateCalc[],MATCH($C327&amp;" - "&amp;K$320,Input_ForRateCalc[[Cost item]:[Cost item]],0),MATCH(Calc_TUV_Net_2[[#This Row],[Decision ref]:[Decision ref]],Input_ForRateCalc[#Headers],0))*TUProp_Days_2,"-")</f>
        <v>-</v>
      </c>
      <c r="L327" s="47" t="str" cm="1">
        <f t="array" ref="L327">IFERROR(INDEX(Input_ForRateCalc[],MATCH($C327&amp;" - "&amp;L$320,Input_ForRateCalc[[Cost item]:[Cost item]],0),MATCH(Calc_TUV_Net_2[[#This Row],[Decision ref]:[Decision ref]],Input_ForRateCalc[#Headers],0))*TUProp_Days_2,"-")</f>
        <v>-</v>
      </c>
      <c r="M327" s="47" t="str" cm="1">
        <f t="array" ref="M327">IFERROR(INDEX(Input_ForRateCalc[],MATCH($C327&amp;" - "&amp;M$320,Input_ForRateCalc[[Cost item]:[Cost item]],0),MATCH(Calc_TUV_Net_2[[#This Row],[Decision ref]:[Decision ref]],Input_ForRateCalc[#Headers],0))*TUProp_Days_2,"-")</f>
        <v>-</v>
      </c>
      <c r="N327" s="47" t="str" cm="1">
        <f t="array" ref="N327">IFERROR(INDEX(Input_ForRateCalc[],MATCH($C327&amp;" - "&amp;N$320,Input_ForRateCalc[[Cost item]:[Cost item]],0),MATCH(Calc_TUV_Net_2[[#This Row],[Decision ref]:[Decision ref]],Input_ForRateCalc[#Headers],0))*TUProp_Days_2,"-")</f>
        <v>-</v>
      </c>
      <c r="O327" s="47" t="str" cm="1">
        <f t="array" ref="O327">IFERROR(INDEX(Input_ForRateCalc[],MATCH($C327&amp;" - "&amp;O$320,Input_ForRateCalc[[Cost item]:[Cost item]],0),MATCH(Calc_TUV_Net_2[[#This Row],[Decision ref]:[Decision ref]],Input_ForRateCalc[#Headers],0))*TUProp_Days_2,"-")</f>
        <v>-</v>
      </c>
    </row>
    <row r="328" spans="3:15" hidden="1" outlineLevel="1" x14ac:dyDescent="0.25">
      <c r="C328" s="42" t="s">
        <v>357</v>
      </c>
      <c r="D328" s="60" t="str">
        <f>INDEX(Input_DecisionActual[[Decision]:[Decision]],MATCH(Calc_TU_values!$D$224,Input_DecisionActual[[VDO period]:[VDO period]],0),1)</f>
        <v>VDO 2022-23 - Final</v>
      </c>
      <c r="E328" s="18" t="s">
        <v>96</v>
      </c>
      <c r="F328" s="60" t="str">
        <f>IF($D328="-","-",INDEX(Inputs!$H$17:$U$17,1,MATCH($D328,Inputs!$H$15:$U$15,0)))</f>
        <v>F-PreviousVDO_Input3</v>
      </c>
      <c r="G328" s="41"/>
      <c r="H328" s="18" t="s">
        <v>132</v>
      </c>
      <c r="I328" s="18" t="s">
        <v>65</v>
      </c>
      <c r="J328" s="42" t="s">
        <v>66</v>
      </c>
      <c r="K328" s="47" t="str" cm="1">
        <f t="array" ref="K328">IFERROR(INDEX(Input_ForRateCalc[],MATCH($C328&amp;" - "&amp;K$320,Input_ForRateCalc[[Cost item]:[Cost item]],0),MATCH(Calc_TUV_Net_2[[#This Row],[Decision ref]:[Decision ref]],Input_ForRateCalc[#Headers],0))*TUProp_Days_2,"-")</f>
        <v>-</v>
      </c>
      <c r="L328" s="47" t="str" cm="1">
        <f t="array" ref="L328">IFERROR(INDEX(Input_ForRateCalc[],MATCH($C328&amp;" - "&amp;L$320,Input_ForRateCalc[[Cost item]:[Cost item]],0),MATCH(Calc_TUV_Net_2[[#This Row],[Decision ref]:[Decision ref]],Input_ForRateCalc[#Headers],0))*TUProp_Days_2,"-")</f>
        <v>-</v>
      </c>
      <c r="M328" s="47" t="str" cm="1">
        <f t="array" ref="M328">IFERROR(INDEX(Input_ForRateCalc[],MATCH($C328&amp;" - "&amp;M$320,Input_ForRateCalc[[Cost item]:[Cost item]],0),MATCH(Calc_TUV_Net_2[[#This Row],[Decision ref]:[Decision ref]],Input_ForRateCalc[#Headers],0))*TUProp_Days_2,"-")</f>
        <v>-</v>
      </c>
      <c r="N328" s="47" t="str" cm="1">
        <f t="array" ref="N328">IFERROR(INDEX(Input_ForRateCalc[],MATCH($C328&amp;" - "&amp;N$320,Input_ForRateCalc[[Cost item]:[Cost item]],0),MATCH(Calc_TUV_Net_2[[#This Row],[Decision ref]:[Decision ref]],Input_ForRateCalc[#Headers],0))*TUProp_Days_2,"-")</f>
        <v>-</v>
      </c>
      <c r="O328" s="47" t="str" cm="1">
        <f t="array" ref="O328">IFERROR(INDEX(Input_ForRateCalc[],MATCH($C328&amp;" - "&amp;O$320,Input_ForRateCalc[[Cost item]:[Cost item]],0),MATCH(Calc_TUV_Net_2[[#This Row],[Decision ref]:[Decision ref]],Input_ForRateCalc[#Headers],0))*TUProp_Days_2,"-")</f>
        <v>-</v>
      </c>
    </row>
    <row r="329" spans="3:15" hidden="1" outlineLevel="1" x14ac:dyDescent="0.25">
      <c r="C329" s="42" t="s">
        <v>411</v>
      </c>
      <c r="D329" s="60" t="str">
        <f>INDEX(Input_DecisionActual[[Decision]:[Decision]],MATCH(Calc_TU_values!$D$224,Input_DecisionActual[[VDO period]:[VDO period]],0),1)</f>
        <v>VDO 2022-23 - Final</v>
      </c>
      <c r="E329" s="18" t="s">
        <v>96</v>
      </c>
      <c r="F329" s="60" t="str">
        <f>IF($D329="-","-",INDEX(Inputs!$H$17:$U$17,1,MATCH($D329,Inputs!$H$15:$U$15,0)))</f>
        <v>F-PreviousVDO_Input3</v>
      </c>
      <c r="G329" s="41"/>
      <c r="H329" s="18" t="s">
        <v>132</v>
      </c>
      <c r="I329" s="18" t="s">
        <v>65</v>
      </c>
      <c r="J329" s="42" t="s">
        <v>66</v>
      </c>
      <c r="K329" s="46">
        <f>SUM(K327:K328)</f>
        <v>0</v>
      </c>
      <c r="L329" s="46">
        <f>SUM(L327:L328)</f>
        <v>0</v>
      </c>
      <c r="M329" s="46">
        <f>SUM(M327:M328)</f>
        <v>0</v>
      </c>
      <c r="N329" s="46">
        <f>SUM(N327:N328)</f>
        <v>0</v>
      </c>
      <c r="O329" s="46">
        <f>SUM(O327:O328)</f>
        <v>0</v>
      </c>
    </row>
    <row r="330" spans="3:15" hidden="1" outlineLevel="1" x14ac:dyDescent="0.25">
      <c r="C330" s="42" t="s">
        <v>412</v>
      </c>
      <c r="D330" s="18"/>
      <c r="E330" s="18"/>
      <c r="F330" s="18"/>
      <c r="G330" s="18"/>
      <c r="H330" s="18" t="s">
        <v>132</v>
      </c>
      <c r="I330" s="18" t="s">
        <v>65</v>
      </c>
      <c r="J330" s="42" t="s">
        <v>66</v>
      </c>
      <c r="K330" s="46" t="str">
        <f>IF(K329=0,"-",K326-K329)</f>
        <v>-</v>
      </c>
      <c r="L330" s="46" t="str">
        <f>IF(L329=0,"-",L326-L329)</f>
        <v>-</v>
      </c>
      <c r="M330" s="46" t="str">
        <f>IF(M329=0,"-",M326-M329)</f>
        <v>-</v>
      </c>
      <c r="N330" s="46" t="str">
        <f>IF(N329=0,"-",N326-N329)</f>
        <v>-</v>
      </c>
      <c r="O330" s="46" t="str">
        <f>IF(O329=0,"-",O326-O329)</f>
        <v>-</v>
      </c>
    </row>
    <row r="331" spans="3:15" hidden="1" outlineLevel="1" x14ac:dyDescent="0.25">
      <c r="C331" s="42" t="s">
        <v>414</v>
      </c>
      <c r="D331" s="60" t="str">
        <f>INDEX(Input_DecisionActual[[Decision]:[Decision]],MATCH(Calc_TU_values!$D$224,Input_DecisionActual[[VDO period]:[VDO period]],0),1)</f>
        <v>VDO 2022-23 - Final</v>
      </c>
      <c r="E331" s="18" t="s">
        <v>96</v>
      </c>
      <c r="F331" s="60" t="str">
        <f>IF($D331="-","-",INDEX(Inputs!$H$17:$U$17,1,MATCH($D331,Inputs!$H$15:$U$15,0)))</f>
        <v>F-PreviousVDO_Input3</v>
      </c>
      <c r="G331" s="18"/>
      <c r="H331" s="18" t="s">
        <v>132</v>
      </c>
      <c r="I331" s="18" t="s">
        <v>65</v>
      </c>
      <c r="J331" s="42" t="s">
        <v>66</v>
      </c>
      <c r="K331" s="47" cm="1">
        <f t="array" ref="K331">IFERROR(SUM(K330:K330)*(INDEX(Inputs!$H$18:$U$141,MATCH("Retail operating margin",Input_ForRateCalc[[Cost item]:[Cost item]],0),MATCH(Calc_TUV_Net_2[[#This Row],[Decision ref]:[Decision ref]],Inputs!$H$17:$U$17,0))),"-")</f>
        <v>0</v>
      </c>
      <c r="L331" s="47" cm="1">
        <f t="array" ref="L331">IFERROR(SUM(L330:L330)*(INDEX(Inputs!$H$18:$U$141,MATCH("Retail operating margin",Input_ForRateCalc[[Cost item]:[Cost item]],0),MATCH(Calc_TUV_Net_2[[#This Row],[Decision ref]:[Decision ref]],Inputs!$H$17:$U$17,0))),"-")</f>
        <v>0</v>
      </c>
      <c r="M331" s="47" cm="1">
        <f t="array" ref="M331">IFERROR(SUM(M330:M330)*(INDEX(Inputs!$H$18:$U$141,MATCH("Retail operating margin",Input_ForRateCalc[[Cost item]:[Cost item]],0),MATCH(Calc_TUV_Net_2[[#This Row],[Decision ref]:[Decision ref]],Inputs!$H$17:$U$17,0))),"-")</f>
        <v>0</v>
      </c>
      <c r="N331" s="47" cm="1">
        <f t="array" ref="N331">IFERROR(SUM(N330:N330)*(INDEX(Inputs!$H$18:$U$141,MATCH("Retail operating margin",Input_ForRateCalc[[Cost item]:[Cost item]],0),MATCH(Calc_TUV_Net_2[[#This Row],[Decision ref]:[Decision ref]],Inputs!$H$17:$U$17,0))),"-")</f>
        <v>0</v>
      </c>
      <c r="O331" s="47" cm="1">
        <f t="array" ref="O331">IFERROR(SUM(O330:O330)*(INDEX(Inputs!$H$18:$U$141,MATCH("Retail operating margin",Input_ForRateCalc[[Cost item]:[Cost item]],0),MATCH(Calc_TUV_Net_2[[#This Row],[Decision ref]:[Decision ref]],Inputs!$H$17:$U$17,0))),"-")</f>
        <v>0</v>
      </c>
    </row>
    <row r="332" spans="3:15" hidden="1" outlineLevel="1" x14ac:dyDescent="0.25">
      <c r="C332" s="42" t="s">
        <v>415</v>
      </c>
      <c r="D332" s="18"/>
      <c r="E332" s="18"/>
      <c r="F332" s="18"/>
      <c r="G332" s="18"/>
      <c r="H332" s="18" t="s">
        <v>132</v>
      </c>
      <c r="I332" s="18" t="s">
        <v>65</v>
      </c>
      <c r="J332" s="42" t="s">
        <v>66</v>
      </c>
      <c r="K332" s="47" t="str">
        <f>IF(K329=0,"-",SUM(K330:K331)*GST)</f>
        <v>-</v>
      </c>
      <c r="L332" s="47" t="str">
        <f>IF(L329=0,"-",SUM(L330:L331)*GST)</f>
        <v>-</v>
      </c>
      <c r="M332" s="47" t="str">
        <f>IF(M329=0,"-",SUM(M330:M331)*GST)</f>
        <v>-</v>
      </c>
      <c r="N332" s="47" t="str">
        <f>IF(N329=0,"-",SUM(N330:N331)*GST)</f>
        <v>-</v>
      </c>
      <c r="O332" s="47" t="str">
        <f>IF(O329=0,"-",SUM(O330:O331)*GST)</f>
        <v>-</v>
      </c>
    </row>
    <row r="333" spans="3:15" hidden="1" outlineLevel="1" x14ac:dyDescent="0.25">
      <c r="C333" s="18" t="s">
        <v>435</v>
      </c>
      <c r="D333" s="18"/>
      <c r="E333" s="18"/>
      <c r="F333" s="18"/>
      <c r="G333" s="18"/>
      <c r="H333" s="18" t="s">
        <v>132</v>
      </c>
      <c r="I333" s="18" t="s">
        <v>65</v>
      </c>
      <c r="J333" s="42" t="s">
        <v>66</v>
      </c>
      <c r="K333" s="47" t="str">
        <f>IF(K329=0,"-",SUM(K330:K332))</f>
        <v>-</v>
      </c>
      <c r="L333" s="47" t="str">
        <f>IF(L329=0,"-",SUM(L330:L332))</f>
        <v>-</v>
      </c>
      <c r="M333" s="47" t="str">
        <f>IF(M329=0,"-",SUM(M330:M332))</f>
        <v>-</v>
      </c>
      <c r="N333" s="47" t="str">
        <f>IF(N329=0,"-",SUM(N330:N332))</f>
        <v>-</v>
      </c>
      <c r="O333" s="47" t="str">
        <f>IF(O329=0,"-",SUM(O330:O332))</f>
        <v>-</v>
      </c>
    </row>
    <row r="334" spans="3:15" hidden="1" outlineLevel="1" x14ac:dyDescent="0.25">
      <c r="C334" s="42"/>
      <c r="D334" s="18"/>
      <c r="E334" s="18"/>
      <c r="F334" s="18"/>
      <c r="H334" s="18"/>
      <c r="I334" s="18"/>
      <c r="J334" s="18"/>
      <c r="K334" s="89"/>
      <c r="L334" s="89"/>
      <c r="M334" s="89"/>
      <c r="N334" s="89"/>
      <c r="O334" s="89"/>
    </row>
    <row r="335" spans="3:15" hidden="1" outlineLevel="1" x14ac:dyDescent="0.25">
      <c r="C335" s="40" t="s">
        <v>436</v>
      </c>
      <c r="D335" s="18"/>
      <c r="E335" s="18"/>
      <c r="F335" s="18"/>
      <c r="G335" s="49"/>
      <c r="H335" s="18"/>
      <c r="I335" s="18"/>
      <c r="J335" s="18"/>
      <c r="K335" s="90"/>
      <c r="L335" s="90"/>
      <c r="M335" s="90"/>
      <c r="N335" s="90"/>
      <c r="O335" s="90"/>
    </row>
    <row r="336" spans="3:15" hidden="1" outlineLevel="1" x14ac:dyDescent="0.25">
      <c r="C336" s="42" t="s">
        <v>437</v>
      </c>
      <c r="D336" s="60" t="str">
        <f>Calc_TU_values!$D$224</f>
        <v>VDO 2023-24 - Final</v>
      </c>
      <c r="E336" s="18" t="s">
        <v>316</v>
      </c>
      <c r="F336" s="60" t="e">
        <f>INDEX(Inputs!$H$17:$U$17,1,MATCH($D336,Inputs!$H$15:$U$15,0))</f>
        <v>#N/A</v>
      </c>
      <c r="G336" s="18"/>
      <c r="H336" s="18" t="s">
        <v>178</v>
      </c>
      <c r="I336" s="18" t="s">
        <v>220</v>
      </c>
      <c r="J336" s="42" t="s">
        <v>66</v>
      </c>
      <c r="K336" s="47" t="str" cm="1">
        <f t="array" ref="K336">IFERROR(INDEX(Input_ForRateCalc[],MATCH($C336&amp;" - "&amp;K$320,Input_ForRateCalc[[Cost item]:[Cost item]],0),MATCH(Calc_TUV_Net_2[[#This Row],[Decision ref]:[Decision ref]],Input_ForRateCalc[#Headers],0)),"-")</f>
        <v>-</v>
      </c>
      <c r="L336" s="47" t="str" cm="1">
        <f t="array" ref="L336">IFERROR(INDEX(Input_ForRateCalc[],MATCH($C336&amp;" - "&amp;L$320,Input_ForRateCalc[[Cost item]:[Cost item]],0),MATCH(Calc_TUV_Net_2[[#This Row],[Decision ref]:[Decision ref]],Input_ForRateCalc[#Headers],0)),"-")</f>
        <v>-</v>
      </c>
      <c r="M336" s="47" t="str" cm="1">
        <f t="array" ref="M336">IFERROR(INDEX(Input_ForRateCalc[],MATCH($C336&amp;" - "&amp;M$320,Input_ForRateCalc[[Cost item]:[Cost item]],0),MATCH(Calc_TUV_Net_2[[#This Row],[Decision ref]:[Decision ref]],Input_ForRateCalc[#Headers],0)),"-")</f>
        <v>-</v>
      </c>
      <c r="N336" s="47" t="str" cm="1">
        <f t="array" ref="N336">IFERROR(INDEX(Input_ForRateCalc[],MATCH($C336&amp;" - "&amp;N$320,Input_ForRateCalc[[Cost item]:[Cost item]],0),MATCH(Calc_TUV_Net_2[[#This Row],[Decision ref]:[Decision ref]],Input_ForRateCalc[#Headers],0)),"-")</f>
        <v>-</v>
      </c>
      <c r="O336" s="47" t="str" cm="1">
        <f t="array" ref="O336">IFERROR(INDEX(Input_ForRateCalc[],MATCH($C336&amp;" - "&amp;O$320,Input_ForRateCalc[[Cost item]:[Cost item]],0),MATCH(Calc_TUV_Net_2[[#This Row],[Decision ref]:[Decision ref]],Input_ForRateCalc[#Headers],0)),"-")</f>
        <v>-</v>
      </c>
    </row>
    <row r="337" spans="3:15" hidden="1" outlineLevel="1" x14ac:dyDescent="0.25">
      <c r="C337" s="42" t="s">
        <v>438</v>
      </c>
      <c r="D337" s="60" t="str">
        <f>Calc_TU_values!$D$224</f>
        <v>VDO 2023-24 - Final</v>
      </c>
      <c r="E337" s="18" t="s">
        <v>316</v>
      </c>
      <c r="F337" s="60" t="e">
        <f>INDEX(Inputs!$H$17:$U$17,1,MATCH($D337,Inputs!$H$15:$U$15,0))</f>
        <v>#N/A</v>
      </c>
      <c r="G337" s="49"/>
      <c r="H337" s="18" t="s">
        <v>178</v>
      </c>
      <c r="I337" s="18" t="s">
        <v>220</v>
      </c>
      <c r="J337" s="42" t="s">
        <v>66</v>
      </c>
      <c r="K337" s="47" t="str" cm="1">
        <f t="array" ref="K337">IFERROR(INDEX(Input_ForRateCalc[],MATCH($C337&amp;" - "&amp;K$320,Input_ForRateCalc[[Cost item]:[Cost item]],0),MATCH(Calc_TUV_Net_2[[#This Row],[Decision ref]:[Decision ref]],Input_ForRateCalc[#Headers],0)),"-")</f>
        <v>-</v>
      </c>
      <c r="L337" s="47" t="str" cm="1">
        <f t="array" ref="L337">IFERROR(INDEX(Input_ForRateCalc[],MATCH($C337&amp;" - "&amp;L$320,Input_ForRateCalc[[Cost item]:[Cost item]],0),MATCH(Calc_TUV_Net_2[[#This Row],[Decision ref]:[Decision ref]],Input_ForRateCalc[#Headers],0)),"-")</f>
        <v>-</v>
      </c>
      <c r="M337" s="47" t="str" cm="1">
        <f t="array" ref="M337">IFERROR(INDEX(Input_ForRateCalc[],MATCH($C337&amp;" - "&amp;M$320,Input_ForRateCalc[[Cost item]:[Cost item]],0),MATCH(Calc_TUV_Net_2[[#This Row],[Decision ref]:[Decision ref]],Input_ForRateCalc[#Headers],0)),"-")</f>
        <v>-</v>
      </c>
      <c r="N337" s="47" t="str" cm="1">
        <f t="array" ref="N337">IFERROR(INDEX(Input_ForRateCalc[],MATCH($C337&amp;" - "&amp;N$320,Input_ForRateCalc[[Cost item]:[Cost item]],0),MATCH(Calc_TUV_Net_2[[#This Row],[Decision ref]:[Decision ref]],Input_ForRateCalc[#Headers],0)),"-")</f>
        <v>-</v>
      </c>
      <c r="O337" s="47" t="str" cm="1">
        <f t="array" ref="O337">IFERROR(INDEX(Input_ForRateCalc[],MATCH($C337&amp;" - "&amp;O$320,Input_ForRateCalc[[Cost item]:[Cost item]],0),MATCH(Calc_TUV_Net_2[[#This Row],[Decision ref]:[Decision ref]],Input_ForRateCalc[#Headers],0)),"-")</f>
        <v>-</v>
      </c>
    </row>
    <row r="338" spans="3:15" hidden="1" outlineLevel="1" x14ac:dyDescent="0.25">
      <c r="C338" s="42" t="s">
        <v>439</v>
      </c>
      <c r="D338" s="60" t="str">
        <f>Calc_TU_values!$D$224</f>
        <v>VDO 2023-24 - Final</v>
      </c>
      <c r="E338" s="18" t="s">
        <v>316</v>
      </c>
      <c r="F338" s="60" t="e">
        <f>INDEX(Inputs!$H$17:$U$17,1,MATCH($D338,Inputs!$H$15:$U$15,0))</f>
        <v>#N/A</v>
      </c>
      <c r="G338" s="41"/>
      <c r="H338" s="18" t="s">
        <v>178</v>
      </c>
      <c r="I338" s="18" t="s">
        <v>220</v>
      </c>
      <c r="J338" s="42" t="s">
        <v>66</v>
      </c>
      <c r="K338" s="47" t="str" cm="1">
        <f t="array" ref="K338">IFERROR(INDEX(Input_ForRateCalc[],MATCH($C338&amp;" - "&amp;K$320,Input_ForRateCalc[[Cost item]:[Cost item]],0),MATCH(Calc_TUV_Net_2[[#This Row],[Decision ref]:[Decision ref]],Input_ForRateCalc[#Headers],0)),"-")</f>
        <v>-</v>
      </c>
      <c r="L338" s="47" t="str" cm="1">
        <f t="array" ref="L338">IFERROR(INDEX(Input_ForRateCalc[],MATCH($C338&amp;" - "&amp;L$320,Input_ForRateCalc[[Cost item]:[Cost item]],0),MATCH(Calc_TUV_Net_2[[#This Row],[Decision ref]:[Decision ref]],Input_ForRateCalc[#Headers],0)),"-")</f>
        <v>-</v>
      </c>
      <c r="M338" s="47" t="str" cm="1">
        <f t="array" ref="M338">IFERROR(INDEX(Input_ForRateCalc[],MATCH($C338&amp;" - "&amp;M$320,Input_ForRateCalc[[Cost item]:[Cost item]],0),MATCH(Calc_TUV_Net_2[[#This Row],[Decision ref]:[Decision ref]],Input_ForRateCalc[#Headers],0)),"-")</f>
        <v>-</v>
      </c>
      <c r="N338" s="47" t="str" cm="1">
        <f t="array" ref="N338">IFERROR(INDEX(Input_ForRateCalc[],MATCH($C338&amp;" - "&amp;N$320,Input_ForRateCalc[[Cost item]:[Cost item]],0),MATCH(Calc_TUV_Net_2[[#This Row],[Decision ref]:[Decision ref]],Input_ForRateCalc[#Headers],0)),"-")</f>
        <v>-</v>
      </c>
      <c r="O338" s="47" t="str" cm="1">
        <f t="array" ref="O338">IFERROR(INDEX(Input_ForRateCalc[],MATCH($C338&amp;" - "&amp;O$320,Input_ForRateCalc[[Cost item]:[Cost item]],0),MATCH(Calc_TUV_Net_2[[#This Row],[Decision ref]:[Decision ref]],Input_ForRateCalc[#Headers],0)),"-")</f>
        <v>-</v>
      </c>
    </row>
    <row r="339" spans="3:15" hidden="1" outlineLevel="1" x14ac:dyDescent="0.25">
      <c r="C339" s="42" t="s">
        <v>411</v>
      </c>
      <c r="D339" s="60" t="str">
        <f>Calc_TU_values!$D$224</f>
        <v>VDO 2023-24 - Final</v>
      </c>
      <c r="E339" s="18" t="s">
        <v>316</v>
      </c>
      <c r="F339" s="60" t="e">
        <f>INDEX(Inputs!$H$17:$U$17,1,MATCH($D339,Inputs!$H$15:$U$15,0))</f>
        <v>#N/A</v>
      </c>
      <c r="G339" s="41"/>
      <c r="H339" s="18" t="s">
        <v>178</v>
      </c>
      <c r="I339" s="18" t="s">
        <v>65</v>
      </c>
      <c r="J339" s="42" t="s">
        <v>66</v>
      </c>
      <c r="K339" s="48">
        <f>SUM(
IFERROR(K336/100*SUMIFS(INDEX(TUNet_Usage_PerRate_2[],0,MATCH(K$320,TUNet_Usage_PerRate_2[#Headers],0)),TUNet_Usage_PerRate_2[Customer type],Calc_TUV_Net_2[[#This Row],[Customer type]],TUNet_Usage_PerRate_2[Description],"Usage per customer - Block 1"),0),
IFERROR(K337/100*SUMIFS(INDEX(TUNet_Usage_PerRate_2[],0,MATCH(K$320,TUNet_Usage_PerRate_2[#Headers],0)),TUNet_Usage_PerRate_2[Customer type],Calc_TUV_Net_2[[#This Row],[Customer type]],TUNet_Usage_PerRate_2[Description],"Usage per customer - Balance"),0),
IFERROR(K338/100*SUMIFS(INDEX(TUNet_Usage_PerRate_2[],0,MATCH(K$320,TUNet_Usage_PerRate_2[#Headers],0)),TUNet_Usage_PerRate_2[Customer type],Calc_TUV_Net_2[[#This Row],[Customer type]],TUNet_Usage_PerRate_2[Description],"Usage per customer - Single rate"),0))</f>
        <v>0</v>
      </c>
      <c r="L339" s="48">
        <f>SUM(
IFERROR(L336/100*SUMIFS(INDEX(TUNet_Usage_PerRate_2[],0,MATCH(L$320,TUNet_Usage_PerRate_2[#Headers],0)),TUNet_Usage_PerRate_2[Customer type],Calc_TUV_Net_2[[#This Row],[Customer type]],TUNet_Usage_PerRate_2[Description],"Usage per customer - Block 1"),0),
IFERROR(L337/100*SUMIFS(INDEX(TUNet_Usage_PerRate_2[],0,MATCH(L$320,TUNet_Usage_PerRate_2[#Headers],0)),TUNet_Usage_PerRate_2[Customer type],Calc_TUV_Net_2[[#This Row],[Customer type]],TUNet_Usage_PerRate_2[Description],"Usage per customer - Balance"),0),
IFERROR(L338/100*SUMIFS(INDEX(TUNet_Usage_PerRate_2[],0,MATCH(L$320,TUNet_Usage_PerRate_2[#Headers],0)),TUNet_Usage_PerRate_2[Customer type],Calc_TUV_Net_2[[#This Row],[Customer type]],TUNet_Usage_PerRate_2[Description],"Usage per customer - Single rate"),0))</f>
        <v>0</v>
      </c>
      <c r="M339" s="48">
        <f>SUM(
IFERROR(M336/100*SUMIFS(INDEX(TUNet_Usage_PerRate_2[],0,MATCH(M$320,TUNet_Usage_PerRate_2[#Headers],0)),TUNet_Usage_PerRate_2[Customer type],Calc_TUV_Net_2[[#This Row],[Customer type]],TUNet_Usage_PerRate_2[Description],"Usage per customer - Block 1"),0),
IFERROR(M337/100*SUMIFS(INDEX(TUNet_Usage_PerRate_2[],0,MATCH(M$320,TUNet_Usage_PerRate_2[#Headers],0)),TUNet_Usage_PerRate_2[Customer type],Calc_TUV_Net_2[[#This Row],[Customer type]],TUNet_Usage_PerRate_2[Description],"Usage per customer - Balance"),0),
IFERROR(M338/100*SUMIFS(INDEX(TUNet_Usage_PerRate_2[],0,MATCH(M$320,TUNet_Usage_PerRate_2[#Headers],0)),TUNet_Usage_PerRate_2[Customer type],Calc_TUV_Net_2[[#This Row],[Customer type]],TUNet_Usage_PerRate_2[Description],"Usage per customer - Single rate"),0))</f>
        <v>0</v>
      </c>
      <c r="N339" s="48">
        <f>SUM(
IFERROR(N336/100*SUMIFS(INDEX(TUNet_Usage_PerRate_2[],0,MATCH(N$320,TUNet_Usage_PerRate_2[#Headers],0)),TUNet_Usage_PerRate_2[Customer type],Calc_TUV_Net_2[[#This Row],[Customer type]],TUNet_Usage_PerRate_2[Description],"Usage per customer - Block 1"),0),
IFERROR(N337/100*SUMIFS(INDEX(TUNet_Usage_PerRate_2[],0,MATCH(N$320,TUNet_Usage_PerRate_2[#Headers],0)),TUNet_Usage_PerRate_2[Customer type],Calc_TUV_Net_2[[#This Row],[Customer type]],TUNet_Usage_PerRate_2[Description],"Usage per customer - Balance"),0),
IFERROR(N338/100*SUMIFS(INDEX(TUNet_Usage_PerRate_2[],0,MATCH(N$320,TUNet_Usage_PerRate_2[#Headers],0)),TUNet_Usage_PerRate_2[Customer type],Calc_TUV_Net_2[[#This Row],[Customer type]],TUNet_Usage_PerRate_2[Description],"Usage per customer - Single rate"),0))</f>
        <v>0</v>
      </c>
      <c r="O339" s="48">
        <f>SUM(
IFERROR(O336/100*SUMIFS(INDEX(TUNet_Usage_PerRate_2[],0,MATCH(O$320,TUNet_Usage_PerRate_2[#Headers],0)),TUNet_Usage_PerRate_2[Customer type],Calc_TUV_Net_2[[#This Row],[Customer type]],TUNet_Usage_PerRate_2[Description],"Usage per customer - Block 1"),0),
IFERROR(O337/100*SUMIFS(INDEX(TUNet_Usage_PerRate_2[],0,MATCH(O$320,TUNet_Usage_PerRate_2[#Headers],0)),TUNet_Usage_PerRate_2[Customer type],Calc_TUV_Net_2[[#This Row],[Customer type]],TUNet_Usage_PerRate_2[Description],"Usage per customer - Balance"),0),
IFERROR(O338/100*SUMIFS(INDEX(TUNet_Usage_PerRate_2[],0,MATCH(O$320,TUNet_Usage_PerRate_2[#Headers],0)),TUNet_Usage_PerRate_2[Customer type],Calc_TUV_Net_2[[#This Row],[Customer type]],TUNet_Usage_PerRate_2[Description],"Usage per customer - Single rate"),0))</f>
        <v>0</v>
      </c>
    </row>
    <row r="340" spans="3:15" hidden="1" outlineLevel="1" x14ac:dyDescent="0.25">
      <c r="C340" s="42" t="s">
        <v>437</v>
      </c>
      <c r="D340" s="60" t="str">
        <f>INDEX(Input_DecisionActual[[Decision]:[Decision]],MATCH(Calc_TU_values!$D$224,Input_DecisionActual[[VDO period]:[VDO period]],0),1)</f>
        <v>VDO 2022-23 - Final</v>
      </c>
      <c r="E340" s="18" t="s">
        <v>96</v>
      </c>
      <c r="F340" s="60" t="str">
        <f>IF($D340="-","-",INDEX(Inputs!$H$17:$U$17,1,MATCH($D340,Inputs!$H$15:$U$15,0)))</f>
        <v>F-PreviousVDO_Input3</v>
      </c>
      <c r="G340" s="41"/>
      <c r="H340" s="18" t="s">
        <v>178</v>
      </c>
      <c r="I340" s="18" t="s">
        <v>220</v>
      </c>
      <c r="J340" s="42" t="s">
        <v>66</v>
      </c>
      <c r="K340" s="47" cm="1">
        <f t="array" ref="K340">IFERROR(INDEX(Input_ForRateCalc[],MATCH($C340&amp;" - "&amp;K$320,Input_ForRateCalc[[Cost item]:[Cost item]],0),MATCH(Calc_TUV_Net_2[[#This Row],[Decision ref]:[Decision ref]],Input_ForRateCalc[#Headers],0)),"-")</f>
        <v>12.7212</v>
      </c>
      <c r="L340" s="47" t="str" cm="1">
        <f t="array" ref="L340">IFERROR(INDEX(Input_ForRateCalc[],MATCH($C340&amp;" - "&amp;L$320,Input_ForRateCalc[[Cost item]:[Cost item]],0),MATCH(Calc_TUV_Net_2[[#This Row],[Decision ref]:[Decision ref]],Input_ForRateCalc[#Headers],0)),"-")</f>
        <v>-</v>
      </c>
      <c r="M340" s="47" t="str" cm="1">
        <f t="array" ref="M340">IFERROR(INDEX(Input_ForRateCalc[],MATCH($C340&amp;" - "&amp;M$320,Input_ForRateCalc[[Cost item]:[Cost item]],0),MATCH(Calc_TUV_Net_2[[#This Row],[Decision ref]:[Decision ref]],Input_ForRateCalc[#Headers],0)),"-")</f>
        <v>-</v>
      </c>
      <c r="N340" s="47" t="str" cm="1">
        <f t="array" ref="N340">IFERROR(INDEX(Input_ForRateCalc[],MATCH($C340&amp;" - "&amp;N$320,Input_ForRateCalc[[Cost item]:[Cost item]],0),MATCH(Calc_TUV_Net_2[[#This Row],[Decision ref]:[Decision ref]],Input_ForRateCalc[#Headers],0)),"-")</f>
        <v>-</v>
      </c>
      <c r="O340" s="47" t="str" cm="1">
        <f t="array" ref="O340">IFERROR(INDEX(Input_ForRateCalc[],MATCH($C340&amp;" - "&amp;O$320,Input_ForRateCalc[[Cost item]:[Cost item]],0),MATCH(Calc_TUV_Net_2[[#This Row],[Decision ref]:[Decision ref]],Input_ForRateCalc[#Headers],0)),"-")</f>
        <v>-</v>
      </c>
    </row>
    <row r="341" spans="3:15" hidden="1" outlineLevel="1" x14ac:dyDescent="0.25">
      <c r="C341" s="42" t="s">
        <v>438</v>
      </c>
      <c r="D341" s="60" t="str">
        <f>INDEX(Input_DecisionActual[[Decision]:[Decision]],MATCH(Calc_TU_values!$D$224,Input_DecisionActual[[VDO period]:[VDO period]],0),1)</f>
        <v>VDO 2022-23 - Final</v>
      </c>
      <c r="E341" s="18" t="s">
        <v>96</v>
      </c>
      <c r="F341" s="60" t="str">
        <f>IF($D341="-","-",INDEX(Inputs!$H$17:$U$17,1,MATCH($D341,Inputs!$H$15:$U$15,0)))</f>
        <v>F-PreviousVDO_Input3</v>
      </c>
      <c r="G341" s="41"/>
      <c r="H341" s="18" t="s">
        <v>178</v>
      </c>
      <c r="I341" s="18" t="s">
        <v>220</v>
      </c>
      <c r="J341" s="42" t="s">
        <v>66</v>
      </c>
      <c r="K341" s="47" cm="1">
        <f t="array" ref="K341">IFERROR(INDEX(Input_ForRateCalc[],MATCH($C341&amp;" - "&amp;K$320,Input_ForRateCalc[[Cost item]:[Cost item]],0),MATCH(Calc_TUV_Net_2[[#This Row],[Decision ref]:[Decision ref]],Input_ForRateCalc[#Headers],0)),"-")</f>
        <v>14.2392</v>
      </c>
      <c r="L341" s="47" t="str" cm="1">
        <f t="array" ref="L341">IFERROR(INDEX(Input_ForRateCalc[],MATCH($C341&amp;" - "&amp;L$320,Input_ForRateCalc[[Cost item]:[Cost item]],0),MATCH(Calc_TUV_Net_2[[#This Row],[Decision ref]:[Decision ref]],Input_ForRateCalc[#Headers],0)),"-")</f>
        <v>-</v>
      </c>
      <c r="M341" s="47" t="str" cm="1">
        <f t="array" ref="M341">IFERROR(INDEX(Input_ForRateCalc[],MATCH($C341&amp;" - "&amp;M$320,Input_ForRateCalc[[Cost item]:[Cost item]],0),MATCH(Calc_TUV_Net_2[[#This Row],[Decision ref]:[Decision ref]],Input_ForRateCalc[#Headers],0)),"-")</f>
        <v>-</v>
      </c>
      <c r="N341" s="47" t="str" cm="1">
        <f t="array" ref="N341">IFERROR(INDEX(Input_ForRateCalc[],MATCH($C341&amp;" - "&amp;N$320,Input_ForRateCalc[[Cost item]:[Cost item]],0),MATCH(Calc_TUV_Net_2[[#This Row],[Decision ref]:[Decision ref]],Input_ForRateCalc[#Headers],0)),"-")</f>
        <v>-</v>
      </c>
      <c r="O341" s="47" t="str" cm="1">
        <f t="array" ref="O341">IFERROR(INDEX(Input_ForRateCalc[],MATCH($C341&amp;" - "&amp;O$320,Input_ForRateCalc[[Cost item]:[Cost item]],0),MATCH(Calc_TUV_Net_2[[#This Row],[Decision ref]:[Decision ref]],Input_ForRateCalc[#Headers],0)),"-")</f>
        <v>-</v>
      </c>
    </row>
    <row r="342" spans="3:15" hidden="1" outlineLevel="1" x14ac:dyDescent="0.25">
      <c r="C342" s="42" t="s">
        <v>439</v>
      </c>
      <c r="D342" s="60" t="str">
        <f>INDEX(Input_DecisionActual[[Decision]:[Decision]],MATCH(Calc_TU_values!$D$224,Input_DecisionActual[[VDO period]:[VDO period]],0),1)</f>
        <v>VDO 2022-23 - Final</v>
      </c>
      <c r="E342" s="18" t="s">
        <v>96</v>
      </c>
      <c r="F342" s="60" t="str">
        <f>IF($D342="-","-",INDEX(Inputs!$H$17:$U$17,1,MATCH($D342,Inputs!$H$15:$U$15,0)))</f>
        <v>F-PreviousVDO_Input3</v>
      </c>
      <c r="G342" s="41"/>
      <c r="H342" s="18" t="s">
        <v>178</v>
      </c>
      <c r="I342" s="18" t="s">
        <v>220</v>
      </c>
      <c r="J342" s="42" t="s">
        <v>66</v>
      </c>
      <c r="K342" s="47" t="str" cm="1">
        <f t="array" ref="K342">IFERROR(INDEX(Input_ForRateCalc[],MATCH($C342&amp;" - "&amp;K$320,Input_ForRateCalc[[Cost item]:[Cost item]],0),MATCH(Calc_TUV_Net_2[[#This Row],[Decision ref]:[Decision ref]],Input_ForRateCalc[#Headers],0)),"-")</f>
        <v>-</v>
      </c>
      <c r="L342" s="47" cm="1">
        <f t="array" ref="L342">IFERROR(INDEX(Input_ForRateCalc[],MATCH($C342&amp;" - "&amp;L$320,Input_ForRateCalc[[Cost item]:[Cost item]],0),MATCH(Calc_TUV_Net_2[[#This Row],[Decision ref]:[Decision ref]],Input_ForRateCalc[#Headers],0)),"-")</f>
        <v>7.4</v>
      </c>
      <c r="M342" s="47" cm="1">
        <f t="array" ref="M342">IFERROR(INDEX(Input_ForRateCalc[],MATCH($C342&amp;" - "&amp;M$320,Input_ForRateCalc[[Cost item]:[Cost item]],0),MATCH(Calc_TUV_Net_2[[#This Row],[Decision ref]:[Decision ref]],Input_ForRateCalc[#Headers],0)),"-")</f>
        <v>8.2509999999999994</v>
      </c>
      <c r="N342" s="47" cm="1">
        <f t="array" ref="N342">IFERROR(INDEX(Input_ForRateCalc[],MATCH($C342&amp;" - "&amp;N$320,Input_ForRateCalc[[Cost item]:[Cost item]],0),MATCH(Calc_TUV_Net_2[[#This Row],[Decision ref]:[Decision ref]],Input_ForRateCalc[#Headers],0)),"-")</f>
        <v>8.15</v>
      </c>
      <c r="O342" s="47" cm="1">
        <f t="array" ref="O342">IFERROR(INDEX(Input_ForRateCalc[],MATCH($C342&amp;" - "&amp;O$320,Input_ForRateCalc[[Cost item]:[Cost item]],0),MATCH(Calc_TUV_Net_2[[#This Row],[Decision ref]:[Decision ref]],Input_ForRateCalc[#Headers],0)),"-")</f>
        <v>8.3000000000000007</v>
      </c>
    </row>
    <row r="343" spans="3:15" hidden="1" outlineLevel="1" x14ac:dyDescent="0.25">
      <c r="C343" s="42" t="s">
        <v>411</v>
      </c>
      <c r="D343" s="60" t="str">
        <f>INDEX(Input_DecisionActual[[Decision]:[Decision]],MATCH(Calc_TU_values!$D$224,Input_DecisionActual[[VDO period]:[VDO period]],0),1)</f>
        <v>VDO 2022-23 - Final</v>
      </c>
      <c r="E343" s="18" t="s">
        <v>96</v>
      </c>
      <c r="F343" s="60" t="str">
        <f>IF($D343="-","-",INDEX(Inputs!$H$17:$U$17,1,MATCH($D343,Inputs!$H$15:$U$15,0)))</f>
        <v>F-PreviousVDO_Input3</v>
      </c>
      <c r="G343" s="41"/>
      <c r="H343" s="18" t="s">
        <v>178</v>
      </c>
      <c r="I343" s="18" t="s">
        <v>65</v>
      </c>
      <c r="J343" s="42" t="s">
        <v>66</v>
      </c>
      <c r="K343" s="48">
        <f>SUM(
IFERROR(K340/100*SUMIFS(INDEX(TUNet_Usage_PerRate_2[],0,MATCH(K$320,TUNet_Usage_PerRate_2[#Headers],0)),TUNet_Usage_PerRate_2[Customer type],Calc_TUV_Net_2[[#This Row],[Customer type]],TUNet_Usage_PerRate_2[Description],"Usage per customer - Block 1"),0),
IFERROR(K341/100*SUMIFS(INDEX(TUNet_Usage_PerRate_2[],0,MATCH(K$320,TUNet_Usage_PerRate_2[#Headers],0)),TUNet_Usage_PerRate_2[Customer type],Calc_TUV_Net_2[[#This Row],[Customer type]],TUNet_Usage_PerRate_2[Description],"Usage per customer - Balance"),0),
IFERROR(K342/100*SUMIFS(INDEX(TUNet_Usage_PerRate_2[],0,MATCH(K$320,TUNet_Usage_PerRate_2[#Headers],0)),TUNet_Usage_PerRate_2[Customer type],Calc_TUV_Net_2[[#This Row],[Customer type]],TUNet_Usage_PerRate_2[Description],"Usage per customer - Single rate"),0))</f>
        <v>0</v>
      </c>
      <c r="L343" s="48">
        <f>SUM(
IFERROR(L340/100*SUMIFS(INDEX(TUNet_Usage_PerRate_2[],0,MATCH(L$320,TUNet_Usage_PerRate_2[#Headers],0)),TUNet_Usage_PerRate_2[Customer type],Calc_TUV_Net_2[[#This Row],[Customer type]],TUNet_Usage_PerRate_2[Description],"Usage per customer - Block 1"),0),
IFERROR(L341/100*SUMIFS(INDEX(TUNet_Usage_PerRate_2[],0,MATCH(L$320,TUNet_Usage_PerRate_2[#Headers],0)),TUNet_Usage_PerRate_2[Customer type],Calc_TUV_Net_2[[#This Row],[Customer type]],TUNet_Usage_PerRate_2[Description],"Usage per customer - Balance"),0),
IFERROR(L342/100*SUMIFS(INDEX(TUNet_Usage_PerRate_2[],0,MATCH(L$320,TUNet_Usage_PerRate_2[#Headers],0)),TUNet_Usage_PerRate_2[Customer type],Calc_TUV_Net_2[[#This Row],[Customer type]],TUNet_Usage_PerRate_2[Description],"Usage per customer - Single rate"),0))</f>
        <v>0</v>
      </c>
      <c r="M343" s="48">
        <f>SUM(
IFERROR(M340/100*SUMIFS(INDEX(TUNet_Usage_PerRate_2[],0,MATCH(M$320,TUNet_Usage_PerRate_2[#Headers],0)),TUNet_Usage_PerRate_2[Customer type],Calc_TUV_Net_2[[#This Row],[Customer type]],TUNet_Usage_PerRate_2[Description],"Usage per customer - Block 1"),0),
IFERROR(M341/100*SUMIFS(INDEX(TUNet_Usage_PerRate_2[],0,MATCH(M$320,TUNet_Usage_PerRate_2[#Headers],0)),TUNet_Usage_PerRate_2[Customer type],Calc_TUV_Net_2[[#This Row],[Customer type]],TUNet_Usage_PerRate_2[Description],"Usage per customer - Balance"),0),
IFERROR(M342/100*SUMIFS(INDEX(TUNet_Usage_PerRate_2[],0,MATCH(M$320,TUNet_Usage_PerRate_2[#Headers],0)),TUNet_Usage_PerRate_2[Customer type],Calc_TUV_Net_2[[#This Row],[Customer type]],TUNet_Usage_PerRate_2[Description],"Usage per customer - Single rate"),0))</f>
        <v>0</v>
      </c>
      <c r="N343" s="48">
        <f>SUM(
IFERROR(N340/100*SUMIFS(INDEX(TUNet_Usage_PerRate_2[],0,MATCH(N$320,TUNet_Usage_PerRate_2[#Headers],0)),TUNet_Usage_PerRate_2[Customer type],Calc_TUV_Net_2[[#This Row],[Customer type]],TUNet_Usage_PerRate_2[Description],"Usage per customer - Block 1"),0),
IFERROR(N341/100*SUMIFS(INDEX(TUNet_Usage_PerRate_2[],0,MATCH(N$320,TUNet_Usage_PerRate_2[#Headers],0)),TUNet_Usage_PerRate_2[Customer type],Calc_TUV_Net_2[[#This Row],[Customer type]],TUNet_Usage_PerRate_2[Description],"Usage per customer - Balance"),0),
IFERROR(N342/100*SUMIFS(INDEX(TUNet_Usage_PerRate_2[],0,MATCH(N$320,TUNet_Usage_PerRate_2[#Headers],0)),TUNet_Usage_PerRate_2[Customer type],Calc_TUV_Net_2[[#This Row],[Customer type]],TUNet_Usage_PerRate_2[Description],"Usage per customer - Single rate"),0))</f>
        <v>0</v>
      </c>
      <c r="O343" s="48">
        <f>SUM(
IFERROR(O340/100*SUMIFS(INDEX(TUNet_Usage_PerRate_2[],0,MATCH(O$320,TUNet_Usage_PerRate_2[#Headers],0)),TUNet_Usage_PerRate_2[Customer type],Calc_TUV_Net_2[[#This Row],[Customer type]],TUNet_Usage_PerRate_2[Description],"Usage per customer - Block 1"),0),
IFERROR(O341/100*SUMIFS(INDEX(TUNet_Usage_PerRate_2[],0,MATCH(O$320,TUNet_Usage_PerRate_2[#Headers],0)),TUNet_Usage_PerRate_2[Customer type],Calc_TUV_Net_2[[#This Row],[Customer type]],TUNet_Usage_PerRate_2[Description],"Usage per customer - Balance"),0),
IFERROR(O342/100*SUMIFS(INDEX(TUNet_Usage_PerRate_2[],0,MATCH(O$320,TUNet_Usage_PerRate_2[#Headers],0)),TUNet_Usage_PerRate_2[Customer type],Calc_TUV_Net_2[[#This Row],[Customer type]],TUNet_Usage_PerRate_2[Description],"Usage per customer - Single rate"),0))</f>
        <v>0</v>
      </c>
    </row>
    <row r="344" spans="3:15" hidden="1" outlineLevel="1" x14ac:dyDescent="0.25">
      <c r="C344" s="42" t="s">
        <v>412</v>
      </c>
      <c r="D344" s="18"/>
      <c r="E344" s="18"/>
      <c r="F344" s="18"/>
      <c r="G344" s="18"/>
      <c r="H344" s="18" t="s">
        <v>178</v>
      </c>
      <c r="I344" s="18" t="s">
        <v>65</v>
      </c>
      <c r="J344" s="42" t="s">
        <v>66</v>
      </c>
      <c r="K344" s="46" t="str">
        <f>IF(K343=0,"-",K339-K343)</f>
        <v>-</v>
      </c>
      <c r="L344" s="46" t="str">
        <f>IF(L343=0,"-",L339-L343)</f>
        <v>-</v>
      </c>
      <c r="M344" s="46" t="str">
        <f>IF(M343=0,"-",M339-M343)</f>
        <v>-</v>
      </c>
      <c r="N344" s="46" t="str">
        <f>IF(N343=0,"-",N339-N343)</f>
        <v>-</v>
      </c>
      <c r="O344" s="46" t="str">
        <f>IF(O343=0,"-",O339-O343)</f>
        <v>-</v>
      </c>
    </row>
    <row r="345" spans="3:15" hidden="1" outlineLevel="1" x14ac:dyDescent="0.25">
      <c r="C345" s="42" t="s">
        <v>414</v>
      </c>
      <c r="D345" s="60" t="str">
        <f>INDEX(Input_DecisionActual[[Decision]:[Decision]],MATCH(Calc_TU_values!$D$224,Input_DecisionActual[[VDO period]:[VDO period]],0),1)</f>
        <v>VDO 2022-23 - Final</v>
      </c>
      <c r="E345" s="18" t="s">
        <v>96</v>
      </c>
      <c r="F345" s="60" t="str">
        <f>IF($D345="-","-",INDEX(Inputs!$H$17:$U$17,1,MATCH($D345,Inputs!$H$15:$U$15,0)))</f>
        <v>F-PreviousVDO_Input3</v>
      </c>
      <c r="G345" s="18"/>
      <c r="H345" s="18" t="s">
        <v>178</v>
      </c>
      <c r="I345" s="18" t="s">
        <v>65</v>
      </c>
      <c r="J345" s="42" t="s">
        <v>66</v>
      </c>
      <c r="K345" s="47" cm="1">
        <f t="array" ref="K345">IFERROR(SUM(K344:K344)*(INDEX(Inputs!$H$18:$U$141,MATCH("Retail operating margin",Input_ForRateCalc[[Cost item]:[Cost item]],0),MATCH(Calc_TUV_Net_2[[#This Row],[Decision ref]:[Decision ref]],Inputs!$H$17:$U$17,0))),"-")</f>
        <v>0</v>
      </c>
      <c r="L345" s="47" cm="1">
        <f t="array" ref="L345">IFERROR(SUM(L344:L344)*(INDEX(Inputs!$H$18:$U$141,MATCH("Retail operating margin",Input_ForRateCalc[[Cost item]:[Cost item]],0),MATCH(Calc_TUV_Net_2[[#This Row],[Decision ref]:[Decision ref]],Inputs!$H$17:$U$17,0))),"-")</f>
        <v>0</v>
      </c>
      <c r="M345" s="47" cm="1">
        <f t="array" ref="M345">IFERROR(SUM(M344:M344)*(INDEX(Inputs!$H$18:$U$141,MATCH("Retail operating margin",Input_ForRateCalc[[Cost item]:[Cost item]],0),MATCH(Calc_TUV_Net_2[[#This Row],[Decision ref]:[Decision ref]],Inputs!$H$17:$U$17,0))),"-")</f>
        <v>0</v>
      </c>
      <c r="N345" s="47" cm="1">
        <f t="array" ref="N345">IFERROR(SUM(N344:N344)*(INDEX(Inputs!$H$18:$U$141,MATCH("Retail operating margin",Input_ForRateCalc[[Cost item]:[Cost item]],0),MATCH(Calc_TUV_Net_2[[#This Row],[Decision ref]:[Decision ref]],Inputs!$H$17:$U$17,0))),"-")</f>
        <v>0</v>
      </c>
      <c r="O345" s="47" cm="1">
        <f t="array" ref="O345">IFERROR(SUM(O344:O344)*(INDEX(Inputs!$H$18:$U$141,MATCH("Retail operating margin",Input_ForRateCalc[[Cost item]:[Cost item]],0),MATCH(Calc_TUV_Net_2[[#This Row],[Decision ref]:[Decision ref]],Inputs!$H$17:$U$17,0))),"-")</f>
        <v>0</v>
      </c>
    </row>
    <row r="346" spans="3:15" hidden="1" outlineLevel="1" x14ac:dyDescent="0.25">
      <c r="C346" s="42" t="s">
        <v>415</v>
      </c>
      <c r="D346" s="18"/>
      <c r="E346" s="18"/>
      <c r="F346" s="18"/>
      <c r="G346" s="18"/>
      <c r="H346" s="18" t="s">
        <v>178</v>
      </c>
      <c r="I346" s="18" t="s">
        <v>65</v>
      </c>
      <c r="J346" s="42" t="s">
        <v>66</v>
      </c>
      <c r="K346" s="47" t="str">
        <f>IF(K343=0,"-",SUM(K344:K345)*GST)</f>
        <v>-</v>
      </c>
      <c r="L346" s="47" t="str">
        <f>IF(L343=0,"-",SUM(L344:L345)*GST)</f>
        <v>-</v>
      </c>
      <c r="M346" s="47" t="str">
        <f>IF(M343=0,"-",SUM(M344:M345)*GST)</f>
        <v>-</v>
      </c>
      <c r="N346" s="47" t="str">
        <f>IF(N343=0,"-",SUM(N344:N345)*GST)</f>
        <v>-</v>
      </c>
      <c r="O346" s="47" t="str">
        <f>IF(O343=0,"-",SUM(O344:O345)*GST)</f>
        <v>-</v>
      </c>
    </row>
    <row r="347" spans="3:15" hidden="1" outlineLevel="1" x14ac:dyDescent="0.25">
      <c r="C347" s="42" t="s">
        <v>440</v>
      </c>
      <c r="D347" s="18"/>
      <c r="E347" s="18"/>
      <c r="F347" s="18"/>
      <c r="H347" s="18" t="s">
        <v>178</v>
      </c>
      <c r="I347" s="18" t="s">
        <v>65</v>
      </c>
      <c r="J347" s="42" t="s">
        <v>66</v>
      </c>
      <c r="K347" s="47" t="str">
        <f>IF(K343=0,"-",SUM(K344:K346))</f>
        <v>-</v>
      </c>
      <c r="L347" s="47" t="str">
        <f>IF(L343=0,"-",SUM(L344:L346))</f>
        <v>-</v>
      </c>
      <c r="M347" s="47" t="str">
        <f>IF(M343=0,"-",SUM(M344:M346))</f>
        <v>-</v>
      </c>
      <c r="N347" s="47" t="str">
        <f>IF(N343=0,"-",SUM(N344:N346))</f>
        <v>-</v>
      </c>
      <c r="O347" s="47" t="str">
        <f>IF(O343=0,"-",SUM(O344:O346))</f>
        <v>-</v>
      </c>
    </row>
    <row r="348" spans="3:15" hidden="1" outlineLevel="1" x14ac:dyDescent="0.25">
      <c r="C348" s="42"/>
      <c r="D348" s="18"/>
      <c r="E348" s="18"/>
      <c r="F348" s="18"/>
      <c r="G348" s="18"/>
      <c r="H348" s="18"/>
      <c r="I348" s="18"/>
      <c r="J348" s="18"/>
      <c r="K348" s="46"/>
      <c r="L348" s="46"/>
      <c r="M348" s="46"/>
      <c r="N348" s="46"/>
      <c r="O348" s="46"/>
    </row>
    <row r="349" spans="3:15" hidden="1" outlineLevel="1" x14ac:dyDescent="0.25">
      <c r="C349" s="40" t="s">
        <v>441</v>
      </c>
      <c r="D349" s="18"/>
      <c r="E349" s="18"/>
      <c r="F349" s="18"/>
      <c r="H349" s="18"/>
      <c r="I349" s="18"/>
      <c r="J349" s="18"/>
      <c r="K349" s="46"/>
      <c r="L349" s="46"/>
      <c r="M349" s="46"/>
      <c r="N349" s="46"/>
      <c r="O349" s="46"/>
    </row>
    <row r="350" spans="3:15" hidden="1" outlineLevel="1" x14ac:dyDescent="0.25">
      <c r="C350" s="42" t="s">
        <v>442</v>
      </c>
      <c r="D350" s="60" t="str">
        <f>Calc_TU_values!$D$224</f>
        <v>VDO 2023-24 - Final</v>
      </c>
      <c r="E350" s="18" t="s">
        <v>316</v>
      </c>
      <c r="F350" s="60" t="e">
        <f>INDEX(Inputs!$H$17:$U$17,1,MATCH($D350,Inputs!$H$15:$U$15,0))</f>
        <v>#N/A</v>
      </c>
      <c r="G350" s="18"/>
      <c r="H350" s="18" t="s">
        <v>178</v>
      </c>
      <c r="I350" s="18" t="s">
        <v>220</v>
      </c>
      <c r="J350" s="42" t="s">
        <v>66</v>
      </c>
      <c r="K350" s="47" t="str" cm="1">
        <f t="array" ref="K350">IFERROR(INDEX(Input_ForRateCalc[],MATCH($C350&amp;" - "&amp;K$320,Input_ForRateCalc[[Cost item]:[Cost item]],0),MATCH(Calc_TUV_Net_2[[#This Row],[Decision ref]:[Decision ref]],Input_ForRateCalc[#Headers],0)),"-")</f>
        <v>-</v>
      </c>
      <c r="L350" s="47" t="str" cm="1">
        <f t="array" ref="L350">IFERROR(INDEX(Input_ForRateCalc[],MATCH($C350&amp;" - "&amp;L$320,Input_ForRateCalc[[Cost item]:[Cost item]],0),MATCH(Calc_TUV_Net_2[[#This Row],[Decision ref]:[Decision ref]],Input_ForRateCalc[#Headers],0)),"-")</f>
        <v>-</v>
      </c>
      <c r="M350" s="47" t="str" cm="1">
        <f t="array" ref="M350">IFERROR(INDEX(Input_ForRateCalc[],MATCH($C350&amp;" - "&amp;M$320,Input_ForRateCalc[[Cost item]:[Cost item]],0),MATCH(Calc_TUV_Net_2[[#This Row],[Decision ref]:[Decision ref]],Input_ForRateCalc[#Headers],0)),"-")</f>
        <v>-</v>
      </c>
      <c r="N350" s="47" t="str" cm="1">
        <f t="array" ref="N350">IFERROR(INDEX(Input_ForRateCalc[],MATCH($C350&amp;" - "&amp;N$320,Input_ForRateCalc[[Cost item]:[Cost item]],0),MATCH(Calc_TUV_Net_2[[#This Row],[Decision ref]:[Decision ref]],Input_ForRateCalc[#Headers],0)),"-")</f>
        <v>-</v>
      </c>
      <c r="O350" s="47" t="str" cm="1">
        <f t="array" ref="O350">IFERROR(INDEX(Input_ForRateCalc[],MATCH($C350&amp;" - "&amp;O$320,Input_ForRateCalc[[Cost item]:[Cost item]],0),MATCH(Calc_TUV_Net_2[[#This Row],[Decision ref]:[Decision ref]],Input_ForRateCalc[#Headers],0)),"-")</f>
        <v>-</v>
      </c>
    </row>
    <row r="351" spans="3:15" hidden="1" outlineLevel="1" x14ac:dyDescent="0.25">
      <c r="C351" s="42" t="s">
        <v>411</v>
      </c>
      <c r="D351" s="60" t="str">
        <f>Calc_TU_values!$D$224</f>
        <v>VDO 2023-24 - Final</v>
      </c>
      <c r="E351" s="18" t="s">
        <v>316</v>
      </c>
      <c r="F351" s="60" t="e">
        <f>INDEX(Inputs!$H$17:$U$17,1,MATCH($D351,Inputs!$H$15:$U$15,0))</f>
        <v>#N/A</v>
      </c>
      <c r="G351" s="18"/>
      <c r="H351" s="18" t="s">
        <v>178</v>
      </c>
      <c r="I351" s="18" t="s">
        <v>65</v>
      </c>
      <c r="J351" s="42" t="s">
        <v>66</v>
      </c>
      <c r="K351" s="48" t="str" cm="1">
        <f t="array" ref="K351">IFERROR(TUProp_CLLoad_2*SUM(
IFERROR(K350/100*INDEX(Input_Usage[#All],MATCH(Calc_TUV_Net_2[[#This Row],[Customer type]:[Customer type]]&amp;" - medium - controlled load",Input_Usage[[#All],[Ref]],0),MATCH($F351,Input_Usage[#Headers],0)),0)),"-")</f>
        <v>-</v>
      </c>
      <c r="L351" s="48" t="str" cm="1">
        <f t="array" ref="L351">IFERROR(TUProp_CLLoad_2*SUM(
IFERROR(L350/100*INDEX(Input_Usage[#All],MATCH(Calc_TUV_Net_2[[#This Row],[Customer type]:[Customer type]]&amp;" - medium - controlled load",#REF!,0),MATCH($F351,Input_Usage[#Headers],0)),0)),"-")</f>
        <v>-</v>
      </c>
      <c r="M351" s="48" t="str" cm="1">
        <f t="array" ref="M351">IFERROR(TUProp_CLLoad_2*SUM(
IFERROR(M350/100*INDEX(Input_Usage[#All],MATCH(Calc_TUV_Net_2[[#This Row],[Customer type]:[Customer type]]&amp;" - medium - controlled load",Input_Usage[[#All],[Customer Type]],0),MATCH($F351,Input_Usage[#Headers],0)),0)),"-")</f>
        <v>-</v>
      </c>
      <c r="N351" s="48" t="str" cm="1">
        <f t="array" ref="N351">IFERROR(TUProp_CLLoad_2*SUM(
IFERROR(N350/100*INDEX(Input_Usage[#All],MATCH(Calc_TUV_Net_2[[#This Row],[Customer type]:[Customer type]]&amp;" - medium - controlled load",Input_Usage[[#All],[Tariff type]],0),MATCH($F351,Input_Usage[#Headers],0)),0)),"-")</f>
        <v>-</v>
      </c>
      <c r="O351" s="48" t="str" cm="1">
        <f t="array" ref="O351">IFERROR(TUProp_CLLoad_2*SUM(
IFERROR(O350/100*INDEX(Input_Usage[#All],MATCH(Calc_TUV_Net_2[[#This Row],[Customer type]:[Customer type]]&amp;" - medium - controlled load",Input_Usage[[#All],[F-PreviousVDO_Input]],0),MATCH($F351,Input_Usage[#Headers],0)),0)),"-")</f>
        <v>-</v>
      </c>
    </row>
    <row r="352" spans="3:15" hidden="1" outlineLevel="1" x14ac:dyDescent="0.25">
      <c r="C352" s="42" t="s">
        <v>442</v>
      </c>
      <c r="D352" s="60" t="str">
        <f>INDEX(Input_DecisionActual[[Decision]:[Decision]],MATCH(Calc_TU_values!$D$224,Input_DecisionActual[[VDO period]:[VDO period]],0),1)</f>
        <v>VDO 2022-23 - Final</v>
      </c>
      <c r="E352" s="18" t="s">
        <v>96</v>
      </c>
      <c r="F352" s="60" t="str">
        <f>IF($D352="-","-",INDEX(Inputs!$H$17:$U$17,1,MATCH($D352,Inputs!$H$15:$U$15,0)))</f>
        <v>F-PreviousVDO_Input3</v>
      </c>
      <c r="G352" s="18"/>
      <c r="H352" s="18" t="s">
        <v>178</v>
      </c>
      <c r="I352" s="18" t="s">
        <v>220</v>
      </c>
      <c r="J352" s="42" t="s">
        <v>66</v>
      </c>
      <c r="K352" s="47">
        <f>IFERROR(INDEX(Input_ForRateCalc[],MATCH($C352&amp;" - "&amp;K$320,Input_ForRateCalc[[Cost item]:[Cost item]],0),MATCH($F352,Input_ForRateCalc[#Headers],0)),"-")</f>
        <v>4.7466999999999997</v>
      </c>
      <c r="L352" s="47">
        <f>IFERROR(INDEX(Input_ForRateCalc[],MATCH($C352&amp;" - "&amp;L$320,Input_ForRateCalc[[Cost item]:[Cost item]],0),MATCH($F352,Input_ForRateCalc[#Headers],0)),"-")</f>
        <v>2.2200000000000002</v>
      </c>
      <c r="M352" s="47">
        <f>IFERROR(INDEX(Input_ForRateCalc[],MATCH($C352&amp;" - "&amp;M$320,Input_ForRateCalc[[Cost item]:[Cost item]],0),MATCH($F352,Input_ForRateCalc[#Headers],0)),"-")</f>
        <v>3.448</v>
      </c>
      <c r="N352" s="47">
        <f>IFERROR(INDEX(Input_ForRateCalc[],MATCH($C352&amp;" - "&amp;N$320,Input_ForRateCalc[[Cost item]:[Cost item]],0),MATCH($F352,Input_ForRateCalc[#Headers],0)),"-")</f>
        <v>2.35</v>
      </c>
      <c r="O352" s="47">
        <f>IFERROR(INDEX(Input_ForRateCalc[],MATCH($C352&amp;" - "&amp;O$320,Input_ForRateCalc[[Cost item]:[Cost item]],0),MATCH($F352,Input_ForRateCalc[#Headers],0)),"-")</f>
        <v>2.34</v>
      </c>
    </row>
    <row r="353" spans="3:15" hidden="1" outlineLevel="1" x14ac:dyDescent="0.25">
      <c r="C353" s="42" t="s">
        <v>411</v>
      </c>
      <c r="D353" s="60" t="str">
        <f>INDEX(Input_DecisionActual[[Decision]:[Decision]],MATCH(Calc_TU_values!$D$224,Input_DecisionActual[[VDO period]:[VDO period]],0),1)</f>
        <v>VDO 2022-23 - Final</v>
      </c>
      <c r="E353" s="18" t="s">
        <v>96</v>
      </c>
      <c r="F353" s="60" t="str">
        <f>IF($D353="-","-",INDEX(Inputs!$H$17:$U$17,1,MATCH($D353,Inputs!$H$15:$U$15,0)))</f>
        <v>F-PreviousVDO_Input3</v>
      </c>
      <c r="G353" s="18"/>
      <c r="H353" s="18" t="s">
        <v>178</v>
      </c>
      <c r="I353" s="18" t="s">
        <v>65</v>
      </c>
      <c r="J353" s="42" t="s">
        <v>66</v>
      </c>
      <c r="K353" s="48" t="str" cm="1">
        <f t="array" ref="K353">IFERROR(TUProp_CLLoad_2*SUM(
IFERROR(K352/100*INDEX(Input_Usage[#All],MATCH(Calc_TUV_Net_2[[#This Row],[Customer type]:[Customer type]]&amp;" - medium - controlled load",Input_Usage[[#All],[Ref]],0),MATCH($F353,Input_Usage[#Headers],0)),0)),"-")</f>
        <v>-</v>
      </c>
      <c r="L353" s="156" t="str" cm="1">
        <f t="array" ref="L353">IFERROR(TUProp_CLLoad_2*SUM(
IFERROR(L352/100*INDEX(Input_Usage[#All],MATCH(Calc_TUV_Net_2[[#This Row],[Customer type]:[Customer type]]&amp;" - medium - controlled load",Input_Usage[[#All],[Ref]],0),MATCH($F353,Input_Usage[#Headers],0)),0)),"-")</f>
        <v>-</v>
      </c>
      <c r="M353" s="156" t="str" cm="1">
        <f t="array" ref="M353">IFERROR(TUProp_CLLoad_2*SUM(
IFERROR(M352/100*INDEX(Input_Usage[#All],MATCH(Calc_TUV_Net_2[[#This Row],[Customer type]:[Customer type]]&amp;" - medium - controlled load",Input_Usage[[#All],[Ref]],0),MATCH($F353,Input_Usage[#Headers],0)),0)),"-")</f>
        <v>-</v>
      </c>
      <c r="N353" s="156" t="str" cm="1">
        <f t="array" ref="N353">IFERROR(TUProp_CLLoad_2*SUM(
IFERROR(N352/100*INDEX(Input_Usage[#All],MATCH(Calc_TUV_Net_2[[#This Row],[Customer type]:[Customer type]]&amp;" - medium - controlled load",Input_Usage[[#All],[Ref]],0),MATCH($F353,Input_Usage[#Headers],0)),0)),"-")</f>
        <v>-</v>
      </c>
      <c r="O353" s="156" t="str" cm="1">
        <f t="array" ref="O353">IFERROR(TUProp_CLLoad_2*SUM(
IFERROR(O352/100*INDEX(Input_Usage[#All],MATCH(Calc_TUV_Net_2[[#This Row],[Customer type]:[Customer type]]&amp;" - medium - controlled load",Input_Usage[[#All],[Ref]],0),MATCH($F353,Input_Usage[#Headers],0)),0)),"-")</f>
        <v>-</v>
      </c>
    </row>
    <row r="354" spans="3:15" hidden="1" outlineLevel="1" x14ac:dyDescent="0.25">
      <c r="C354" s="42" t="s">
        <v>412</v>
      </c>
      <c r="D354" s="18"/>
      <c r="E354" s="18"/>
      <c r="F354" s="18"/>
      <c r="G354" s="18"/>
      <c r="H354" s="18" t="s">
        <v>178</v>
      </c>
      <c r="I354" s="18" t="s">
        <v>65</v>
      </c>
      <c r="J354" s="42" t="s">
        <v>66</v>
      </c>
      <c r="K354" s="46" t="str">
        <f>IFERROR(IF(K353=0,"-",K351-K353),"-")</f>
        <v>-</v>
      </c>
      <c r="L354" s="46" t="str">
        <f>IFERROR(IF(L353=0,"-",L351-L353),"-")</f>
        <v>-</v>
      </c>
      <c r="M354" s="46" t="str">
        <f>IFERROR(IF(M353=0,"-",M351-M353),"-")</f>
        <v>-</v>
      </c>
      <c r="N354" s="46" t="str">
        <f>IFERROR(IF(N353=0,"-",N351-N353),"-")</f>
        <v>-</v>
      </c>
      <c r="O354" s="46" t="str">
        <f>IFERROR(IF(O353=0,"-",O351-O353),"-")</f>
        <v>-</v>
      </c>
    </row>
    <row r="355" spans="3:15" hidden="1" outlineLevel="1" x14ac:dyDescent="0.25">
      <c r="C355" s="42" t="s">
        <v>414</v>
      </c>
      <c r="D355" s="60" t="str">
        <f>INDEX(Input_DecisionActual[[Decision]:[Decision]],MATCH(Calc_TU_values!$D$224,Input_DecisionActual[[VDO period]:[VDO period]],0),1)</f>
        <v>VDO 2022-23 - Final</v>
      </c>
      <c r="E355" s="18" t="s">
        <v>96</v>
      </c>
      <c r="F355" s="60" t="str">
        <f>IF($D355="-","-",INDEX(Inputs!$H$17:$U$17,1,MATCH($D355,Inputs!$H$15:$U$15,0)))</f>
        <v>F-PreviousVDO_Input3</v>
      </c>
      <c r="G355" s="18"/>
      <c r="H355" s="18" t="s">
        <v>178</v>
      </c>
      <c r="I355" s="18" t="s">
        <v>65</v>
      </c>
      <c r="J355" s="42" t="s">
        <v>66</v>
      </c>
      <c r="K355" s="47" cm="1">
        <f t="array" ref="K355">IFERROR(SUM(K354:K354)*(INDEX(Inputs!$H$18:$U$141,MATCH("Retail operating margin",Input_ForRateCalc[[Cost item]:[Cost item]],0),MATCH(Calc_TUV_Net_2[[#This Row],[Decision ref]:[Decision ref]],Inputs!$H$17:$U$17,0))),"-")</f>
        <v>0</v>
      </c>
      <c r="L355" s="47" cm="1">
        <f t="array" ref="L355">IFERROR(SUM(L354:L354)*(INDEX(Inputs!$H$18:$U$141,MATCH("Retail operating margin",Input_ForRateCalc[[Cost item]:[Cost item]],0),MATCH(Calc_TUV_Net_2[[#This Row],[Decision ref]:[Decision ref]],Inputs!$H$17:$U$17,0))),"-")</f>
        <v>0</v>
      </c>
      <c r="M355" s="47" cm="1">
        <f t="array" ref="M355">IFERROR(SUM(M354:M354)*(INDEX(Inputs!$H$18:$U$141,MATCH("Retail operating margin",Input_ForRateCalc[[Cost item]:[Cost item]],0),MATCH(Calc_TUV_Net_2[[#This Row],[Decision ref]:[Decision ref]],Inputs!$H$17:$U$17,0))),"-")</f>
        <v>0</v>
      </c>
      <c r="N355" s="47" cm="1">
        <f t="array" ref="N355">IFERROR(SUM(N354:N354)*(INDEX(Inputs!$H$18:$U$141,MATCH("Retail operating margin",Input_ForRateCalc[[Cost item]:[Cost item]],0),MATCH(Calc_TUV_Net_2[[#This Row],[Decision ref]:[Decision ref]],Inputs!$H$17:$U$17,0))),"-")</f>
        <v>0</v>
      </c>
      <c r="O355" s="47" cm="1">
        <f t="array" ref="O355">IFERROR(SUM(O354:O354)*(INDEX(Inputs!$H$18:$U$141,MATCH("Retail operating margin",Input_ForRateCalc[[Cost item]:[Cost item]],0),MATCH(Calc_TUV_Net_2[[#This Row],[Decision ref]:[Decision ref]],Inputs!$H$17:$U$17,0))),"-")</f>
        <v>0</v>
      </c>
    </row>
    <row r="356" spans="3:15" hidden="1" outlineLevel="1" x14ac:dyDescent="0.25">
      <c r="C356" s="42" t="s">
        <v>415</v>
      </c>
      <c r="D356" s="18"/>
      <c r="E356" s="18"/>
      <c r="F356" s="18"/>
      <c r="G356" s="18"/>
      <c r="H356" s="18" t="s">
        <v>178</v>
      </c>
      <c r="I356" s="18" t="s">
        <v>65</v>
      </c>
      <c r="J356" s="42" t="s">
        <v>66</v>
      </c>
      <c r="K356" s="47">
        <f>IF(K353=0,"-",SUM(K354:K355)*GST)</f>
        <v>0</v>
      </c>
      <c r="L356" s="47">
        <f>IF(L353=0,"-",SUM(L354:L355)*GST)</f>
        <v>0</v>
      </c>
      <c r="M356" s="47">
        <f>IF(M353=0,"-",SUM(M354:M355)*GST)</f>
        <v>0</v>
      </c>
      <c r="N356" s="47">
        <f>IF(N353=0,"-",SUM(N354:N355)*GST)</f>
        <v>0</v>
      </c>
      <c r="O356" s="47">
        <f>IF(O353=0,"-",SUM(O354:O355)*GST)</f>
        <v>0</v>
      </c>
    </row>
    <row r="357" spans="3:15" hidden="1" outlineLevel="1" x14ac:dyDescent="0.25">
      <c r="C357" s="42" t="s">
        <v>443</v>
      </c>
      <c r="D357" s="18"/>
      <c r="E357" s="18"/>
      <c r="F357" s="18"/>
      <c r="H357" s="18" t="s">
        <v>178</v>
      </c>
      <c r="I357" s="18" t="s">
        <v>65</v>
      </c>
      <c r="J357" s="42" t="s">
        <v>66</v>
      </c>
      <c r="K357" s="47">
        <f>IF(K353=0,"-",SUM(K354:K356))</f>
        <v>0</v>
      </c>
      <c r="L357" s="47">
        <f>IF(L353=0,"-",SUM(L354:L356))</f>
        <v>0</v>
      </c>
      <c r="M357" s="47">
        <f>IF(M353=0,"-",SUM(M354:M356))</f>
        <v>0</v>
      </c>
      <c r="N357" s="47">
        <f>IF(N353=0,"-",SUM(N354:N356))</f>
        <v>0</v>
      </c>
      <c r="O357" s="47">
        <f>IF(O353=0,"-",SUM(O354:O356))</f>
        <v>0</v>
      </c>
    </row>
    <row r="358" spans="3:15" hidden="1" outlineLevel="1" x14ac:dyDescent="0.25">
      <c r="C358" s="42"/>
      <c r="D358" s="18"/>
      <c r="E358" s="18"/>
      <c r="F358" s="18"/>
      <c r="G358" s="18"/>
      <c r="H358" s="18"/>
      <c r="I358" s="18"/>
      <c r="J358" s="18"/>
      <c r="K358" s="46"/>
      <c r="L358" s="46"/>
      <c r="M358" s="46"/>
      <c r="N358" s="46"/>
      <c r="O358" s="46"/>
    </row>
    <row r="359" spans="3:15" ht="15.75" hidden="1" outlineLevel="1" x14ac:dyDescent="0.25">
      <c r="C359" s="101" t="s">
        <v>311</v>
      </c>
      <c r="D359" s="18"/>
      <c r="E359" s="18"/>
      <c r="F359" s="18"/>
      <c r="G359" s="30" t="str">
        <f>INDEX(Input_TU_YesNo[],MATCH(Calc_TUV_Net_2[[#This Row],[Cost item]],Input_TU_YesNo[Component],0),MATCH($D$224,Inputs!$C$210:$BM$210,0))</f>
        <v>No</v>
      </c>
      <c r="H359" s="18"/>
      <c r="I359" s="18"/>
      <c r="J359" s="18"/>
      <c r="K359" s="46"/>
      <c r="L359" s="18"/>
      <c r="M359" s="18"/>
      <c r="N359" s="18"/>
      <c r="O359" s="18"/>
    </row>
    <row r="360" spans="3:15" hidden="1" outlineLevel="1" x14ac:dyDescent="0.25">
      <c r="C360" s="40" t="s">
        <v>444</v>
      </c>
      <c r="D360" s="40"/>
      <c r="E360" s="40"/>
      <c r="F360" s="40"/>
      <c r="G360" s="49"/>
      <c r="H360" s="49"/>
      <c r="I360" s="18"/>
      <c r="J360" s="18"/>
      <c r="K360" s="46"/>
      <c r="L360" s="18"/>
      <c r="M360" s="18"/>
      <c r="N360" s="18"/>
      <c r="O360" s="18"/>
    </row>
    <row r="361" spans="3:15" hidden="1" outlineLevel="1" x14ac:dyDescent="0.25">
      <c r="C361" s="42" t="s">
        <v>445</v>
      </c>
      <c r="D361" s="60" t="str">
        <f>Calc_TU_values!$D$224</f>
        <v>VDO 2023-24 - Final</v>
      </c>
      <c r="E361" s="18" t="s">
        <v>316</v>
      </c>
      <c r="F361" s="60" t="e">
        <f>INDEX(Inputs!$H$17:$U$17,1,MATCH($D361,Inputs!$H$15:$U$15,0))</f>
        <v>#N/A</v>
      </c>
      <c r="G361" s="41"/>
      <c r="H361" s="18" t="s">
        <v>132</v>
      </c>
      <c r="I361" s="18" t="s">
        <v>65</v>
      </c>
      <c r="J361" s="42" t="s">
        <v>67</v>
      </c>
      <c r="K361" s="47" t="str" cm="1">
        <f t="array" ref="K361">IFERROR(INDEX(Input_ForRateCalc[],MATCH($C361&amp;" - "&amp;K$320,Input_ForRateCalc[[Cost item]:[Cost item]],0),MATCH(Calc_TUV_Net_2[[#This Row],[Decision ref]:[Decision ref]],Input_ForRateCalc[#Headers],0))*TUProp_Days_2,"-")</f>
        <v>-</v>
      </c>
      <c r="L361" s="47" t="str" cm="1">
        <f t="array" ref="L361">IFERROR(INDEX(Input_ForRateCalc[],MATCH($C361&amp;" - "&amp;L$320,Input_ForRateCalc[[Cost item]:[Cost item]],0),MATCH(Calc_TUV_Net_2[[#This Row],[Decision ref]:[Decision ref]],Input_ForRateCalc[#Headers],0))*TUProp_Days_2,"-")</f>
        <v>-</v>
      </c>
      <c r="M361" s="47" t="str" cm="1">
        <f t="array" ref="M361">IFERROR(INDEX(Input_ForRateCalc[],MATCH($C361&amp;" - "&amp;M$320,Input_ForRateCalc[[Cost item]:[Cost item]],0),MATCH(Calc_TUV_Net_2[[#This Row],[Decision ref]:[Decision ref]],Input_ForRateCalc[#Headers],0))*TUProp_Days_2,"-")</f>
        <v>-</v>
      </c>
      <c r="N361" s="47" t="str" cm="1">
        <f t="array" ref="N361">IFERROR(INDEX(Input_ForRateCalc[],MATCH($C361&amp;" - "&amp;N$320,Input_ForRateCalc[[Cost item]:[Cost item]],0),MATCH(Calc_TUV_Net_2[[#This Row],[Decision ref]:[Decision ref]],Input_ForRateCalc[#Headers],0))*TUProp_Days_2,"-")</f>
        <v>-</v>
      </c>
      <c r="O361" s="47" t="str" cm="1">
        <f t="array" ref="O361">IFERROR(INDEX(Input_ForRateCalc[],MATCH($C361&amp;" - "&amp;O$320,Input_ForRateCalc[[Cost item]:[Cost item]],0),MATCH(Calc_TUV_Net_2[[#This Row],[Decision ref]:[Decision ref]],Input_ForRateCalc[#Headers],0))*TUProp_Days_2,"-")</f>
        <v>-</v>
      </c>
    </row>
    <row r="362" spans="3:15" hidden="1" outlineLevel="1" x14ac:dyDescent="0.25">
      <c r="C362" s="42" t="s">
        <v>357</v>
      </c>
      <c r="D362" s="60" t="str">
        <f>Calc_TU_values!$D$224</f>
        <v>VDO 2023-24 - Final</v>
      </c>
      <c r="E362" s="18" t="s">
        <v>316</v>
      </c>
      <c r="F362" s="60" t="e">
        <f>INDEX(Inputs!$H$17:$U$17,1,MATCH($D362,Inputs!$H$15:$U$15,0))</f>
        <v>#N/A</v>
      </c>
      <c r="G362" s="41"/>
      <c r="H362" s="18" t="s">
        <v>132</v>
      </c>
      <c r="I362" s="18" t="s">
        <v>65</v>
      </c>
      <c r="J362" s="42" t="s">
        <v>67</v>
      </c>
      <c r="K362" s="47" t="str" cm="1">
        <f t="array" ref="K362">IFERROR(INDEX(Input_ForRateCalc[],MATCH($C362&amp;" - "&amp;K$320,Input_ForRateCalc[[Cost item]:[Cost item]],0),MATCH(Calc_TUV_Net_2[[#This Row],[Decision ref]:[Decision ref]],Input_ForRateCalc[#Headers],0))*TUProp_Days_2,"-")</f>
        <v>-</v>
      </c>
      <c r="L362" s="47" t="str" cm="1">
        <f t="array" ref="L362">IFERROR(INDEX(Input_ForRateCalc[],MATCH($C362&amp;" - "&amp;L$320,Input_ForRateCalc[[Cost item]:[Cost item]],0),MATCH(Calc_TUV_Net_2[[#This Row],[Decision ref]:[Decision ref]],Input_ForRateCalc[#Headers],0))*TUProp_Days_2,"-")</f>
        <v>-</v>
      </c>
      <c r="M362" s="47" t="str" cm="1">
        <f t="array" ref="M362">IFERROR(INDEX(Input_ForRateCalc[],MATCH($C362&amp;" - "&amp;M$320,Input_ForRateCalc[[Cost item]:[Cost item]],0),MATCH(Calc_TUV_Net_2[[#This Row],[Decision ref]:[Decision ref]],Input_ForRateCalc[#Headers],0))*TUProp_Days_2,"-")</f>
        <v>-</v>
      </c>
      <c r="N362" s="47" t="str" cm="1">
        <f t="array" ref="N362">IFERROR(INDEX(Input_ForRateCalc[],MATCH($C362&amp;" - "&amp;N$320,Input_ForRateCalc[[Cost item]:[Cost item]],0),MATCH(Calc_TUV_Net_2[[#This Row],[Decision ref]:[Decision ref]],Input_ForRateCalc[#Headers],0))*TUProp_Days_2,"-")</f>
        <v>-</v>
      </c>
      <c r="O362" s="47" t="str" cm="1">
        <f t="array" ref="O362">IFERROR(INDEX(Input_ForRateCalc[],MATCH($C362&amp;" - "&amp;O$320,Input_ForRateCalc[[Cost item]:[Cost item]],0),MATCH(Calc_TUV_Net_2[[#This Row],[Decision ref]:[Decision ref]],Input_ForRateCalc[#Headers],0))*TUProp_Days_2,"-")</f>
        <v>-</v>
      </c>
    </row>
    <row r="363" spans="3:15" hidden="1" outlineLevel="1" x14ac:dyDescent="0.25">
      <c r="C363" s="42" t="s">
        <v>411</v>
      </c>
      <c r="D363" s="60" t="str">
        <f>Calc_TU_values!$D$224</f>
        <v>VDO 2023-24 - Final</v>
      </c>
      <c r="E363" s="18" t="s">
        <v>316</v>
      </c>
      <c r="F363" s="60" t="e">
        <f>INDEX(Inputs!$H$17:$U$17,1,MATCH($D363,Inputs!$H$15:$U$15,0))</f>
        <v>#N/A</v>
      </c>
      <c r="G363" s="41"/>
      <c r="H363" s="18" t="s">
        <v>132</v>
      </c>
      <c r="I363" s="18" t="s">
        <v>65</v>
      </c>
      <c r="J363" s="42" t="s">
        <v>67</v>
      </c>
      <c r="K363" s="45">
        <f>IFERROR(SUM(K361:K362),"-")</f>
        <v>0</v>
      </c>
      <c r="L363" s="45">
        <f>IFERROR(SUM(L361:L362),"-")</f>
        <v>0</v>
      </c>
      <c r="M363" s="45">
        <f>IFERROR(SUM(M361:M362),"-")</f>
        <v>0</v>
      </c>
      <c r="N363" s="45">
        <f>IFERROR(SUM(N361:N362),"-")</f>
        <v>0</v>
      </c>
      <c r="O363" s="45">
        <f>IFERROR(SUM(O361:O362),"-")</f>
        <v>0</v>
      </c>
    </row>
    <row r="364" spans="3:15" hidden="1" outlineLevel="1" x14ac:dyDescent="0.25">
      <c r="C364" s="42" t="s">
        <v>445</v>
      </c>
      <c r="D364" s="60" t="str">
        <f>INDEX(Input_DecisionActual[[Decision]:[Decision]],MATCH(Calc_TU_values!$D$224,Input_DecisionActual[[VDO period]:[VDO period]],0),1)</f>
        <v>VDO 2022-23 - Final</v>
      </c>
      <c r="E364" s="18" t="s">
        <v>96</v>
      </c>
      <c r="F364" s="60" t="str">
        <f>IF($D364="-","-",INDEX(Inputs!$H$17:$U$17,1,MATCH($D364,Inputs!$H$15:$U$15,0)))</f>
        <v>F-PreviousVDO_Input3</v>
      </c>
      <c r="G364" s="41"/>
      <c r="H364" s="18" t="s">
        <v>132</v>
      </c>
      <c r="I364" s="18" t="s">
        <v>65</v>
      </c>
      <c r="J364" s="42" t="s">
        <v>67</v>
      </c>
      <c r="K364" s="47" t="str" cm="1">
        <f t="array" ref="K364">IFERROR(INDEX(Input_ForRateCalc[],MATCH($C364&amp;" - "&amp;K$320,Input_ForRateCalc[[Cost item]:[Cost item]],0),MATCH(Calc_TUV_Net_2[[#This Row],[Decision ref]:[Decision ref]],Input_ForRateCalc[#Headers],0))*TUProp_Days_2,"-")</f>
        <v>-</v>
      </c>
      <c r="L364" s="47" t="str" cm="1">
        <f t="array" ref="L364">IFERROR(INDEX(Input_ForRateCalc[],MATCH($C364&amp;" - "&amp;L$320,Input_ForRateCalc[[Cost item]:[Cost item]],0),MATCH(Calc_TUV_Net_2[[#This Row],[Decision ref]:[Decision ref]],Input_ForRateCalc[#Headers],0))*TUProp_Days_2,"-")</f>
        <v>-</v>
      </c>
      <c r="M364" s="47" t="str" cm="1">
        <f t="array" ref="M364">IFERROR(INDEX(Input_ForRateCalc[],MATCH($C364&amp;" - "&amp;M$320,Input_ForRateCalc[[Cost item]:[Cost item]],0),MATCH(Calc_TUV_Net_2[[#This Row],[Decision ref]:[Decision ref]],Input_ForRateCalc[#Headers],0))*TUProp_Days_2,"-")</f>
        <v>-</v>
      </c>
      <c r="N364" s="47" t="str" cm="1">
        <f t="array" ref="N364">IFERROR(INDEX(Input_ForRateCalc[],MATCH($C364&amp;" - "&amp;N$320,Input_ForRateCalc[[Cost item]:[Cost item]],0),MATCH(Calc_TUV_Net_2[[#This Row],[Decision ref]:[Decision ref]],Input_ForRateCalc[#Headers],0))*TUProp_Days_2,"-")</f>
        <v>-</v>
      </c>
      <c r="O364" s="47" t="str" cm="1">
        <f t="array" ref="O364">IFERROR(INDEX(Input_ForRateCalc[],MATCH($C364&amp;" - "&amp;O$320,Input_ForRateCalc[[Cost item]:[Cost item]],0),MATCH(Calc_TUV_Net_2[[#This Row],[Decision ref]:[Decision ref]],Input_ForRateCalc[#Headers],0))*TUProp_Days_2,"-")</f>
        <v>-</v>
      </c>
    </row>
    <row r="365" spans="3:15" hidden="1" outlineLevel="1" x14ac:dyDescent="0.25">
      <c r="C365" s="42" t="s">
        <v>357</v>
      </c>
      <c r="D365" s="60" t="str">
        <f>INDEX(Input_DecisionActual[[Decision]:[Decision]],MATCH(Calc_TU_values!$D$224,Input_DecisionActual[[VDO period]:[VDO period]],0),1)</f>
        <v>VDO 2022-23 - Final</v>
      </c>
      <c r="E365" s="18" t="s">
        <v>96</v>
      </c>
      <c r="F365" s="60" t="str">
        <f>IF($D365="-","-",INDEX(Inputs!$H$17:$U$17,1,MATCH($D365,Inputs!$H$15:$U$15,0)))</f>
        <v>F-PreviousVDO_Input3</v>
      </c>
      <c r="G365" s="41"/>
      <c r="H365" s="18" t="s">
        <v>132</v>
      </c>
      <c r="I365" s="18" t="s">
        <v>65</v>
      </c>
      <c r="J365" s="42" t="s">
        <v>67</v>
      </c>
      <c r="K365" s="47" t="str" cm="1">
        <f t="array" ref="K365">IFERROR(INDEX(Input_ForRateCalc[],MATCH($C365&amp;" - "&amp;K$320,Input_ForRateCalc[[Cost item]:[Cost item]],0),MATCH(Calc_TUV_Net_2[[#This Row],[Decision ref]:[Decision ref]],Input_ForRateCalc[#Headers],0))*TUProp_Days_2,"-")</f>
        <v>-</v>
      </c>
      <c r="L365" s="47" t="str" cm="1">
        <f t="array" ref="L365">IFERROR(INDEX(Input_ForRateCalc[],MATCH($C365&amp;" - "&amp;L$320,Input_ForRateCalc[[Cost item]:[Cost item]],0),MATCH(Calc_TUV_Net_2[[#This Row],[Decision ref]:[Decision ref]],Input_ForRateCalc[#Headers],0))*TUProp_Days_2,"-")</f>
        <v>-</v>
      </c>
      <c r="M365" s="47" t="str" cm="1">
        <f t="array" ref="M365">IFERROR(INDEX(Input_ForRateCalc[],MATCH($C365&amp;" - "&amp;M$320,Input_ForRateCalc[[Cost item]:[Cost item]],0),MATCH(Calc_TUV_Net_2[[#This Row],[Decision ref]:[Decision ref]],Input_ForRateCalc[#Headers],0))*TUProp_Days_2,"-")</f>
        <v>-</v>
      </c>
      <c r="N365" s="47" t="str" cm="1">
        <f t="array" ref="N365">IFERROR(INDEX(Input_ForRateCalc[],MATCH($C365&amp;" - "&amp;N$320,Input_ForRateCalc[[Cost item]:[Cost item]],0),MATCH(Calc_TUV_Net_2[[#This Row],[Decision ref]:[Decision ref]],Input_ForRateCalc[#Headers],0))*TUProp_Days_2,"-")</f>
        <v>-</v>
      </c>
      <c r="O365" s="47" t="str" cm="1">
        <f t="array" ref="O365">IFERROR(INDEX(Input_ForRateCalc[],MATCH($C365&amp;" - "&amp;O$320,Input_ForRateCalc[[Cost item]:[Cost item]],0),MATCH(Calc_TUV_Net_2[[#This Row],[Decision ref]:[Decision ref]],Input_ForRateCalc[#Headers],0))*TUProp_Days_2,"-")</f>
        <v>-</v>
      </c>
    </row>
    <row r="366" spans="3:15" hidden="1" outlineLevel="1" x14ac:dyDescent="0.25">
      <c r="C366" s="42" t="s">
        <v>411</v>
      </c>
      <c r="D366" s="60" t="str">
        <f>INDEX(Input_DecisionActual[[Decision]:[Decision]],MATCH(Calc_TU_values!$D$224,Input_DecisionActual[[VDO period]:[VDO period]],0),1)</f>
        <v>VDO 2022-23 - Final</v>
      </c>
      <c r="E366" s="18" t="s">
        <v>96</v>
      </c>
      <c r="F366" s="60" t="str">
        <f>IF($D366="-","-",INDEX(Inputs!$H$17:$U$17,1,MATCH($D366,Inputs!$H$15:$U$15,0)))</f>
        <v>F-PreviousVDO_Input3</v>
      </c>
      <c r="G366" s="41"/>
      <c r="H366" s="18" t="s">
        <v>132</v>
      </c>
      <c r="I366" s="18" t="s">
        <v>65</v>
      </c>
      <c r="J366" s="42" t="s">
        <v>67</v>
      </c>
      <c r="K366" s="46">
        <f>SUM(K364:K365)</f>
        <v>0</v>
      </c>
      <c r="L366" s="46">
        <f>SUM(L364:L365)</f>
        <v>0</v>
      </c>
      <c r="M366" s="46">
        <f>SUM(M364:M365)</f>
        <v>0</v>
      </c>
      <c r="N366" s="46">
        <f>SUM(N364:N365)</f>
        <v>0</v>
      </c>
      <c r="O366" s="46">
        <f>SUM(O364:O365)</f>
        <v>0</v>
      </c>
    </row>
    <row r="367" spans="3:15" hidden="1" outlineLevel="1" x14ac:dyDescent="0.25">
      <c r="C367" s="42" t="s">
        <v>412</v>
      </c>
      <c r="D367" s="18"/>
      <c r="E367" s="18"/>
      <c r="F367" s="18"/>
      <c r="G367" s="42"/>
      <c r="H367" s="18" t="s">
        <v>132</v>
      </c>
      <c r="I367" s="18" t="s">
        <v>65</v>
      </c>
      <c r="J367" s="42" t="s">
        <v>67</v>
      </c>
      <c r="K367" s="46" t="str">
        <f>IF(K366=0,"-",K363-K366)</f>
        <v>-</v>
      </c>
      <c r="L367" s="46" t="str">
        <f>IF(L366=0,"-",L363-L366)</f>
        <v>-</v>
      </c>
      <c r="M367" s="46" t="str">
        <f>IF(M366=0,"-",M363-M366)</f>
        <v>-</v>
      </c>
      <c r="N367" s="46" t="str">
        <f>IF(N366=0,"-",N363-N366)</f>
        <v>-</v>
      </c>
      <c r="O367" s="46" t="str">
        <f>IF(O366=0,"-",O363-O366)</f>
        <v>-</v>
      </c>
    </row>
    <row r="368" spans="3:15" hidden="1" outlineLevel="1" x14ac:dyDescent="0.25">
      <c r="C368" s="42" t="s">
        <v>414</v>
      </c>
      <c r="D368" s="60" t="str">
        <f>INDEX(Input_DecisionActual[[Decision]:[Decision]],MATCH(Calc_TU_values!$D$224,Input_DecisionActual[[VDO period]:[VDO period]],0),1)</f>
        <v>VDO 2022-23 - Final</v>
      </c>
      <c r="E368" s="18" t="s">
        <v>96</v>
      </c>
      <c r="F368" s="60" t="str">
        <f>IF($D368="-","-",INDEX(Inputs!$H$17:$U$17,1,MATCH($D368,Inputs!$H$15:$U$15,0)))</f>
        <v>F-PreviousVDO_Input3</v>
      </c>
      <c r="G368" s="42"/>
      <c r="H368" s="18" t="s">
        <v>132</v>
      </c>
      <c r="I368" s="18" t="s">
        <v>65</v>
      </c>
      <c r="J368" s="42" t="s">
        <v>67</v>
      </c>
      <c r="K368" s="47" cm="1">
        <f t="array" ref="K368">IFERROR(SUM(K367:K367)*(INDEX(Inputs!$H$18:$U$141,MATCH("Retail operating margin",Input_ForRateCalc[[Cost item]:[Cost item]],0),MATCH(Calc_TUV_Net_2[[#This Row],[Decision ref]:[Decision ref]],Inputs!$H$17:$U$17,0))),"-")</f>
        <v>0</v>
      </c>
      <c r="L368" s="47" cm="1">
        <f t="array" ref="L368">IFERROR(SUM(L367:L367)*(INDEX(Inputs!$H$18:$U$141,MATCH("Retail operating margin",Input_ForRateCalc[[Cost item]:[Cost item]],0),MATCH(Calc_TUV_Net_2[[#This Row],[Decision ref]:[Decision ref]],Inputs!$H$17:$U$17,0))),"-")</f>
        <v>0</v>
      </c>
      <c r="M368" s="47" cm="1">
        <f t="array" ref="M368">IFERROR(SUM(M367:M367)*(INDEX(Inputs!$H$18:$U$141,MATCH("Retail operating margin",Input_ForRateCalc[[Cost item]:[Cost item]],0),MATCH(Calc_TUV_Net_2[[#This Row],[Decision ref]:[Decision ref]],Inputs!$H$17:$U$17,0))),"-")</f>
        <v>0</v>
      </c>
      <c r="N368" s="47" cm="1">
        <f t="array" ref="N368">IFERROR(SUM(N367:N367)*(INDEX(Inputs!$H$18:$U$141,MATCH("Retail operating margin",Input_ForRateCalc[[Cost item]:[Cost item]],0),MATCH(Calc_TUV_Net_2[[#This Row],[Decision ref]:[Decision ref]],Inputs!$H$17:$U$17,0))),"-")</f>
        <v>0</v>
      </c>
      <c r="O368" s="47" cm="1">
        <f t="array" ref="O368">IFERROR(SUM(O367:O367)*(INDEX(Inputs!$H$18:$U$141,MATCH("Retail operating margin",Input_ForRateCalc[[Cost item]:[Cost item]],0),MATCH(Calc_TUV_Net_2[[#This Row],[Decision ref]:[Decision ref]],Inputs!$H$17:$U$17,0))),"-")</f>
        <v>0</v>
      </c>
    </row>
    <row r="369" spans="3:15" hidden="1" outlineLevel="1" x14ac:dyDescent="0.25">
      <c r="C369" s="42" t="s">
        <v>415</v>
      </c>
      <c r="D369" s="18"/>
      <c r="E369" s="18"/>
      <c r="F369" s="18"/>
      <c r="G369" s="42"/>
      <c r="H369" s="18" t="s">
        <v>132</v>
      </c>
      <c r="I369" s="18" t="s">
        <v>65</v>
      </c>
      <c r="J369" s="42" t="s">
        <v>67</v>
      </c>
      <c r="K369" s="47" t="str">
        <f>IF(K366=0,"-",SUM(K367:K368)*GST)</f>
        <v>-</v>
      </c>
      <c r="L369" s="47" t="str">
        <f>IF(L366=0,"-",SUM(L367:L368)*GST)</f>
        <v>-</v>
      </c>
      <c r="M369" s="47" t="str">
        <f>IF(M366=0,"-",SUM(M367:M368)*GST)</f>
        <v>-</v>
      </c>
      <c r="N369" s="47" t="str">
        <f>IF(N366=0,"-",SUM(N367:N368)*GST)</f>
        <v>-</v>
      </c>
      <c r="O369" s="47" t="str">
        <f>IF(O366=0,"-",SUM(O367:O368)*GST)</f>
        <v>-</v>
      </c>
    </row>
    <row r="370" spans="3:15" hidden="1" outlineLevel="1" x14ac:dyDescent="0.25">
      <c r="C370" s="18" t="s">
        <v>435</v>
      </c>
      <c r="D370" s="18"/>
      <c r="E370" s="18"/>
      <c r="F370" s="18"/>
      <c r="G370" s="42"/>
      <c r="H370" s="18" t="s">
        <v>132</v>
      </c>
      <c r="I370" s="18" t="s">
        <v>65</v>
      </c>
      <c r="J370" s="42" t="s">
        <v>67</v>
      </c>
      <c r="K370" s="47" t="str">
        <f>IF(K366=0,"-",SUM(K367:K369))</f>
        <v>-</v>
      </c>
      <c r="L370" s="47" t="str">
        <f>IF(L366=0,"-",SUM(L367:L369))</f>
        <v>-</v>
      </c>
      <c r="M370" s="47" t="str">
        <f>IF(M366=0,"-",SUM(M367:M369))</f>
        <v>-</v>
      </c>
      <c r="N370" s="47" t="str">
        <f>IF(N366=0,"-",SUM(N367:N369))</f>
        <v>-</v>
      </c>
      <c r="O370" s="47" t="str">
        <f>IF(O366=0,"-",SUM(O367:O369))</f>
        <v>-</v>
      </c>
    </row>
    <row r="371" spans="3:15" hidden="1" outlineLevel="1" x14ac:dyDescent="0.25">
      <c r="C371" s="42"/>
      <c r="D371" s="42"/>
      <c r="E371" s="42"/>
      <c r="F371" s="42"/>
      <c r="H371" s="42"/>
      <c r="I371" s="18"/>
      <c r="J371" s="18"/>
      <c r="K371" s="90"/>
      <c r="L371" s="90"/>
      <c r="M371" s="90"/>
      <c r="N371" s="90"/>
      <c r="O371" s="90"/>
    </row>
    <row r="372" spans="3:15" hidden="1" outlineLevel="1" x14ac:dyDescent="0.25">
      <c r="C372" s="40" t="s">
        <v>446</v>
      </c>
      <c r="D372" s="42"/>
      <c r="E372" s="42"/>
      <c r="F372" s="42"/>
      <c r="G372" s="49"/>
      <c r="H372" s="42"/>
      <c r="I372" s="18"/>
      <c r="J372" s="42"/>
      <c r="K372" s="90"/>
      <c r="L372" s="90"/>
      <c r="M372" s="90"/>
      <c r="N372" s="90"/>
      <c r="O372" s="90"/>
    </row>
    <row r="373" spans="3:15" hidden="1" outlineLevel="1" x14ac:dyDescent="0.25">
      <c r="C373" s="42" t="s">
        <v>447</v>
      </c>
      <c r="D373" s="60" t="str">
        <f>Calc_TU_values!$D$224</f>
        <v>VDO 2023-24 - Final</v>
      </c>
      <c r="E373" s="18" t="s">
        <v>316</v>
      </c>
      <c r="F373" s="60" t="e">
        <f>INDEX(Inputs!$H$17:$U$17,1,MATCH($D373,Inputs!$H$15:$U$15,0))</f>
        <v>#N/A</v>
      </c>
      <c r="G373" s="42"/>
      <c r="H373" s="18" t="s">
        <v>178</v>
      </c>
      <c r="I373" s="18" t="s">
        <v>220</v>
      </c>
      <c r="J373" s="42" t="s">
        <v>67</v>
      </c>
      <c r="K373" s="47" t="str" cm="1">
        <f t="array" ref="K373">IFERROR(INDEX(Input_ForRateCalc[],MATCH($C373&amp;" - "&amp;K$320,Input_ForRateCalc[[Cost item]:[Cost item]],0),MATCH(Calc_TUV_Net_2[[#This Row],[Decision ref]:[Decision ref]],Input_ForRateCalc[#Headers],0)),"-")</f>
        <v>-</v>
      </c>
      <c r="L373" s="47" t="str" cm="1">
        <f t="array" ref="L373">IFERROR(INDEX(Input_ForRateCalc[],MATCH($C373&amp;" - "&amp;L$320,Input_ForRateCalc[[Cost item]:[Cost item]],0),MATCH(Calc_TUV_Net_2[[#This Row],[Decision ref]:[Decision ref]],Input_ForRateCalc[#Headers],0)),"-")</f>
        <v>-</v>
      </c>
      <c r="M373" s="47" t="str" cm="1">
        <f t="array" ref="M373">IFERROR(INDEX(Input_ForRateCalc[],MATCH($C373&amp;" - "&amp;M$320,Input_ForRateCalc[[Cost item]:[Cost item]],0),MATCH(Calc_TUV_Net_2[[#This Row],[Decision ref]:[Decision ref]],Input_ForRateCalc[#Headers],0)),"-")</f>
        <v>-</v>
      </c>
      <c r="N373" s="47" t="str" cm="1">
        <f t="array" ref="N373">IFERROR(INDEX(Input_ForRateCalc[],MATCH($C373&amp;" - "&amp;N$320,Input_ForRateCalc[[Cost item]:[Cost item]],0),MATCH(Calc_TUV_Net_2[[#This Row],[Decision ref]:[Decision ref]],Input_ForRateCalc[#Headers],0)),"-")</f>
        <v>-</v>
      </c>
      <c r="O373" s="47" t="str" cm="1">
        <f t="array" ref="O373">IFERROR(INDEX(Input_ForRateCalc[],MATCH($C373&amp;" - "&amp;O$320,Input_ForRateCalc[[Cost item]:[Cost item]],0),MATCH(Calc_TUV_Net_2[[#This Row],[Decision ref]:[Decision ref]],Input_ForRateCalc[#Headers],0)),"-")</f>
        <v>-</v>
      </c>
    </row>
    <row r="374" spans="3:15" hidden="1" outlineLevel="1" x14ac:dyDescent="0.25">
      <c r="C374" s="42" t="s">
        <v>448</v>
      </c>
      <c r="D374" s="60" t="str">
        <f>Calc_TU_values!$D$224</f>
        <v>VDO 2023-24 - Final</v>
      </c>
      <c r="E374" s="18" t="s">
        <v>316</v>
      </c>
      <c r="F374" s="60" t="e">
        <f>INDEX(Inputs!$H$17:$U$17,1,MATCH($D374,Inputs!$H$15:$U$15,0))</f>
        <v>#N/A</v>
      </c>
      <c r="G374" s="49"/>
      <c r="H374" s="18" t="s">
        <v>178</v>
      </c>
      <c r="I374" s="18" t="s">
        <v>220</v>
      </c>
      <c r="J374" s="42" t="s">
        <v>67</v>
      </c>
      <c r="K374" s="47" t="str" cm="1">
        <f t="array" ref="K374">IFERROR(INDEX(Input_ForRateCalc[],MATCH($C374&amp;" - "&amp;K$320,Input_ForRateCalc[[Cost item]:[Cost item]],0),MATCH(Calc_TUV_Net_2[[#This Row],[Decision ref]:[Decision ref]],Input_ForRateCalc[#Headers],0)),"-")</f>
        <v>-</v>
      </c>
      <c r="L374" s="47" t="str" cm="1">
        <f t="array" ref="L374">IFERROR(INDEX(Input_ForRateCalc[],MATCH($C374&amp;" - "&amp;L$320,Input_ForRateCalc[[Cost item]:[Cost item]],0),MATCH(Calc_TUV_Net_2[[#This Row],[Decision ref]:[Decision ref]],Input_ForRateCalc[#Headers],0)),"-")</f>
        <v>-</v>
      </c>
      <c r="M374" s="47" t="str" cm="1">
        <f t="array" ref="M374">IFERROR(INDEX(Input_ForRateCalc[],MATCH($C374&amp;" - "&amp;M$320,Input_ForRateCalc[[Cost item]:[Cost item]],0),MATCH(Calc_TUV_Net_2[[#This Row],[Decision ref]:[Decision ref]],Input_ForRateCalc[#Headers],0)),"-")</f>
        <v>-</v>
      </c>
      <c r="N374" s="47" t="str" cm="1">
        <f t="array" ref="N374">IFERROR(INDEX(Input_ForRateCalc[],MATCH($C374&amp;" - "&amp;N$320,Input_ForRateCalc[[Cost item]:[Cost item]],0),MATCH(Calc_TUV_Net_2[[#This Row],[Decision ref]:[Decision ref]],Input_ForRateCalc[#Headers],0)),"-")</f>
        <v>-</v>
      </c>
      <c r="O374" s="47" t="str" cm="1">
        <f t="array" ref="O374">IFERROR(INDEX(Input_ForRateCalc[],MATCH($C374&amp;" - "&amp;O$320,Input_ForRateCalc[[Cost item]:[Cost item]],0),MATCH(Calc_TUV_Net_2[[#This Row],[Decision ref]:[Decision ref]],Input_ForRateCalc[#Headers],0)),"-")</f>
        <v>-</v>
      </c>
    </row>
    <row r="375" spans="3:15" hidden="1" outlineLevel="1" x14ac:dyDescent="0.25">
      <c r="C375" s="42" t="s">
        <v>449</v>
      </c>
      <c r="D375" s="60" t="str">
        <f>Calc_TU_values!$D$224</f>
        <v>VDO 2023-24 - Final</v>
      </c>
      <c r="E375" s="18" t="s">
        <v>316</v>
      </c>
      <c r="F375" s="60" t="e">
        <f>INDEX(Inputs!$H$17:$U$17,1,MATCH($D375,Inputs!$H$15:$U$15,0))</f>
        <v>#N/A</v>
      </c>
      <c r="G375" s="41"/>
      <c r="H375" s="18" t="s">
        <v>178</v>
      </c>
      <c r="I375" s="18" t="s">
        <v>220</v>
      </c>
      <c r="J375" s="42" t="s">
        <v>67</v>
      </c>
      <c r="K375" s="47" t="str" cm="1">
        <f t="array" ref="K375">IFERROR(INDEX(Input_ForRateCalc[],MATCH($C375&amp;" - "&amp;K$320,Input_ForRateCalc[[Cost item]:[Cost item]],0),MATCH(Calc_TUV_Net_2[[#This Row],[Decision ref]:[Decision ref]],Input_ForRateCalc[#Headers],0)),"-")</f>
        <v>-</v>
      </c>
      <c r="L375" s="47" t="str" cm="1">
        <f t="array" ref="L375">IFERROR(INDEX(Input_ForRateCalc[],MATCH($C375&amp;" - "&amp;L$320,Input_ForRateCalc[[Cost item]:[Cost item]],0),MATCH(Calc_TUV_Net_2[[#This Row],[Decision ref]:[Decision ref]],Input_ForRateCalc[#Headers],0)),"-")</f>
        <v>-</v>
      </c>
      <c r="M375" s="47" t="str" cm="1">
        <f t="array" ref="M375">IFERROR(INDEX(Input_ForRateCalc[],MATCH($C375&amp;" - "&amp;M$320,Input_ForRateCalc[[Cost item]:[Cost item]],0),MATCH(Calc_TUV_Net_2[[#This Row],[Decision ref]:[Decision ref]],Input_ForRateCalc[#Headers],0)),"-")</f>
        <v>-</v>
      </c>
      <c r="N375" s="47" t="str" cm="1">
        <f t="array" ref="N375">IFERROR(INDEX(Input_ForRateCalc[],MATCH($C375&amp;" - "&amp;N$320,Input_ForRateCalc[[Cost item]:[Cost item]],0),MATCH(Calc_TUV_Net_2[[#This Row],[Decision ref]:[Decision ref]],Input_ForRateCalc[#Headers],0)),"-")</f>
        <v>-</v>
      </c>
      <c r="O375" s="47" t="str" cm="1">
        <f t="array" ref="O375">IFERROR(INDEX(Input_ForRateCalc[],MATCH($C375&amp;" - "&amp;O$320,Input_ForRateCalc[[Cost item]:[Cost item]],0),MATCH(Calc_TUV_Net_2[[#This Row],[Decision ref]:[Decision ref]],Input_ForRateCalc[#Headers],0)),"-")</f>
        <v>-</v>
      </c>
    </row>
    <row r="376" spans="3:15" hidden="1" outlineLevel="1" x14ac:dyDescent="0.25">
      <c r="C376" s="42" t="s">
        <v>411</v>
      </c>
      <c r="D376" s="60" t="str">
        <f>Calc_TU_values!$D$224</f>
        <v>VDO 2023-24 - Final</v>
      </c>
      <c r="E376" s="18" t="s">
        <v>316</v>
      </c>
      <c r="F376" s="60" t="e">
        <f>INDEX(Inputs!$H$17:$U$17,1,MATCH($D376,Inputs!$H$15:$U$15,0))</f>
        <v>#N/A</v>
      </c>
      <c r="G376" s="41"/>
      <c r="H376" s="18" t="s">
        <v>178</v>
      </c>
      <c r="I376" s="18" t="s">
        <v>65</v>
      </c>
      <c r="J376" s="42" t="s">
        <v>67</v>
      </c>
      <c r="K376" s="48">
        <f>SUM(
IFERROR(K373/100*SUMIFS(INDEX(TUNet_Usage_PerRate_2[],0,MATCH(K$320,TUNet_Usage_PerRate_2[#Headers],0)),TUNet_Usage_PerRate_2[Customer type],Calc_TUV_Net_2[[#This Row],[Customer type]],TUNet_Usage_PerRate_2[Description],"Usage per customer - Block 1"),0),
IFERROR(K374/100*SUMIFS(INDEX(TUNet_Usage_PerRate_2[],0,MATCH(K$320,TUNet_Usage_PerRate_2[#Headers],0)),TUNet_Usage_PerRate_2[Customer type],Calc_TUV_Net_2[[#This Row],[Customer type]],TUNet_Usage_PerRate_2[Description],"Usage per customer - Balance"),0),
IFERROR(K375/100*SUMIFS(INDEX(TUNet_Usage_PerRate_2[],0,MATCH(K$320,TUNet_Usage_PerRate_2[#Headers],0)),TUNet_Usage_PerRate_2[Customer type],Calc_TUV_Net_2[[#This Row],[Customer type]],TUNet_Usage_PerRate_2[Description],"Usage per customer - Single rate"),0))</f>
        <v>0</v>
      </c>
      <c r="L376" s="48">
        <f>SUM(
IFERROR(L373/100*SUMIFS(INDEX(TUNet_Usage_PerRate_2[],0,MATCH(L$320,TUNet_Usage_PerRate_2[#Headers],0)),TUNet_Usage_PerRate_2[Customer type],Calc_TUV_Net_2[[#This Row],[Customer type]],TUNet_Usage_PerRate_2[Description],"Usage per customer - Block 1"),0),
IFERROR(L374/100*SUMIFS(INDEX(TUNet_Usage_PerRate_2[],0,MATCH(L$320,TUNet_Usage_PerRate_2[#Headers],0)),TUNet_Usage_PerRate_2[Customer type],Calc_TUV_Net_2[[#This Row],[Customer type]],TUNet_Usage_PerRate_2[Description],"Usage per customer - Balance"),0),
IFERROR(L375/100*SUMIFS(INDEX(TUNet_Usage_PerRate_2[],0,MATCH(L$320,TUNet_Usage_PerRate_2[#Headers],0)),TUNet_Usage_PerRate_2[Customer type],Calc_TUV_Net_2[[#This Row],[Customer type]],TUNet_Usage_PerRate_2[Description],"Usage per customer - Single rate"),0))</f>
        <v>0</v>
      </c>
      <c r="M376" s="48">
        <f>SUM(
IFERROR(M373/100*SUMIFS(INDEX(TUNet_Usage_PerRate_2[],0,MATCH(M$320,TUNet_Usage_PerRate_2[#Headers],0)),TUNet_Usage_PerRate_2[Customer type],Calc_TUV_Net_2[[#This Row],[Customer type]],TUNet_Usage_PerRate_2[Description],"Usage per customer - Block 1"),0),
IFERROR(M374/100*SUMIFS(INDEX(TUNet_Usage_PerRate_2[],0,MATCH(M$320,TUNet_Usage_PerRate_2[#Headers],0)),TUNet_Usage_PerRate_2[Customer type],Calc_TUV_Net_2[[#This Row],[Customer type]],TUNet_Usage_PerRate_2[Description],"Usage per customer - Balance"),0),
IFERROR(M375/100*SUMIFS(INDEX(TUNet_Usage_PerRate_2[],0,MATCH(M$320,TUNet_Usage_PerRate_2[#Headers],0)),TUNet_Usage_PerRate_2[Customer type],Calc_TUV_Net_2[[#This Row],[Customer type]],TUNet_Usage_PerRate_2[Description],"Usage per customer - Single rate"),0))</f>
        <v>0</v>
      </c>
      <c r="N376" s="48">
        <f>SUM(
IFERROR(N373/100*SUMIFS(INDEX(TUNet_Usage_PerRate_2[],0,MATCH(N$320,TUNet_Usage_PerRate_2[#Headers],0)),TUNet_Usage_PerRate_2[Customer type],Calc_TUV_Net_2[[#This Row],[Customer type]],TUNet_Usage_PerRate_2[Description],"Usage per customer - Block 1"),0),
IFERROR(N374/100*SUMIFS(INDEX(TUNet_Usage_PerRate_2[],0,MATCH(N$320,TUNet_Usage_PerRate_2[#Headers],0)),TUNet_Usage_PerRate_2[Customer type],Calc_TUV_Net_2[[#This Row],[Customer type]],TUNet_Usage_PerRate_2[Description],"Usage per customer - Balance"),0),
IFERROR(N375/100*SUMIFS(INDEX(TUNet_Usage_PerRate_2[],0,MATCH(N$320,TUNet_Usage_PerRate_2[#Headers],0)),TUNet_Usage_PerRate_2[Customer type],Calc_TUV_Net_2[[#This Row],[Customer type]],TUNet_Usage_PerRate_2[Description],"Usage per customer - Single rate"),0))</f>
        <v>0</v>
      </c>
      <c r="O376" s="48">
        <f>SUM(
IFERROR(O373/100*SUMIFS(INDEX(TUNet_Usage_PerRate_2[],0,MATCH(O$320,TUNet_Usage_PerRate_2[#Headers],0)),TUNet_Usage_PerRate_2[Customer type],Calc_TUV_Net_2[[#This Row],[Customer type]],TUNet_Usage_PerRate_2[Description],"Usage per customer - Block 1"),0),
IFERROR(O374/100*SUMIFS(INDEX(TUNet_Usage_PerRate_2[],0,MATCH(O$320,TUNet_Usage_PerRate_2[#Headers],0)),TUNet_Usage_PerRate_2[Customer type],Calc_TUV_Net_2[[#This Row],[Customer type]],TUNet_Usage_PerRate_2[Description],"Usage per customer - Balance"),0),
IFERROR(O375/100*SUMIFS(INDEX(TUNet_Usage_PerRate_2[],0,MATCH(O$320,TUNet_Usage_PerRate_2[#Headers],0)),TUNet_Usage_PerRate_2[Customer type],Calc_TUV_Net_2[[#This Row],[Customer type]],TUNet_Usage_PerRate_2[Description],"Usage per customer - Single rate"),0))</f>
        <v>0</v>
      </c>
    </row>
    <row r="377" spans="3:15" hidden="1" outlineLevel="1" x14ac:dyDescent="0.25">
      <c r="C377" s="42" t="s">
        <v>447</v>
      </c>
      <c r="D377" s="60" t="str">
        <f>INDEX(Input_DecisionActual[[Decision]:[Decision]],MATCH(Calc_TU_values!$D$224,Input_DecisionActual[[VDO period]:[VDO period]],0),1)</f>
        <v>VDO 2022-23 - Final</v>
      </c>
      <c r="E377" s="18" t="s">
        <v>96</v>
      </c>
      <c r="F377" s="60" t="str">
        <f>IF($D377="-","-",INDEX(Inputs!$H$17:$U$17,1,MATCH($D377,Inputs!$H$15:$U$15,0)))</f>
        <v>F-PreviousVDO_Input3</v>
      </c>
      <c r="G377" s="41"/>
      <c r="H377" s="18" t="s">
        <v>178</v>
      </c>
      <c r="I377" s="18" t="s">
        <v>220</v>
      </c>
      <c r="J377" s="42" t="s">
        <v>67</v>
      </c>
      <c r="K377" s="47" cm="1">
        <f t="array" ref="K377">IFERROR(INDEX(Input_ForRateCalc[],MATCH($C377&amp;" - "&amp;K$320,Input_ForRateCalc[[Cost item]:[Cost item]],0),MATCH(Calc_TUV_Net_2[[#This Row],[Decision ref]:[Decision ref]],Input_ForRateCalc[#Headers],0)),"-")</f>
        <v>17.498000000000001</v>
      </c>
      <c r="L377" s="47" t="str" cm="1">
        <f t="array" ref="L377">IFERROR(INDEX(Input_ForRateCalc[],MATCH($C377&amp;" - "&amp;L$320,Input_ForRateCalc[[Cost item]:[Cost item]],0),MATCH(Calc_TUV_Net_2[[#This Row],[Decision ref]:[Decision ref]],Input_ForRateCalc[#Headers],0)),"-")</f>
        <v>-</v>
      </c>
      <c r="M377" s="47" t="str" cm="1">
        <f t="array" ref="M377">IFERROR(INDEX(Input_ForRateCalc[],MATCH($C377&amp;" - "&amp;M$320,Input_ForRateCalc[[Cost item]:[Cost item]],0),MATCH(Calc_TUV_Net_2[[#This Row],[Decision ref]:[Decision ref]],Input_ForRateCalc[#Headers],0)),"-")</f>
        <v>-</v>
      </c>
      <c r="N377" s="47" t="str" cm="1">
        <f t="array" ref="N377">IFERROR(INDEX(Input_ForRateCalc[],MATCH($C377&amp;" - "&amp;N$320,Input_ForRateCalc[[Cost item]:[Cost item]],0),MATCH(Calc_TUV_Net_2[[#This Row],[Decision ref]:[Decision ref]],Input_ForRateCalc[#Headers],0)),"-")</f>
        <v>-</v>
      </c>
      <c r="O377" s="47" t="str" cm="1">
        <f t="array" ref="O377">IFERROR(INDEX(Input_ForRateCalc[],MATCH($C377&amp;" - "&amp;O$320,Input_ForRateCalc[[Cost item]:[Cost item]],0),MATCH(Calc_TUV_Net_2[[#This Row],[Decision ref]:[Decision ref]],Input_ForRateCalc[#Headers],0)),"-")</f>
        <v>-</v>
      </c>
    </row>
    <row r="378" spans="3:15" hidden="1" outlineLevel="1" x14ac:dyDescent="0.25">
      <c r="C378" s="42" t="s">
        <v>448</v>
      </c>
      <c r="D378" s="60" t="str">
        <f>INDEX(Input_DecisionActual[[Decision]:[Decision]],MATCH(Calc_TU_values!$D$224,Input_DecisionActual[[VDO period]:[VDO period]],0),1)</f>
        <v>VDO 2022-23 - Final</v>
      </c>
      <c r="E378" s="18" t="s">
        <v>96</v>
      </c>
      <c r="F378" s="60" t="str">
        <f>IF($D378="-","-",INDEX(Inputs!$H$17:$U$17,1,MATCH($D378,Inputs!$H$15:$U$15,0)))</f>
        <v>F-PreviousVDO_Input3</v>
      </c>
      <c r="G378" s="41"/>
      <c r="H378" s="18" t="s">
        <v>178</v>
      </c>
      <c r="I378" s="18" t="s">
        <v>220</v>
      </c>
      <c r="J378" s="42" t="s">
        <v>67</v>
      </c>
      <c r="K378" s="47" cm="1">
        <f t="array" ref="K378">IFERROR(INDEX(Input_ForRateCalc[],MATCH($C378&amp;" - "&amp;K$320,Input_ForRateCalc[[Cost item]:[Cost item]],0),MATCH(Calc_TUV_Net_2[[#This Row],[Decision ref]:[Decision ref]],Input_ForRateCalc[#Headers],0)),"-")</f>
        <v>20.5366</v>
      </c>
      <c r="L378" s="47" t="str" cm="1">
        <f t="array" ref="L378">IFERROR(INDEX(Input_ForRateCalc[],MATCH($C378&amp;" - "&amp;L$320,Input_ForRateCalc[[Cost item]:[Cost item]],0),MATCH(Calc_TUV_Net_2[[#This Row],[Decision ref]:[Decision ref]],Input_ForRateCalc[#Headers],0)),"-")</f>
        <v>-</v>
      </c>
      <c r="M378" s="47" t="str" cm="1">
        <f t="array" ref="M378">IFERROR(INDEX(Input_ForRateCalc[],MATCH($C378&amp;" - "&amp;M$320,Input_ForRateCalc[[Cost item]:[Cost item]],0),MATCH(Calc_TUV_Net_2[[#This Row],[Decision ref]:[Decision ref]],Input_ForRateCalc[#Headers],0)),"-")</f>
        <v>-</v>
      </c>
      <c r="N378" s="47" t="str" cm="1">
        <f t="array" ref="N378">IFERROR(INDEX(Input_ForRateCalc[],MATCH($C378&amp;" - "&amp;N$320,Input_ForRateCalc[[Cost item]:[Cost item]],0),MATCH(Calc_TUV_Net_2[[#This Row],[Decision ref]:[Decision ref]],Input_ForRateCalc[#Headers],0)),"-")</f>
        <v>-</v>
      </c>
      <c r="O378" s="47" t="str" cm="1">
        <f t="array" ref="O378">IFERROR(INDEX(Input_ForRateCalc[],MATCH($C378&amp;" - "&amp;O$320,Input_ForRateCalc[[Cost item]:[Cost item]],0),MATCH(Calc_TUV_Net_2[[#This Row],[Decision ref]:[Decision ref]],Input_ForRateCalc[#Headers],0)),"-")</f>
        <v>-</v>
      </c>
    </row>
    <row r="379" spans="3:15" hidden="1" outlineLevel="1" x14ac:dyDescent="0.25">
      <c r="C379" s="42" t="s">
        <v>449</v>
      </c>
      <c r="D379" s="60" t="str">
        <f>INDEX(Input_DecisionActual[[Decision]:[Decision]],MATCH(Calc_TU_values!$D$224,Input_DecisionActual[[VDO period]:[VDO period]],0),1)</f>
        <v>VDO 2022-23 - Final</v>
      </c>
      <c r="E379" s="18" t="s">
        <v>96</v>
      </c>
      <c r="F379" s="60" t="str">
        <f>IF($D379="-","-",INDEX(Inputs!$H$17:$U$17,1,MATCH($D379,Inputs!$H$15:$U$15,0)))</f>
        <v>F-PreviousVDO_Input3</v>
      </c>
      <c r="G379" s="41"/>
      <c r="H379" s="18" t="s">
        <v>178</v>
      </c>
      <c r="I379" s="18" t="s">
        <v>220</v>
      </c>
      <c r="J379" s="42" t="s">
        <v>67</v>
      </c>
      <c r="K379" s="47" t="str" cm="1">
        <f t="array" ref="K379">IFERROR(INDEX(Input_ForRateCalc[],MATCH($C379&amp;" - "&amp;K$320,Input_ForRateCalc[[Cost item]:[Cost item]],0),MATCH(Calc_TUV_Net_2[[#This Row],[Decision ref]:[Decision ref]],Input_ForRateCalc[#Headers],0)),"-")</f>
        <v>-</v>
      </c>
      <c r="L379" s="47" cm="1">
        <f t="array" ref="L379">IFERROR(INDEX(Input_ForRateCalc[],MATCH($C379&amp;" - "&amp;L$320,Input_ForRateCalc[[Cost item]:[Cost item]],0),MATCH(Calc_TUV_Net_2[[#This Row],[Decision ref]:[Decision ref]],Input_ForRateCalc[#Headers],0)),"-")</f>
        <v>8.0299999999999994</v>
      </c>
      <c r="M379" s="47" cm="1">
        <f t="array" ref="M379">IFERROR(INDEX(Input_ForRateCalc[],MATCH($C379&amp;" - "&amp;M$320,Input_ForRateCalc[[Cost item]:[Cost item]],0),MATCH(Calc_TUV_Net_2[[#This Row],[Decision ref]:[Decision ref]],Input_ForRateCalc[#Headers],0)),"-")</f>
        <v>10.84</v>
      </c>
      <c r="N379" s="47" cm="1">
        <f t="array" ref="N379">IFERROR(INDEX(Input_ForRateCalc[],MATCH($C379&amp;" - "&amp;N$320,Input_ForRateCalc[[Cost item]:[Cost item]],0),MATCH(Calc_TUV_Net_2[[#This Row],[Decision ref]:[Decision ref]],Input_ForRateCalc[#Headers],0)),"-")</f>
        <v>9.2899999999999991</v>
      </c>
      <c r="O379" s="47" cm="1">
        <f t="array" ref="O379">IFERROR(INDEX(Input_ForRateCalc[],MATCH($C379&amp;" - "&amp;O$320,Input_ForRateCalc[[Cost item]:[Cost item]],0),MATCH(Calc_TUV_Net_2[[#This Row],[Decision ref]:[Decision ref]],Input_ForRateCalc[#Headers],0)),"-")</f>
        <v>9.14</v>
      </c>
    </row>
    <row r="380" spans="3:15" hidden="1" outlineLevel="1" x14ac:dyDescent="0.25">
      <c r="C380" s="42" t="s">
        <v>411</v>
      </c>
      <c r="D380" s="60" t="str">
        <f>INDEX(Input_DecisionActual[[Decision]:[Decision]],MATCH(Calc_TU_values!$D$224,Input_DecisionActual[[VDO period]:[VDO period]],0),1)</f>
        <v>VDO 2022-23 - Final</v>
      </c>
      <c r="E380" s="18" t="s">
        <v>96</v>
      </c>
      <c r="F380" s="60" t="str">
        <f>IF($D380="-","-",INDEX(Inputs!$H$17:$U$17,1,MATCH($D380,Inputs!$H$15:$U$15,0)))</f>
        <v>F-PreviousVDO_Input3</v>
      </c>
      <c r="G380" s="41"/>
      <c r="H380" s="18" t="s">
        <v>178</v>
      </c>
      <c r="I380" s="18" t="s">
        <v>65</v>
      </c>
      <c r="J380" s="42" t="s">
        <v>67</v>
      </c>
      <c r="K380" s="48">
        <f>SUM(
IFERROR(K377/100*SUMIFS(INDEX(TUNet_Usage_PerRate_2[],0,MATCH(K$320,TUNet_Usage_PerRate_2[#Headers],0)),TUNet_Usage_PerRate_2[Customer type],Calc_TUV_Net_2[[#This Row],[Customer type]],TUNet_Usage_PerRate_2[Description],"Usage per customer - Block 1"),0),
IFERROR(K378/100*SUMIFS(INDEX(TUNet_Usage_PerRate_2[],0,MATCH(K$320,TUNet_Usage_PerRate_2[#Headers],0)),TUNet_Usage_PerRate_2[Customer type],Calc_TUV_Net_2[[#This Row],[Customer type]],TUNet_Usage_PerRate_2[Description],"Usage per customer - Balance"),0),
IFERROR(K379/100*SUMIFS(INDEX(TUNet_Usage_PerRate_2[],0,MATCH(K$320,TUNet_Usage_PerRate_2[#Headers],0)),TUNet_Usage_PerRate_2[Customer type],Calc_TUV_Net_2[[#This Row],[Customer type]],TUNet_Usage_PerRate_2[Description],"Usage per customer - Single rate"),0))</f>
        <v>0</v>
      </c>
      <c r="L380" s="48">
        <f>SUM(
IFERROR(L377/100*SUMIFS(INDEX(TUNet_Usage_PerRate_2[],0,MATCH(L$320,TUNet_Usage_PerRate_2[#Headers],0)),TUNet_Usage_PerRate_2[Customer type],Calc_TUV_Net_2[[#This Row],[Customer type]],TUNet_Usage_PerRate_2[Description],"Usage per customer - Block 1"),0),
IFERROR(L378/100*SUMIFS(INDEX(TUNet_Usage_PerRate_2[],0,MATCH(L$320,TUNet_Usage_PerRate_2[#Headers],0)),TUNet_Usage_PerRate_2[Customer type],Calc_TUV_Net_2[[#This Row],[Customer type]],TUNet_Usage_PerRate_2[Description],"Usage per customer - Balance"),0),
IFERROR(L379/100*SUMIFS(INDEX(TUNet_Usage_PerRate_2[],0,MATCH(L$320,TUNet_Usage_PerRate_2[#Headers],0)),TUNet_Usage_PerRate_2[Customer type],Calc_TUV_Net_2[[#This Row],[Customer type]],TUNet_Usage_PerRate_2[Description],"Usage per customer - Single rate"),0))</f>
        <v>0</v>
      </c>
      <c r="M380" s="48">
        <f>SUM(
IFERROR(M377/100*SUMIFS(INDEX(TUNet_Usage_PerRate_2[],0,MATCH(M$320,TUNet_Usage_PerRate_2[#Headers],0)),TUNet_Usage_PerRate_2[Customer type],Calc_TUV_Net_2[[#This Row],[Customer type]],TUNet_Usage_PerRate_2[Description],"Usage per customer - Block 1"),0),
IFERROR(M378/100*SUMIFS(INDEX(TUNet_Usage_PerRate_2[],0,MATCH(M$320,TUNet_Usage_PerRate_2[#Headers],0)),TUNet_Usage_PerRate_2[Customer type],Calc_TUV_Net_2[[#This Row],[Customer type]],TUNet_Usage_PerRate_2[Description],"Usage per customer - Balance"),0),
IFERROR(M379/100*SUMIFS(INDEX(TUNet_Usage_PerRate_2[],0,MATCH(M$320,TUNet_Usage_PerRate_2[#Headers],0)),TUNet_Usage_PerRate_2[Customer type],Calc_TUV_Net_2[[#This Row],[Customer type]],TUNet_Usage_PerRate_2[Description],"Usage per customer - Single rate"),0))</f>
        <v>0</v>
      </c>
      <c r="N380" s="48">
        <f>SUM(
IFERROR(N377/100*SUMIFS(INDEX(TUNet_Usage_PerRate_2[],0,MATCH(N$320,TUNet_Usage_PerRate_2[#Headers],0)),TUNet_Usage_PerRate_2[Customer type],Calc_TUV_Net_2[[#This Row],[Customer type]],TUNet_Usage_PerRate_2[Description],"Usage per customer - Block 1"),0),
IFERROR(N378/100*SUMIFS(INDEX(TUNet_Usage_PerRate_2[],0,MATCH(N$320,TUNet_Usage_PerRate_2[#Headers],0)),TUNet_Usage_PerRate_2[Customer type],Calc_TUV_Net_2[[#This Row],[Customer type]],TUNet_Usage_PerRate_2[Description],"Usage per customer - Balance"),0),
IFERROR(N379/100*SUMIFS(INDEX(TUNet_Usage_PerRate_2[],0,MATCH(N$320,TUNet_Usage_PerRate_2[#Headers],0)),TUNet_Usage_PerRate_2[Customer type],Calc_TUV_Net_2[[#This Row],[Customer type]],TUNet_Usage_PerRate_2[Description],"Usage per customer - Single rate"),0))</f>
        <v>0</v>
      </c>
      <c r="O380" s="48">
        <f>SUM(
IFERROR(O377/100*SUMIFS(INDEX(TUNet_Usage_PerRate_2[],0,MATCH(O$320,TUNet_Usage_PerRate_2[#Headers],0)),TUNet_Usage_PerRate_2[Customer type],Calc_TUV_Net_2[[#This Row],[Customer type]],TUNet_Usage_PerRate_2[Description],"Usage per customer - Block 1"),0),
IFERROR(O378/100*SUMIFS(INDEX(TUNet_Usage_PerRate_2[],0,MATCH(O$320,TUNet_Usage_PerRate_2[#Headers],0)),TUNet_Usage_PerRate_2[Customer type],Calc_TUV_Net_2[[#This Row],[Customer type]],TUNet_Usage_PerRate_2[Description],"Usage per customer - Balance"),0),
IFERROR(O379/100*SUMIFS(INDEX(TUNet_Usage_PerRate_2[],0,MATCH(O$320,TUNet_Usage_PerRate_2[#Headers],0)),TUNet_Usage_PerRate_2[Customer type],Calc_TUV_Net_2[[#This Row],[Customer type]],TUNet_Usage_PerRate_2[Description],"Usage per customer - Single rate"),0))</f>
        <v>0</v>
      </c>
    </row>
    <row r="381" spans="3:15" hidden="1" outlineLevel="1" x14ac:dyDescent="0.25">
      <c r="C381" s="42" t="s">
        <v>412</v>
      </c>
      <c r="D381" s="18"/>
      <c r="E381" s="18"/>
      <c r="F381" s="18"/>
      <c r="G381" s="42"/>
      <c r="H381" s="18" t="s">
        <v>178</v>
      </c>
      <c r="I381" s="18" t="s">
        <v>65</v>
      </c>
      <c r="J381" s="42" t="s">
        <v>67</v>
      </c>
      <c r="K381" s="46" t="str">
        <f>IF(K380=0,"-",K376-K380)</f>
        <v>-</v>
      </c>
      <c r="L381" s="46" t="str">
        <f>IF(L380=0,"-",L376-L380)</f>
        <v>-</v>
      </c>
      <c r="M381" s="46" t="str">
        <f>IF(M380=0,"-",M376-M380)</f>
        <v>-</v>
      </c>
      <c r="N381" s="46" t="str">
        <f>IF(N380=0,"-",N376-N380)</f>
        <v>-</v>
      </c>
      <c r="O381" s="46" t="str">
        <f>IF(O380=0,"-",O376-O380)</f>
        <v>-</v>
      </c>
    </row>
    <row r="382" spans="3:15" hidden="1" outlineLevel="1" x14ac:dyDescent="0.25">
      <c r="C382" s="42" t="s">
        <v>414</v>
      </c>
      <c r="D382" s="60" t="str">
        <f>INDEX(Input_DecisionActual[[Decision]:[Decision]],MATCH(Calc_TU_values!$D$224,Input_DecisionActual[[VDO period]:[VDO period]],0),1)</f>
        <v>VDO 2022-23 - Final</v>
      </c>
      <c r="E382" s="18" t="s">
        <v>96</v>
      </c>
      <c r="F382" s="60" t="str">
        <f>IF($D382="-","-",INDEX(Inputs!$H$17:$U$17,1,MATCH($D382,Inputs!$H$15:$U$15,0)))</f>
        <v>F-PreviousVDO_Input3</v>
      </c>
      <c r="G382" s="42"/>
      <c r="H382" s="18" t="s">
        <v>178</v>
      </c>
      <c r="I382" s="18" t="s">
        <v>65</v>
      </c>
      <c r="J382" s="42" t="s">
        <v>67</v>
      </c>
      <c r="K382" s="47" cm="1">
        <f t="array" ref="K382">IFERROR(SUM(K381:K381)*(INDEX(Inputs!$H$18:$U$141,MATCH("Retail operating margin",Input_ForRateCalc[[Cost item]:[Cost item]],0),MATCH(Calc_TUV_Net_2[[#This Row],[Decision ref]:[Decision ref]],Inputs!$H$17:$U$17,0))),"-")</f>
        <v>0</v>
      </c>
      <c r="L382" s="47" cm="1">
        <f t="array" ref="L382">IFERROR(SUM(L381:L381)*(INDEX(Inputs!$H$18:$U$141,MATCH("Retail operating margin",Input_ForRateCalc[[Cost item]:[Cost item]],0),MATCH(Calc_TUV_Net_2[[#This Row],[Decision ref]:[Decision ref]],Inputs!$H$17:$U$17,0))),"-")</f>
        <v>0</v>
      </c>
      <c r="M382" s="47" cm="1">
        <f t="array" ref="M382">IFERROR(SUM(M381:M381)*(INDEX(Inputs!$H$18:$U$141,MATCH("Retail operating margin",Input_ForRateCalc[[Cost item]:[Cost item]],0),MATCH(Calc_TUV_Net_2[[#This Row],[Decision ref]:[Decision ref]],Inputs!$H$17:$U$17,0))),"-")</f>
        <v>0</v>
      </c>
      <c r="N382" s="47" cm="1">
        <f t="array" ref="N382">IFERROR(SUM(N381:N381)*(INDEX(Inputs!$H$18:$U$141,MATCH("Retail operating margin",Input_ForRateCalc[[Cost item]:[Cost item]],0),MATCH(Calc_TUV_Net_2[[#This Row],[Decision ref]:[Decision ref]],Inputs!$H$17:$U$17,0))),"-")</f>
        <v>0</v>
      </c>
      <c r="O382" s="47" cm="1">
        <f t="array" ref="O382">IFERROR(SUM(O381:O381)*(INDEX(Inputs!$H$18:$U$141,MATCH("Retail operating margin",Input_ForRateCalc[[Cost item]:[Cost item]],0),MATCH(Calc_TUV_Net_2[[#This Row],[Decision ref]:[Decision ref]],Inputs!$H$17:$U$17,0))),"-")</f>
        <v>0</v>
      </c>
    </row>
    <row r="383" spans="3:15" hidden="1" outlineLevel="1" x14ac:dyDescent="0.25">
      <c r="C383" s="42" t="s">
        <v>415</v>
      </c>
      <c r="D383" s="18"/>
      <c r="E383" s="18"/>
      <c r="F383" s="18"/>
      <c r="G383" s="42"/>
      <c r="H383" s="18" t="s">
        <v>178</v>
      </c>
      <c r="I383" s="18" t="s">
        <v>65</v>
      </c>
      <c r="J383" s="42" t="s">
        <v>67</v>
      </c>
      <c r="K383" s="47" t="str">
        <f>IF(K380=0,"-",SUM(K381:K382)*GST)</f>
        <v>-</v>
      </c>
      <c r="L383" s="47" t="str">
        <f>IF(L380=0,"-",SUM(L381:L382)*GST)</f>
        <v>-</v>
      </c>
      <c r="M383" s="47" t="str">
        <f>IF(M380=0,"-",SUM(M381:M382)*GST)</f>
        <v>-</v>
      </c>
      <c r="N383" s="47" t="str">
        <f>IF(N380=0,"-",SUM(N381:N382)*GST)</f>
        <v>-</v>
      </c>
      <c r="O383" s="47" t="str">
        <f>IF(O380=0,"-",SUM(O381:O382)*GST)</f>
        <v>-</v>
      </c>
    </row>
    <row r="384" spans="3:15" hidden="1" outlineLevel="1" x14ac:dyDescent="0.25">
      <c r="C384" s="42" t="s">
        <v>440</v>
      </c>
      <c r="D384" s="18"/>
      <c r="E384" s="18"/>
      <c r="F384" s="18"/>
      <c r="H384" s="18" t="s">
        <v>178</v>
      </c>
      <c r="I384" s="18" t="s">
        <v>65</v>
      </c>
      <c r="J384" s="42" t="s">
        <v>67</v>
      </c>
      <c r="K384" s="47" t="str">
        <f>IF(K380=0,"-",SUM(K381:K383))</f>
        <v>-</v>
      </c>
      <c r="L384" s="47" t="str">
        <f>IF(L380=0,"-",SUM(L381:L383))</f>
        <v>-</v>
      </c>
      <c r="M384" s="47" t="str">
        <f>IF(M380=0,"-",SUM(M381:M383))</f>
        <v>-</v>
      </c>
      <c r="N384" s="47" t="str">
        <f>IF(N380=0,"-",SUM(N381:N383))</f>
        <v>-</v>
      </c>
      <c r="O384" s="47" t="str">
        <f>IF(O380=0,"-",SUM(O381:O383))</f>
        <v>-</v>
      </c>
    </row>
    <row r="385" spans="3:15" hidden="1" outlineLevel="1" x14ac:dyDescent="0.25">
      <c r="C385" s="40"/>
      <c r="D385" s="40"/>
      <c r="E385" s="40"/>
      <c r="F385" s="40"/>
      <c r="G385" s="49"/>
      <c r="H385" s="49"/>
      <c r="I385" s="18"/>
      <c r="J385" s="18"/>
      <c r="K385" s="46"/>
      <c r="L385" s="18"/>
      <c r="M385" s="18"/>
      <c r="N385" s="18"/>
      <c r="O385" s="18"/>
    </row>
    <row r="386" spans="3:15" hidden="1" outlineLevel="1" x14ac:dyDescent="0.25">
      <c r="C386" s="40"/>
      <c r="D386" s="40"/>
      <c r="E386" s="40"/>
      <c r="F386" s="40"/>
      <c r="G386" s="49"/>
      <c r="H386" s="49"/>
      <c r="I386" s="18"/>
      <c r="J386" s="18"/>
      <c r="K386" s="46"/>
      <c r="L386" s="18"/>
      <c r="M386" s="18"/>
      <c r="N386" s="18"/>
      <c r="O386" s="18"/>
    </row>
    <row r="387" spans="3:15" ht="15.75" hidden="1" outlineLevel="1" x14ac:dyDescent="0.25">
      <c r="C387" s="1" t="s">
        <v>312</v>
      </c>
      <c r="D387" s="42"/>
      <c r="E387" s="42"/>
      <c r="F387" s="42"/>
      <c r="G387" s="30" t="str">
        <f>INDEX(Input_TU_YesNo[],MATCH(Calc_TUV_Net_2[[#This Row],[Cost item]],Input_TU_YesNo[Component],0),MATCH($D$224,Inputs!$C$210:$BM$210,0))</f>
        <v>No</v>
      </c>
      <c r="H387" s="42"/>
      <c r="I387" s="18"/>
      <c r="J387" s="18"/>
      <c r="K387" s="46"/>
      <c r="L387" s="18"/>
      <c r="M387" s="18"/>
      <c r="N387" s="18"/>
      <c r="O387" s="18"/>
    </row>
    <row r="388" spans="3:15" hidden="1" outlineLevel="1" x14ac:dyDescent="0.25">
      <c r="C388" s="40" t="s">
        <v>450</v>
      </c>
      <c r="D388" s="40"/>
      <c r="E388" s="40"/>
      <c r="F388" s="40"/>
      <c r="G388" s="49"/>
      <c r="H388" s="49"/>
      <c r="I388" s="18"/>
      <c r="J388" s="18"/>
      <c r="K388" s="46"/>
      <c r="L388" s="18"/>
      <c r="M388" s="18"/>
      <c r="N388" s="18"/>
      <c r="O388" s="18"/>
    </row>
    <row r="389" spans="3:15" hidden="1" outlineLevel="1" x14ac:dyDescent="0.25">
      <c r="C389" s="42" t="s">
        <v>451</v>
      </c>
      <c r="D389" s="60" t="str">
        <f>Calc_TU_values!$D$224</f>
        <v>VDO 2023-24 - Final</v>
      </c>
      <c r="E389" s="18" t="s">
        <v>316</v>
      </c>
      <c r="F389" s="60" t="e">
        <f>INDEX(Inputs!$H$17:$U$17,1,MATCH($D389,Inputs!$H$15:$U$15,0))</f>
        <v>#N/A</v>
      </c>
      <c r="G389" s="41"/>
      <c r="H389" s="18" t="s">
        <v>132</v>
      </c>
      <c r="I389" s="18" t="s">
        <v>65</v>
      </c>
      <c r="J389" s="42" t="s">
        <v>66</v>
      </c>
      <c r="K389" s="47" t="str" cm="1">
        <f t="array" ref="K389">IFERROR(INDEX(Input_ForRateCalc[],MATCH($C389&amp;" - "&amp;K$320,Input_ForRateCalc[[Cost item]:[Cost item]],0),MATCH(Calc_TUV_Net_2[[#This Row],[Decision ref]:[Decision ref]],Input_ForRateCalc[#Headers],0))*TUProp_Days_2,"-")</f>
        <v>-</v>
      </c>
      <c r="L389" s="47" t="str" cm="1">
        <f t="array" ref="L389">IFERROR(INDEX(Input_ForRateCalc[],MATCH($C389&amp;" - "&amp;L$320,Input_ForRateCalc[[Cost item]:[Cost item]],0),MATCH(Calc_TUV_Net_2[[#This Row],[Decision ref]:[Decision ref]],Input_ForRateCalc[#Headers],0))*TUProp_Days_2,"-")</f>
        <v>-</v>
      </c>
      <c r="M389" s="47" t="str" cm="1">
        <f t="array" ref="M389">IFERROR(INDEX(Input_ForRateCalc[],MATCH($C389&amp;" - "&amp;M$320,Input_ForRateCalc[[Cost item]:[Cost item]],0),MATCH(Calc_TUV_Net_2[[#This Row],[Decision ref]:[Decision ref]],Input_ForRateCalc[#Headers],0))*TUProp_Days_2,"-")</f>
        <v>-</v>
      </c>
      <c r="N389" s="47" t="str" cm="1">
        <f t="array" ref="N389">IFERROR(INDEX(Input_ForRateCalc[],MATCH($C389&amp;" - "&amp;N$320,Input_ForRateCalc[[Cost item]:[Cost item]],0),MATCH(Calc_TUV_Net_2[[#This Row],[Decision ref]:[Decision ref]],Input_ForRateCalc[#Headers],0))*TUProp_Days_2,"-")</f>
        <v>-</v>
      </c>
      <c r="O389" s="47" t="str" cm="1">
        <f t="array" ref="O389">IFERROR(INDEX(Input_ForRateCalc[],MATCH($C389&amp;" - "&amp;O$320,Input_ForRateCalc[[Cost item]:[Cost item]],0),MATCH(Calc_TUV_Net_2[[#This Row],[Decision ref]:[Decision ref]],Input_ForRateCalc[#Headers],0))*TUProp_Days_2,"-")</f>
        <v>-</v>
      </c>
    </row>
    <row r="390" spans="3:15" hidden="1" outlineLevel="1" x14ac:dyDescent="0.25">
      <c r="C390" s="42" t="s">
        <v>357</v>
      </c>
      <c r="D390" s="60" t="str">
        <f>Calc_TU_values!$D$224</f>
        <v>VDO 2023-24 - Final</v>
      </c>
      <c r="E390" s="18" t="s">
        <v>316</v>
      </c>
      <c r="F390" s="60" t="e">
        <f>INDEX(Inputs!$H$17:$U$17,1,MATCH($D390,Inputs!$H$15:$U$15,0))</f>
        <v>#N/A</v>
      </c>
      <c r="G390" s="41"/>
      <c r="H390" s="18" t="s">
        <v>132</v>
      </c>
      <c r="I390" s="18" t="s">
        <v>65</v>
      </c>
      <c r="J390" s="42" t="s">
        <v>66</v>
      </c>
      <c r="K390" s="47" t="str" cm="1">
        <f t="array" ref="K390">IFERROR(INDEX(Input_ForRateCalc[],MATCH($C390&amp;" - "&amp;K$320,Input_ForRateCalc[[Cost item]:[Cost item]],0),MATCH(Calc_TUV_Net_2[[#This Row],[Decision ref]:[Decision ref]],Input_ForRateCalc[#Headers],0))*TUProp_Days_2,"-")</f>
        <v>-</v>
      </c>
      <c r="L390" s="47" t="str" cm="1">
        <f t="array" ref="L390">IFERROR(INDEX(Input_ForRateCalc[],MATCH($C390&amp;" - "&amp;L$320,Input_ForRateCalc[[Cost item]:[Cost item]],0),MATCH(Calc_TUV_Net_2[[#This Row],[Decision ref]:[Decision ref]],Input_ForRateCalc[#Headers],0))*TUProp_Days_2,"-")</f>
        <v>-</v>
      </c>
      <c r="M390" s="47" t="str" cm="1">
        <f t="array" ref="M390">IFERROR(INDEX(Input_ForRateCalc[],MATCH($C390&amp;" - "&amp;M$320,Input_ForRateCalc[[Cost item]:[Cost item]],0),MATCH(Calc_TUV_Net_2[[#This Row],[Decision ref]:[Decision ref]],Input_ForRateCalc[#Headers],0))*TUProp_Days_2,"-")</f>
        <v>-</v>
      </c>
      <c r="N390" s="47" t="str" cm="1">
        <f t="array" ref="N390">IFERROR(INDEX(Input_ForRateCalc[],MATCH($C390&amp;" - "&amp;N$320,Input_ForRateCalc[[Cost item]:[Cost item]],0),MATCH(Calc_TUV_Net_2[[#This Row],[Decision ref]:[Decision ref]],Input_ForRateCalc[#Headers],0))*TUProp_Days_2,"-")</f>
        <v>-</v>
      </c>
      <c r="O390" s="47" t="str" cm="1">
        <f t="array" ref="O390">IFERROR(INDEX(Input_ForRateCalc[],MATCH($C390&amp;" - "&amp;O$320,Input_ForRateCalc[[Cost item]:[Cost item]],0),MATCH(Calc_TUV_Net_2[[#This Row],[Decision ref]:[Decision ref]],Input_ForRateCalc[#Headers],0))*TUProp_Days_2,"-")</f>
        <v>-</v>
      </c>
    </row>
    <row r="391" spans="3:15" hidden="1" outlineLevel="1" x14ac:dyDescent="0.25">
      <c r="C391" s="42" t="s">
        <v>411</v>
      </c>
      <c r="D391" s="60" t="str">
        <f>Calc_TU_values!$D$224</f>
        <v>VDO 2023-24 - Final</v>
      </c>
      <c r="E391" s="18" t="s">
        <v>316</v>
      </c>
      <c r="F391" s="60" t="e">
        <f>INDEX(Inputs!$H$17:$U$17,1,MATCH($D391,Inputs!$H$15:$U$15,0))</f>
        <v>#N/A</v>
      </c>
      <c r="G391" s="41"/>
      <c r="H391" s="18" t="s">
        <v>132</v>
      </c>
      <c r="I391" s="18" t="s">
        <v>65</v>
      </c>
      <c r="J391" s="42" t="s">
        <v>66</v>
      </c>
      <c r="K391" s="45">
        <f>IFERROR(SUM(K389:K390),"-")</f>
        <v>0</v>
      </c>
      <c r="L391" s="45">
        <f>IFERROR(SUM(L389:L390),"-")</f>
        <v>0</v>
      </c>
      <c r="M391" s="45">
        <f>IFERROR(SUM(M389:M390),"-")</f>
        <v>0</v>
      </c>
      <c r="N391" s="45">
        <f>IFERROR(SUM(N389:N390),"-")</f>
        <v>0</v>
      </c>
      <c r="O391" s="45">
        <f>IFERROR(SUM(O389:O390),"-")</f>
        <v>0</v>
      </c>
    </row>
    <row r="392" spans="3:15" hidden="1" outlineLevel="1" x14ac:dyDescent="0.25">
      <c r="C392" s="42" t="s">
        <v>434</v>
      </c>
      <c r="D392" s="60" t="str">
        <f>INDEX(Input_DecisionActual[[Decision]:[Decision]],MATCH(Calc_TU_values!$D$224,Input_DecisionActual[[VDO period]:[VDO period]],0),1)</f>
        <v>VDO 2022-23 - Final</v>
      </c>
      <c r="E392" s="18" t="s">
        <v>96</v>
      </c>
      <c r="F392" s="60" t="str">
        <f>IF($D392="-","-",INDEX(Inputs!$H$17:$U$17,1,MATCH($D392,Inputs!$H$15:$U$15,0)))</f>
        <v>F-PreviousVDO_Input3</v>
      </c>
      <c r="G392" s="41"/>
      <c r="H392" s="18" t="s">
        <v>132</v>
      </c>
      <c r="I392" s="18" t="s">
        <v>65</v>
      </c>
      <c r="J392" s="42" t="s">
        <v>66</v>
      </c>
      <c r="K392" s="47" t="str" cm="1">
        <f t="array" ref="K392">IFERROR(INDEX(Input_ForRateCalc[],MATCH($C392&amp;" - "&amp;K$320,Input_ForRateCalc[[Cost item]:[Cost item]],0),MATCH(Calc_TUV_Net_2[[#This Row],[Decision ref]:[Decision ref]],Input_ForRateCalc[#Headers],0))*TUProp_Days_2,"-")</f>
        <v>-</v>
      </c>
      <c r="L392" s="47" t="str" cm="1">
        <f t="array" ref="L392">IFERROR(INDEX(Input_ForRateCalc[],MATCH($C392&amp;" - "&amp;L$320,Input_ForRateCalc[[Cost item]:[Cost item]],0),MATCH(Calc_TUV_Net_2[[#This Row],[Decision ref]:[Decision ref]],Input_ForRateCalc[#Headers],0))*TUProp_Days_2,"-")</f>
        <v>-</v>
      </c>
      <c r="M392" s="47" t="str" cm="1">
        <f t="array" ref="M392">IFERROR(INDEX(Input_ForRateCalc[],MATCH($C392&amp;" - "&amp;M$320,Input_ForRateCalc[[Cost item]:[Cost item]],0),MATCH(Calc_TUV_Net_2[[#This Row],[Decision ref]:[Decision ref]],Input_ForRateCalc[#Headers],0))*TUProp_Days_2,"-")</f>
        <v>-</v>
      </c>
      <c r="N392" s="47" t="str" cm="1">
        <f t="array" ref="N392">IFERROR(INDEX(Input_ForRateCalc[],MATCH($C392&amp;" - "&amp;N$320,Input_ForRateCalc[[Cost item]:[Cost item]],0),MATCH(Calc_TUV_Net_2[[#This Row],[Decision ref]:[Decision ref]],Input_ForRateCalc[#Headers],0))*TUProp_Days_2,"-")</f>
        <v>-</v>
      </c>
      <c r="O392" s="47" t="str" cm="1">
        <f t="array" ref="O392">IFERROR(INDEX(Input_ForRateCalc[],MATCH($C392&amp;" - "&amp;O$320,Input_ForRateCalc[[Cost item]:[Cost item]],0),MATCH(Calc_TUV_Net_2[[#This Row],[Decision ref]:[Decision ref]],Input_ForRateCalc[#Headers],0))*TUProp_Days_2,"-")</f>
        <v>-</v>
      </c>
    </row>
    <row r="393" spans="3:15" hidden="1" outlineLevel="1" x14ac:dyDescent="0.25">
      <c r="C393" s="42" t="s">
        <v>357</v>
      </c>
      <c r="D393" s="60" t="str">
        <f>INDEX(Input_DecisionActual[[Decision]:[Decision]],MATCH(Calc_TU_values!$D$224,Input_DecisionActual[[VDO period]:[VDO period]],0),1)</f>
        <v>VDO 2022-23 - Final</v>
      </c>
      <c r="E393" s="18" t="s">
        <v>96</v>
      </c>
      <c r="F393" s="60" t="str">
        <f>IF($D393="-","-",INDEX(Inputs!$H$17:$U$17,1,MATCH($D393,Inputs!$H$15:$U$15,0)))</f>
        <v>F-PreviousVDO_Input3</v>
      </c>
      <c r="G393" s="41"/>
      <c r="H393" s="18" t="s">
        <v>132</v>
      </c>
      <c r="I393" s="18" t="s">
        <v>65</v>
      </c>
      <c r="J393" s="42" t="s">
        <v>66</v>
      </c>
      <c r="K393" s="47" t="str" cm="1">
        <f t="array" ref="K393">IFERROR(INDEX(Input_ForRateCalc[],MATCH($C393&amp;" - "&amp;K$320,Input_ForRateCalc[[Cost item]:[Cost item]],0),MATCH(Calc_TUV_Net_2[[#This Row],[Decision ref]:[Decision ref]],Input_ForRateCalc[#Headers],0))*TUProp_Days_2,"-")</f>
        <v>-</v>
      </c>
      <c r="L393" s="47" t="str" cm="1">
        <f t="array" ref="L393">IFERROR(INDEX(Input_ForRateCalc[],MATCH($C393&amp;" - "&amp;L$320,Input_ForRateCalc[[Cost item]:[Cost item]],0),MATCH(Calc_TUV_Net_2[[#This Row],[Decision ref]:[Decision ref]],Input_ForRateCalc[#Headers],0))*TUProp_Days_2,"-")</f>
        <v>-</v>
      </c>
      <c r="M393" s="47" t="str" cm="1">
        <f t="array" ref="M393">IFERROR(INDEX(Input_ForRateCalc[],MATCH($C393&amp;" - "&amp;M$320,Input_ForRateCalc[[Cost item]:[Cost item]],0),MATCH(Calc_TUV_Net_2[[#This Row],[Decision ref]:[Decision ref]],Input_ForRateCalc[#Headers],0))*TUProp_Days_2,"-")</f>
        <v>-</v>
      </c>
      <c r="N393" s="47" t="str" cm="1">
        <f t="array" ref="N393">IFERROR(INDEX(Input_ForRateCalc[],MATCH($C393&amp;" - "&amp;N$320,Input_ForRateCalc[[Cost item]:[Cost item]],0),MATCH(Calc_TUV_Net_2[[#This Row],[Decision ref]:[Decision ref]],Input_ForRateCalc[#Headers],0))*TUProp_Days_2,"-")</f>
        <v>-</v>
      </c>
      <c r="O393" s="47" t="str" cm="1">
        <f t="array" ref="O393">IFERROR(INDEX(Input_ForRateCalc[],MATCH($C393&amp;" - "&amp;O$320,Input_ForRateCalc[[Cost item]:[Cost item]],0),MATCH(Calc_TUV_Net_2[[#This Row],[Decision ref]:[Decision ref]],Input_ForRateCalc[#Headers],0))*TUProp_Days_2,"-")</f>
        <v>-</v>
      </c>
    </row>
    <row r="394" spans="3:15" hidden="1" outlineLevel="1" x14ac:dyDescent="0.25">
      <c r="C394" s="42" t="s">
        <v>411</v>
      </c>
      <c r="D394" s="60" t="str">
        <f>INDEX(Input_DecisionActual[[Decision]:[Decision]],MATCH(Calc_TU_values!$D$224,Input_DecisionActual[[VDO period]:[VDO period]],0),1)</f>
        <v>VDO 2022-23 - Final</v>
      </c>
      <c r="E394" s="18" t="s">
        <v>96</v>
      </c>
      <c r="F394" s="60" t="str">
        <f>IF($D394="-","-",INDEX(Inputs!$H$17:$U$17,1,MATCH($D394,Inputs!$H$15:$U$15,0)))</f>
        <v>F-PreviousVDO_Input3</v>
      </c>
      <c r="G394" s="41"/>
      <c r="H394" s="18" t="s">
        <v>132</v>
      </c>
      <c r="I394" s="18" t="s">
        <v>65</v>
      </c>
      <c r="J394" s="42" t="s">
        <v>66</v>
      </c>
      <c r="K394" s="46">
        <f>SUM(K392:K393)</f>
        <v>0</v>
      </c>
      <c r="L394" s="46">
        <f>SUM(L392:L393)</f>
        <v>0</v>
      </c>
      <c r="M394" s="46">
        <f>SUM(M392:M393)</f>
        <v>0</v>
      </c>
      <c r="N394" s="46">
        <f>SUM(N392:N393)</f>
        <v>0</v>
      </c>
      <c r="O394" s="46">
        <f>SUM(O392:O393)</f>
        <v>0</v>
      </c>
    </row>
    <row r="395" spans="3:15" hidden="1" outlineLevel="1" x14ac:dyDescent="0.25">
      <c r="C395" s="42" t="s">
        <v>412</v>
      </c>
      <c r="D395" s="18"/>
      <c r="E395" s="18"/>
      <c r="F395" s="18"/>
      <c r="G395" s="42"/>
      <c r="H395" s="18" t="s">
        <v>132</v>
      </c>
      <c r="I395" s="18" t="s">
        <v>65</v>
      </c>
      <c r="J395" s="42" t="s">
        <v>66</v>
      </c>
      <c r="K395" s="46" t="str">
        <f>IF(K394=0,"-",K391-K394)</f>
        <v>-</v>
      </c>
      <c r="L395" s="46" t="str">
        <f>IF(L394=0,"-",L391-L394)</f>
        <v>-</v>
      </c>
      <c r="M395" s="46" t="str">
        <f>IF(M394=0,"-",M391-M394)</f>
        <v>-</v>
      </c>
      <c r="N395" s="46" t="str">
        <f>IF(N394=0,"-",N391-N394)</f>
        <v>-</v>
      </c>
      <c r="O395" s="46" t="str">
        <f>IF(O394=0,"-",O391-O394)</f>
        <v>-</v>
      </c>
    </row>
    <row r="396" spans="3:15" hidden="1" outlineLevel="1" x14ac:dyDescent="0.25">
      <c r="C396" s="42" t="s">
        <v>414</v>
      </c>
      <c r="D396" s="60" t="str">
        <f>INDEX(Input_DecisionActual[[Decision]:[Decision]],MATCH(Calc_TU_values!$D$224,Input_DecisionActual[[VDO period]:[VDO period]],0),1)</f>
        <v>VDO 2022-23 - Final</v>
      </c>
      <c r="E396" s="18" t="s">
        <v>96</v>
      </c>
      <c r="F396" s="60" t="str">
        <f>IF($D396="-","-",INDEX(Inputs!$H$17:$U$17,1,MATCH($D396,Inputs!$H$15:$U$15,0)))</f>
        <v>F-PreviousVDO_Input3</v>
      </c>
      <c r="G396" s="42"/>
      <c r="H396" s="18" t="s">
        <v>132</v>
      </c>
      <c r="I396" s="18" t="s">
        <v>65</v>
      </c>
      <c r="J396" s="42" t="s">
        <v>66</v>
      </c>
      <c r="K396" s="47" cm="1">
        <f t="array" ref="K396">IFERROR(SUM(K395:K395)*(INDEX(Inputs!$H$18:$U$141,MATCH("Retail operating margin",Input_ForRateCalc[[Cost item]:[Cost item]],0),MATCH(Calc_TUV_Net_2[[#This Row],[Decision ref]:[Decision ref]],Inputs!$H$17:$U$17,0))),"-")</f>
        <v>0</v>
      </c>
      <c r="L396" s="47" cm="1">
        <f t="array" ref="L396">IFERROR(SUM(L395:L395)*(INDEX(Inputs!$H$18:$U$141,MATCH("Retail operating margin",Input_ForRateCalc[[Cost item]:[Cost item]],0),MATCH(Calc_TUV_Net_2[[#This Row],[Decision ref]:[Decision ref]],Inputs!$H$17:$U$17,0))),"-")</f>
        <v>0</v>
      </c>
      <c r="M396" s="47" cm="1">
        <f t="array" ref="M396">IFERROR(SUM(M395:M395)*(INDEX(Inputs!$H$18:$U$141,MATCH("Retail operating margin",Input_ForRateCalc[[Cost item]:[Cost item]],0),MATCH(Calc_TUV_Net_2[[#This Row],[Decision ref]:[Decision ref]],Inputs!$H$17:$U$17,0))),"-")</f>
        <v>0</v>
      </c>
      <c r="N396" s="47" cm="1">
        <f t="array" ref="N396">IFERROR(SUM(N395:N395)*(INDEX(Inputs!$H$18:$U$141,MATCH("Retail operating margin",Input_ForRateCalc[[Cost item]:[Cost item]],0),MATCH(Calc_TUV_Net_2[[#This Row],[Decision ref]:[Decision ref]],Inputs!$H$17:$U$17,0))),"-")</f>
        <v>0</v>
      </c>
      <c r="O396" s="47" cm="1">
        <f t="array" ref="O396">IFERROR(SUM(O395:O395)*(INDEX(Inputs!$H$18:$U$141,MATCH("Retail operating margin",Input_ForRateCalc[[Cost item]:[Cost item]],0),MATCH(Calc_TUV_Net_2[[#This Row],[Decision ref]:[Decision ref]],Inputs!$H$17:$U$17,0))),"-")</f>
        <v>0</v>
      </c>
    </row>
    <row r="397" spans="3:15" hidden="1" outlineLevel="1" x14ac:dyDescent="0.25">
      <c r="C397" s="42" t="s">
        <v>415</v>
      </c>
      <c r="D397" s="18"/>
      <c r="E397" s="18"/>
      <c r="F397" s="18"/>
      <c r="G397" s="42"/>
      <c r="H397" s="18" t="s">
        <v>132</v>
      </c>
      <c r="I397" s="18" t="s">
        <v>65</v>
      </c>
      <c r="J397" s="42" t="s">
        <v>66</v>
      </c>
      <c r="K397" s="47" t="str">
        <f>IF(K394=0,"-",SUM(K395:K396)*GST)</f>
        <v>-</v>
      </c>
      <c r="L397" s="47" t="str">
        <f>IF(L394=0,"-",SUM(L395:L396)*GST)</f>
        <v>-</v>
      </c>
      <c r="M397" s="47" t="str">
        <f>IF(M394=0,"-",SUM(M395:M396)*GST)</f>
        <v>-</v>
      </c>
      <c r="N397" s="47" t="str">
        <f>IF(N394=0,"-",SUM(N395:N396)*GST)</f>
        <v>-</v>
      </c>
      <c r="O397" s="47" t="str">
        <f>IF(O394=0,"-",SUM(O395:O396)*GST)</f>
        <v>-</v>
      </c>
    </row>
    <row r="398" spans="3:15" hidden="1" outlineLevel="1" x14ac:dyDescent="0.25">
      <c r="C398" s="18" t="s">
        <v>452</v>
      </c>
      <c r="D398" s="18"/>
      <c r="E398" s="18"/>
      <c r="F398" s="18"/>
      <c r="G398" s="42"/>
      <c r="H398" s="18" t="s">
        <v>132</v>
      </c>
      <c r="I398" s="18" t="s">
        <v>65</v>
      </c>
      <c r="J398" s="42" t="s">
        <v>66</v>
      </c>
      <c r="K398" s="47" t="str">
        <f>IF(K394=0,"-",SUM(K395:K397))</f>
        <v>-</v>
      </c>
      <c r="L398" s="47" t="str">
        <f>IF(L394=0,"-",SUM(L395:L397))</f>
        <v>-</v>
      </c>
      <c r="M398" s="47" t="str">
        <f>IF(M394=0,"-",SUM(M395:M397))</f>
        <v>-</v>
      </c>
      <c r="N398" s="47" t="str">
        <f>IF(N394=0,"-",SUM(N395:N397))</f>
        <v>-</v>
      </c>
      <c r="O398" s="47" t="str">
        <f>IF(O394=0,"-",SUM(O395:O397))</f>
        <v>-</v>
      </c>
    </row>
    <row r="399" spans="3:15" hidden="1" outlineLevel="1" x14ac:dyDescent="0.25">
      <c r="C399" s="42"/>
      <c r="D399" s="42"/>
      <c r="E399" s="42"/>
      <c r="F399" s="42"/>
      <c r="H399" s="42"/>
      <c r="I399" s="18"/>
      <c r="J399" s="18"/>
      <c r="K399" s="90"/>
      <c r="L399" s="90"/>
      <c r="M399" s="90"/>
      <c r="N399" s="90"/>
      <c r="O399" s="90"/>
    </row>
    <row r="400" spans="3:15" hidden="1" outlineLevel="1" x14ac:dyDescent="0.25">
      <c r="C400" s="40" t="s">
        <v>453</v>
      </c>
      <c r="D400" s="42"/>
      <c r="E400" s="42"/>
      <c r="F400" s="42"/>
      <c r="G400" s="49"/>
      <c r="H400" s="42"/>
      <c r="I400" s="18"/>
      <c r="J400" s="18"/>
      <c r="K400" s="90"/>
      <c r="L400" s="90"/>
      <c r="M400" s="90"/>
      <c r="N400" s="90"/>
      <c r="O400" s="90"/>
    </row>
    <row r="401" spans="3:15" hidden="1" outlineLevel="1" x14ac:dyDescent="0.25">
      <c r="C401" s="42" t="s">
        <v>454</v>
      </c>
      <c r="D401" s="60" t="str">
        <f>Calc_TU_values!$D$224</f>
        <v>VDO 2023-24 - Final</v>
      </c>
      <c r="E401" s="18" t="s">
        <v>316</v>
      </c>
      <c r="F401" s="60" t="e">
        <f>INDEX(Inputs!$H$17:$U$17,1,MATCH($D401,Inputs!$H$15:$U$15,0))</f>
        <v>#N/A</v>
      </c>
      <c r="G401" s="42"/>
      <c r="H401" s="18" t="s">
        <v>178</v>
      </c>
      <c r="I401" s="18" t="s">
        <v>220</v>
      </c>
      <c r="J401" s="42" t="s">
        <v>66</v>
      </c>
      <c r="K401" s="47" t="str" cm="1">
        <f t="array" ref="K401">IFERROR(INDEX(Input_ForRateCalc[],MATCH($C401&amp;" - "&amp;K$320,Input_ForRateCalc[[Cost item]:[Cost item]],0),MATCH(Calc_TUV_Net_2[[#This Row],[Decision ref]:[Decision ref]],Input_ForRateCalc[#Headers],0)),"-")</f>
        <v>-</v>
      </c>
      <c r="L401" s="47" t="str" cm="1">
        <f t="array" ref="L401">IFERROR(INDEX(Input_ForRateCalc[],MATCH($C401&amp;" - "&amp;L$320,Input_ForRateCalc[[Cost item]:[Cost item]],0),MATCH(Calc_TUV_Net_2[[#This Row],[Decision ref]:[Decision ref]],Input_ForRateCalc[#Headers],0)),"-")</f>
        <v>-</v>
      </c>
      <c r="M401" s="47" t="str" cm="1">
        <f t="array" ref="M401">IFERROR(INDEX(Input_ForRateCalc[],MATCH($C401&amp;" - "&amp;M$320,Input_ForRateCalc[[Cost item]:[Cost item]],0),MATCH(Calc_TUV_Net_2[[#This Row],[Decision ref]:[Decision ref]],Input_ForRateCalc[#Headers],0)),"-")</f>
        <v>-</v>
      </c>
      <c r="N401" s="47" t="str" cm="1">
        <f t="array" ref="N401">IFERROR(INDEX(Input_ForRateCalc[],MATCH($C401&amp;" - "&amp;N$320,Input_ForRateCalc[[Cost item]:[Cost item]],0),MATCH(Calc_TUV_Net_2[[#This Row],[Decision ref]:[Decision ref]],Input_ForRateCalc[#Headers],0)),"-")</f>
        <v>-</v>
      </c>
      <c r="O401" s="47" t="str" cm="1">
        <f t="array" ref="O401">IFERROR(INDEX(Input_ForRateCalc[],MATCH($C401&amp;" - "&amp;O$320,Input_ForRateCalc[[Cost item]:[Cost item]],0),MATCH(Calc_TUV_Net_2[[#This Row],[Decision ref]:[Decision ref]],Input_ForRateCalc[#Headers],0)),"-")</f>
        <v>-</v>
      </c>
    </row>
    <row r="402" spans="3:15" hidden="1" outlineLevel="1" x14ac:dyDescent="0.25">
      <c r="C402" s="42" t="s">
        <v>455</v>
      </c>
      <c r="D402" s="60" t="str">
        <f>Calc_TU_values!$D$224</f>
        <v>VDO 2023-24 - Final</v>
      </c>
      <c r="E402" s="18" t="s">
        <v>316</v>
      </c>
      <c r="F402" s="60" t="e">
        <f>INDEX(Inputs!$H$17:$U$17,1,MATCH($D402,Inputs!$H$15:$U$15,0))</f>
        <v>#N/A</v>
      </c>
      <c r="G402" s="49"/>
      <c r="H402" s="18" t="s">
        <v>178</v>
      </c>
      <c r="I402" s="18" t="s">
        <v>220</v>
      </c>
      <c r="J402" s="42" t="s">
        <v>66</v>
      </c>
      <c r="K402" s="47" t="str" cm="1">
        <f t="array" ref="K402">IFERROR(INDEX(Input_ForRateCalc[],MATCH($C402&amp;" - "&amp;K$320,Input_ForRateCalc[[Cost item]:[Cost item]],0),MATCH(Calc_TUV_Net_2[[#This Row],[Decision ref]:[Decision ref]],Input_ForRateCalc[#Headers],0)),"-")</f>
        <v>-</v>
      </c>
      <c r="L402" s="47" t="str" cm="1">
        <f t="array" ref="L402">IFERROR(INDEX(Input_ForRateCalc[],MATCH($C402&amp;" - "&amp;L$320,Input_ForRateCalc[[Cost item]:[Cost item]],0),MATCH(Calc_TUV_Net_2[[#This Row],[Decision ref]:[Decision ref]],Input_ForRateCalc[#Headers],0)),"-")</f>
        <v>-</v>
      </c>
      <c r="M402" s="47" t="str" cm="1">
        <f t="array" ref="M402">IFERROR(INDEX(Input_ForRateCalc[],MATCH($C402&amp;" - "&amp;M$320,Input_ForRateCalc[[Cost item]:[Cost item]],0),MATCH(Calc_TUV_Net_2[[#This Row],[Decision ref]:[Decision ref]],Input_ForRateCalc[#Headers],0)),"-")</f>
        <v>-</v>
      </c>
      <c r="N402" s="47" t="str" cm="1">
        <f t="array" ref="N402">IFERROR(INDEX(Input_ForRateCalc[],MATCH($C402&amp;" - "&amp;N$320,Input_ForRateCalc[[Cost item]:[Cost item]],0),MATCH(Calc_TUV_Net_2[[#This Row],[Decision ref]:[Decision ref]],Input_ForRateCalc[#Headers],0)),"-")</f>
        <v>-</v>
      </c>
      <c r="O402" s="47" t="str" cm="1">
        <f t="array" ref="O402">IFERROR(INDEX(Input_ForRateCalc[],MATCH($C402&amp;" - "&amp;O$320,Input_ForRateCalc[[Cost item]:[Cost item]],0),MATCH(Calc_TUV_Net_2[[#This Row],[Decision ref]:[Decision ref]],Input_ForRateCalc[#Headers],0)),"-")</f>
        <v>-</v>
      </c>
    </row>
    <row r="403" spans="3:15" hidden="1" outlineLevel="1" x14ac:dyDescent="0.25">
      <c r="C403" s="42" t="s">
        <v>411</v>
      </c>
      <c r="D403" s="60" t="str">
        <f>Calc_TU_values!$D$224</f>
        <v>VDO 2023-24 - Final</v>
      </c>
      <c r="E403" s="18" t="s">
        <v>316</v>
      </c>
      <c r="F403" s="60" t="e">
        <f>INDEX(Inputs!$H$17:$U$17,1,MATCH($D403,Inputs!$H$15:$U$15,0))</f>
        <v>#N/A</v>
      </c>
      <c r="G403" s="41"/>
      <c r="H403" s="18" t="s">
        <v>178</v>
      </c>
      <c r="I403" s="18" t="s">
        <v>220</v>
      </c>
      <c r="J403" s="42" t="s">
        <v>66</v>
      </c>
      <c r="K403" s="48">
        <f>SUMIFS(TUNet_Usage_Actual_2[Value],TUNet_Usage_Actual_2[Customer type],Calc_TUV_Net_2[[#This Row],[Customer type]],TUNet_Usage_Actual_2[Description],"Usage per customer")*SUM(
IFERROR(K401/100*SUMIFS(#REF!,#REF!,Calc_TUV_Net_2[[#This Row],[Customer type]],#REF!,"Peak"),0),
IFERROR(K402/100*SUMIFS(#REF!,#REF!,Calc_TUV_Net_2[[#This Row],[Customer type]],#REF!,"Off peak"),0))</f>
        <v>0</v>
      </c>
      <c r="L403" s="48">
        <f>SUMIFS(TUNet_Usage_Actual_2[Value],TUNet_Usage_Actual_2[Customer type],Calc_TUV_Net_2[[#This Row],[Customer type]],TUNet_Usage_Actual_2[Description],"Usage per customer")*SUM(
IFERROR(L401/100*SUMIFS(#REF!,#REF!,Calc_TUV_Net_2[[#This Row],[Customer type]],#REF!,"Peak"),0),
IFERROR(L402/100*SUMIFS(#REF!,#REF!,Calc_TUV_Net_2[[#This Row],[Customer type]],#REF!,"Off peak"),0))</f>
        <v>0</v>
      </c>
      <c r="M403" s="48">
        <f>SUMIFS(TUNet_Usage_Actual_2[Value],TUNet_Usage_Actual_2[Customer type],Calc_TUV_Net_2[[#This Row],[Customer type]],TUNet_Usage_Actual_2[Description],"Usage per customer")*SUM(
IFERROR(M401/100*SUMIFS(#REF!,#REF!,Calc_TUV_Net_2[[#This Row],[Customer type]],#REF!,"Peak"),0),
IFERROR(M402/100*SUMIFS(#REF!,#REF!,Calc_TUV_Net_2[[#This Row],[Customer type]],#REF!,"Off peak"),0))</f>
        <v>0</v>
      </c>
      <c r="N403" s="48">
        <f>SUMIFS(TUNet_Usage_Actual_2[Value],TUNet_Usage_Actual_2[Customer type],Calc_TUV_Net_2[[#This Row],[Customer type]],TUNet_Usage_Actual_2[Description],"Usage per customer")*SUM(
IFERROR(N401/100*SUMIFS(#REF!,#REF!,Calc_TUV_Net_2[[#This Row],[Customer type]],#REF!,"Peak"),0),
IFERROR(N402/100*SUMIFS(#REF!,#REF!,Calc_TUV_Net_2[[#This Row],[Customer type]],#REF!,"Off peak"),0))</f>
        <v>0</v>
      </c>
      <c r="O403" s="48">
        <f>SUMIFS(TUNet_Usage_Actual_2[Value],TUNet_Usage_Actual_2[Customer type],Calc_TUV_Net_2[[#This Row],[Customer type]],TUNet_Usage_Actual_2[Description],"Usage per customer")*SUM(
IFERROR(O401/100*SUMIFS(#REF!,#REF!,Calc_TUV_Net_2[[#This Row],[Customer type]],#REF!,"Peak"),0),
IFERROR(O402/100*SUMIFS(#REF!,#REF!,Calc_TUV_Net_2[[#This Row],[Customer type]],#REF!,"Off peak"),0))</f>
        <v>0</v>
      </c>
    </row>
    <row r="404" spans="3:15" hidden="1" outlineLevel="1" x14ac:dyDescent="0.25">
      <c r="C404" s="42" t="s">
        <v>437</v>
      </c>
      <c r="D404" s="60" t="str">
        <f>INDEX(Input_DecisionActual[[Decision]:[Decision]],MATCH(Calc_TU_values!$D$224,Input_DecisionActual[[VDO period]:[VDO period]],0),1)</f>
        <v>VDO 2022-23 - Final</v>
      </c>
      <c r="E404" s="18" t="s">
        <v>96</v>
      </c>
      <c r="F404" s="60" t="str">
        <f>IF($D404="-","-",INDEX(Inputs!$H$17:$U$17,1,MATCH($D404,Inputs!$H$15:$U$15,0)))</f>
        <v>F-PreviousVDO_Input3</v>
      </c>
      <c r="G404" s="41"/>
      <c r="H404" s="18" t="s">
        <v>178</v>
      </c>
      <c r="I404" s="18" t="s">
        <v>65</v>
      </c>
      <c r="J404" s="42" t="s">
        <v>66</v>
      </c>
      <c r="K404" s="47" cm="1">
        <f t="array" ref="K404">IFERROR(INDEX(Input_ForRateCalc[],MATCH($C404&amp;" - "&amp;K$320,Input_ForRateCalc[[Cost item]:[Cost item]],0),MATCH(Calc_TUV_Net_2[[#This Row],[Decision ref]:[Decision ref]],Input_ForRateCalc[#Headers],0)),"-")</f>
        <v>12.7212</v>
      </c>
      <c r="L404" s="47" t="str" cm="1">
        <f t="array" ref="L404">IFERROR(INDEX(Input_ForRateCalc[],MATCH($C404&amp;" - "&amp;L$320,Input_ForRateCalc[[Cost item]:[Cost item]],0),MATCH(Calc_TUV_Net_2[[#This Row],[Decision ref]:[Decision ref]],Input_ForRateCalc[#Headers],0)),"-")</f>
        <v>-</v>
      </c>
      <c r="M404" s="47" t="str" cm="1">
        <f t="array" ref="M404">IFERROR(INDEX(Input_ForRateCalc[],MATCH($C404&amp;" - "&amp;M$320,Input_ForRateCalc[[Cost item]:[Cost item]],0),MATCH(Calc_TUV_Net_2[[#This Row],[Decision ref]:[Decision ref]],Input_ForRateCalc[#Headers],0)),"-")</f>
        <v>-</v>
      </c>
      <c r="N404" s="47" t="str" cm="1">
        <f t="array" ref="N404">IFERROR(INDEX(Input_ForRateCalc[],MATCH($C404&amp;" - "&amp;N$320,Input_ForRateCalc[[Cost item]:[Cost item]],0),MATCH(Calc_TUV_Net_2[[#This Row],[Decision ref]:[Decision ref]],Input_ForRateCalc[#Headers],0)),"-")</f>
        <v>-</v>
      </c>
      <c r="O404" s="47" t="str" cm="1">
        <f t="array" ref="O404">IFERROR(INDEX(Input_ForRateCalc[],MATCH($C404&amp;" - "&amp;O$320,Input_ForRateCalc[[Cost item]:[Cost item]],0),MATCH(Calc_TUV_Net_2[[#This Row],[Decision ref]:[Decision ref]],Input_ForRateCalc[#Headers],0)),"-")</f>
        <v>-</v>
      </c>
    </row>
    <row r="405" spans="3:15" hidden="1" outlineLevel="1" x14ac:dyDescent="0.25">
      <c r="C405" s="42" t="s">
        <v>438</v>
      </c>
      <c r="D405" s="60" t="str">
        <f>INDEX(Input_DecisionActual[[Decision]:[Decision]],MATCH(Calc_TU_values!$D$224,Input_DecisionActual[[VDO period]:[VDO period]],0),1)</f>
        <v>VDO 2022-23 - Final</v>
      </c>
      <c r="E405" s="18" t="s">
        <v>96</v>
      </c>
      <c r="F405" s="60" t="str">
        <f>IF($D405="-","-",INDEX(Inputs!$H$17:$U$17,1,MATCH($D405,Inputs!$H$15:$U$15,0)))</f>
        <v>F-PreviousVDO_Input3</v>
      </c>
      <c r="G405" s="41"/>
      <c r="H405" s="18" t="s">
        <v>178</v>
      </c>
      <c r="I405" s="18" t="s">
        <v>220</v>
      </c>
      <c r="J405" s="42" t="s">
        <v>66</v>
      </c>
      <c r="K405" s="47" cm="1">
        <f t="array" ref="K405">IFERROR(INDEX(Input_ForRateCalc[],MATCH($C405&amp;" - "&amp;K$320,Input_ForRateCalc[[Cost item]:[Cost item]],0),MATCH(Calc_TUV_Net_2[[#This Row],[Decision ref]:[Decision ref]],Input_ForRateCalc[#Headers],0)),"-")</f>
        <v>14.2392</v>
      </c>
      <c r="L405" s="47" t="str" cm="1">
        <f t="array" ref="L405">IFERROR(INDEX(Input_ForRateCalc[],MATCH($C405&amp;" - "&amp;L$320,Input_ForRateCalc[[Cost item]:[Cost item]],0),MATCH(Calc_TUV_Net_2[[#This Row],[Decision ref]:[Decision ref]],Input_ForRateCalc[#Headers],0)),"-")</f>
        <v>-</v>
      </c>
      <c r="M405" s="47" t="str" cm="1">
        <f t="array" ref="M405">IFERROR(INDEX(Input_ForRateCalc[],MATCH($C405&amp;" - "&amp;M$320,Input_ForRateCalc[[Cost item]:[Cost item]],0),MATCH(Calc_TUV_Net_2[[#This Row],[Decision ref]:[Decision ref]],Input_ForRateCalc[#Headers],0)),"-")</f>
        <v>-</v>
      </c>
      <c r="N405" s="47" t="str" cm="1">
        <f t="array" ref="N405">IFERROR(INDEX(Input_ForRateCalc[],MATCH($C405&amp;" - "&amp;N$320,Input_ForRateCalc[[Cost item]:[Cost item]],0),MATCH(Calc_TUV_Net_2[[#This Row],[Decision ref]:[Decision ref]],Input_ForRateCalc[#Headers],0)),"-")</f>
        <v>-</v>
      </c>
      <c r="O405" s="47" t="str" cm="1">
        <f t="array" ref="O405">IFERROR(INDEX(Input_ForRateCalc[],MATCH($C405&amp;" - "&amp;O$320,Input_ForRateCalc[[Cost item]:[Cost item]],0),MATCH(Calc_TUV_Net_2[[#This Row],[Decision ref]:[Decision ref]],Input_ForRateCalc[#Headers],0)),"-")</f>
        <v>-</v>
      </c>
    </row>
    <row r="406" spans="3:15" hidden="1" outlineLevel="1" x14ac:dyDescent="0.25">
      <c r="C406" s="42" t="s">
        <v>439</v>
      </c>
      <c r="D406" s="60" t="str">
        <f>INDEX(Input_DecisionActual[[Decision]:[Decision]],MATCH(Calc_TU_values!$D$224,Input_DecisionActual[[VDO period]:[VDO period]],0),1)</f>
        <v>VDO 2022-23 - Final</v>
      </c>
      <c r="E406" s="18" t="s">
        <v>96</v>
      </c>
      <c r="F406" s="60" t="str">
        <f>IF($D406="-","-",INDEX(Inputs!$H$17:$U$17,1,MATCH($D406,Inputs!$H$15:$U$15,0)))</f>
        <v>F-PreviousVDO_Input3</v>
      </c>
      <c r="G406" s="41"/>
      <c r="H406" s="18" t="s">
        <v>178</v>
      </c>
      <c r="I406" s="18" t="s">
        <v>220</v>
      </c>
      <c r="J406" s="42" t="s">
        <v>66</v>
      </c>
      <c r="K406" s="47" t="str" cm="1">
        <f t="array" ref="K406">IFERROR(INDEX(Input_ForRateCalc[],MATCH($C406&amp;" - "&amp;K$320,Input_ForRateCalc[[Cost item]:[Cost item]],0),MATCH(Calc_TUV_Net_2[[#This Row],[Decision ref]:[Decision ref]],Input_ForRateCalc[#Headers],0)),"-")</f>
        <v>-</v>
      </c>
      <c r="L406" s="47" cm="1">
        <f t="array" ref="L406">IFERROR(INDEX(Input_ForRateCalc[],MATCH($C406&amp;" - "&amp;L$320,Input_ForRateCalc[[Cost item]:[Cost item]],0),MATCH(Calc_TUV_Net_2[[#This Row],[Decision ref]:[Decision ref]],Input_ForRateCalc[#Headers],0)),"-")</f>
        <v>7.4</v>
      </c>
      <c r="M406" s="47" cm="1">
        <f t="array" ref="M406">IFERROR(INDEX(Input_ForRateCalc[],MATCH($C406&amp;" - "&amp;M$320,Input_ForRateCalc[[Cost item]:[Cost item]],0),MATCH(Calc_TUV_Net_2[[#This Row],[Decision ref]:[Decision ref]],Input_ForRateCalc[#Headers],0)),"-")</f>
        <v>8.2509999999999994</v>
      </c>
      <c r="N406" s="47" cm="1">
        <f t="array" ref="N406">IFERROR(INDEX(Input_ForRateCalc[],MATCH($C406&amp;" - "&amp;N$320,Input_ForRateCalc[[Cost item]:[Cost item]],0),MATCH(Calc_TUV_Net_2[[#This Row],[Decision ref]:[Decision ref]],Input_ForRateCalc[#Headers],0)),"-")</f>
        <v>8.15</v>
      </c>
      <c r="O406" s="47" cm="1">
        <f t="array" ref="O406">IFERROR(INDEX(Input_ForRateCalc[],MATCH($C406&amp;" - "&amp;O$320,Input_ForRateCalc[[Cost item]:[Cost item]],0),MATCH(Calc_TUV_Net_2[[#This Row],[Decision ref]:[Decision ref]],Input_ForRateCalc[#Headers],0)),"-")</f>
        <v>8.3000000000000007</v>
      </c>
    </row>
    <row r="407" spans="3:15" hidden="1" outlineLevel="1" x14ac:dyDescent="0.25">
      <c r="C407" s="42" t="s">
        <v>411</v>
      </c>
      <c r="D407" s="60" t="str">
        <f>INDEX(Input_DecisionActual[[Decision]:[Decision]],MATCH(Calc_TU_values!$D$224,Input_DecisionActual[[VDO period]:[VDO period]],0),1)</f>
        <v>VDO 2022-23 - Final</v>
      </c>
      <c r="E407" s="18" t="s">
        <v>96</v>
      </c>
      <c r="F407" s="60" t="str">
        <f>IF($D407="-","-",INDEX(Inputs!$H$17:$U$17,1,MATCH($D407,Inputs!$H$15:$U$15,0)))</f>
        <v>F-PreviousVDO_Input3</v>
      </c>
      <c r="G407" s="41"/>
      <c r="H407" s="18" t="s">
        <v>178</v>
      </c>
      <c r="I407" s="18" t="s">
        <v>220</v>
      </c>
      <c r="J407" s="42" t="s">
        <v>66</v>
      </c>
      <c r="K407" s="48">
        <f>SUM(
IFERROR(K404/100*SUMIFS(INDEX(TUNet_Usage_PerRate_2[],0,MATCH(K$320,TUNet_Usage_PerRate_2[#Headers],0)),TUNet_Usage_PerRate_2[Customer type],Calc_TUV_Net_2[[#This Row],[Customer type]],TUNet_Usage_PerRate_2[Description],"Usage per customer - Block 1"),0),
IFERROR(K405/100*SUMIFS(INDEX(TUNet_Usage_PerRate_2[],0,MATCH(K$320,TUNet_Usage_PerRate_2[#Headers],0)),TUNet_Usage_PerRate_2[Customer type],Calc_TUV_Net_2[[#This Row],[Customer type]],TUNet_Usage_PerRate_2[Description],"Usage per customer - Balance"),0),
IFERROR(K406/100*SUMIFS(INDEX(TUNet_Usage_PerRate_2[],0,MATCH(K$320,TUNet_Usage_PerRate_2[#Headers],0)),TUNet_Usage_PerRate_2[Customer type],Calc_TUV_Net_2[[#This Row],[Customer type]],TUNet_Usage_PerRate_2[Description],"Usage per customer - Single rate"),0))</f>
        <v>0</v>
      </c>
      <c r="L407" s="48">
        <f>SUM(
IFERROR(L404/100*SUMIFS(INDEX(TUNet_Usage_PerRate_2[],0,MATCH(L$320,TUNet_Usage_PerRate_2[#Headers],0)),TUNet_Usage_PerRate_2[Customer type],Calc_TUV_Net_2[[#This Row],[Customer type]],TUNet_Usage_PerRate_2[Description],"Usage per customer - Block 1"),0),
IFERROR(L405/100*SUMIFS(INDEX(TUNet_Usage_PerRate_2[],0,MATCH(L$320,TUNet_Usage_PerRate_2[#Headers],0)),TUNet_Usage_PerRate_2[Customer type],Calc_TUV_Net_2[[#This Row],[Customer type]],TUNet_Usage_PerRate_2[Description],"Usage per customer - Balance"),0),
IFERROR(L406/100*SUMIFS(INDEX(TUNet_Usage_PerRate_2[],0,MATCH(L$320,TUNet_Usage_PerRate_2[#Headers],0)),TUNet_Usage_PerRate_2[Customer type],Calc_TUV_Net_2[[#This Row],[Customer type]],TUNet_Usage_PerRate_2[Description],"Usage per customer - Single rate"),0))</f>
        <v>0</v>
      </c>
      <c r="M407" s="48">
        <f>SUM(
IFERROR(M404/100*SUMIFS(INDEX(TUNet_Usage_PerRate_2[],0,MATCH(M$320,TUNet_Usage_PerRate_2[#Headers],0)),TUNet_Usage_PerRate_2[Customer type],Calc_TUV_Net_2[[#This Row],[Customer type]],TUNet_Usage_PerRate_2[Description],"Usage per customer - Block 1"),0),
IFERROR(M405/100*SUMIFS(INDEX(TUNet_Usage_PerRate_2[],0,MATCH(M$320,TUNet_Usage_PerRate_2[#Headers],0)),TUNet_Usage_PerRate_2[Customer type],Calc_TUV_Net_2[[#This Row],[Customer type]],TUNet_Usage_PerRate_2[Description],"Usage per customer - Balance"),0),
IFERROR(M406/100*SUMIFS(INDEX(TUNet_Usage_PerRate_2[],0,MATCH(M$320,TUNet_Usage_PerRate_2[#Headers],0)),TUNet_Usage_PerRate_2[Customer type],Calc_TUV_Net_2[[#This Row],[Customer type]],TUNet_Usage_PerRate_2[Description],"Usage per customer - Single rate"),0))</f>
        <v>0</v>
      </c>
      <c r="N407" s="48">
        <f>SUM(
IFERROR(N404/100*SUMIFS(INDEX(TUNet_Usage_PerRate_2[],0,MATCH(N$320,TUNet_Usage_PerRate_2[#Headers],0)),TUNet_Usage_PerRate_2[Customer type],Calc_TUV_Net_2[[#This Row],[Customer type]],TUNet_Usage_PerRate_2[Description],"Usage per customer - Block 1"),0),
IFERROR(N405/100*SUMIFS(INDEX(TUNet_Usage_PerRate_2[],0,MATCH(N$320,TUNet_Usage_PerRate_2[#Headers],0)),TUNet_Usage_PerRate_2[Customer type],Calc_TUV_Net_2[[#This Row],[Customer type]],TUNet_Usage_PerRate_2[Description],"Usage per customer - Balance"),0),
IFERROR(N406/100*SUMIFS(INDEX(TUNet_Usage_PerRate_2[],0,MATCH(N$320,TUNet_Usage_PerRate_2[#Headers],0)),TUNet_Usage_PerRate_2[Customer type],Calc_TUV_Net_2[[#This Row],[Customer type]],TUNet_Usage_PerRate_2[Description],"Usage per customer - Single rate"),0))</f>
        <v>0</v>
      </c>
      <c r="O407" s="48">
        <f>SUM(
IFERROR(O404/100*SUMIFS(INDEX(TUNet_Usage_PerRate_2[],0,MATCH(O$320,TUNet_Usage_PerRate_2[#Headers],0)),TUNet_Usage_PerRate_2[Customer type],Calc_TUV_Net_2[[#This Row],[Customer type]],TUNet_Usage_PerRate_2[Description],"Usage per customer - Block 1"),0),
IFERROR(O405/100*SUMIFS(INDEX(TUNet_Usage_PerRate_2[],0,MATCH(O$320,TUNet_Usage_PerRate_2[#Headers],0)),TUNet_Usage_PerRate_2[Customer type],Calc_TUV_Net_2[[#This Row],[Customer type]],TUNet_Usage_PerRate_2[Description],"Usage per customer - Balance"),0),
IFERROR(O406/100*SUMIFS(INDEX(TUNet_Usage_PerRate_2[],0,MATCH(O$320,TUNet_Usage_PerRate_2[#Headers],0)),TUNet_Usage_PerRate_2[Customer type],Calc_TUV_Net_2[[#This Row],[Customer type]],TUNet_Usage_PerRate_2[Description],"Usage per customer - Single rate"),0))</f>
        <v>0</v>
      </c>
    </row>
    <row r="408" spans="3:15" hidden="1" outlineLevel="1" x14ac:dyDescent="0.25">
      <c r="C408" s="42" t="s">
        <v>412</v>
      </c>
      <c r="D408" s="42"/>
      <c r="E408" s="42"/>
      <c r="F408" s="42"/>
      <c r="G408" s="42"/>
      <c r="H408" s="18" t="s">
        <v>178</v>
      </c>
      <c r="I408" s="18" t="s">
        <v>65</v>
      </c>
      <c r="J408" s="42" t="s">
        <v>66</v>
      </c>
      <c r="K408" s="46" t="str">
        <f>IF(K407=0,"-",K403-K407)</f>
        <v>-</v>
      </c>
      <c r="L408" s="46" t="str">
        <f>IF(L407=0,"-",L403-L407)</f>
        <v>-</v>
      </c>
      <c r="M408" s="46" t="str">
        <f>IF(M407=0,"-",M403-M407)</f>
        <v>-</v>
      </c>
      <c r="N408" s="46" t="str">
        <f>IF(N407=0,"-",N403-N407)</f>
        <v>-</v>
      </c>
      <c r="O408" s="46" t="str">
        <f>IF(O407=0,"-",O403-O407)</f>
        <v>-</v>
      </c>
    </row>
    <row r="409" spans="3:15" hidden="1" outlineLevel="1" x14ac:dyDescent="0.25">
      <c r="C409" s="42" t="s">
        <v>414</v>
      </c>
      <c r="D409" s="60" t="str">
        <f>INDEX(Input_DecisionActual[[Decision]:[Decision]],MATCH(Calc_TU_values!$D$224,Input_DecisionActual[[VDO period]:[VDO period]],0),1)</f>
        <v>VDO 2022-23 - Final</v>
      </c>
      <c r="E409" s="18" t="s">
        <v>96</v>
      </c>
      <c r="F409" s="60" t="str">
        <f>IF($D409="-","-",INDEX(Inputs!$H$17:$U$17,1,MATCH($D409,Inputs!$H$15:$U$15,0)))</f>
        <v>F-PreviousVDO_Input3</v>
      </c>
      <c r="G409" s="42"/>
      <c r="H409" s="18" t="s">
        <v>178</v>
      </c>
      <c r="I409" s="18" t="s">
        <v>65</v>
      </c>
      <c r="J409" s="42" t="s">
        <v>66</v>
      </c>
      <c r="K409" s="47" cm="1">
        <f t="array" ref="K409">IFERROR(SUM(K408:K408)*(INDEX(Inputs!$H$18:$U$141,MATCH("Retail operating margin",Input_ForRateCalc[[Cost item]:[Cost item]],0),MATCH(Calc_TUV_Net_2[[#This Row],[Decision ref]:[Decision ref]],Inputs!$H$17:$U$17,0))),"-")</f>
        <v>0</v>
      </c>
      <c r="L409" s="47" cm="1">
        <f t="array" ref="L409">IFERROR(SUM(L408:L408)*(INDEX(Inputs!$H$18:$U$141,MATCH("Retail operating margin",Input_ForRateCalc[[Cost item]:[Cost item]],0),MATCH(Calc_TUV_Net_2[[#This Row],[Decision ref]:[Decision ref]],Inputs!$H$17:$U$17,0))),"-")</f>
        <v>0</v>
      </c>
      <c r="M409" s="47" cm="1">
        <f t="array" ref="M409">IFERROR(SUM(M408:M408)*(INDEX(Inputs!$H$18:$U$141,MATCH("Retail operating margin",Input_ForRateCalc[[Cost item]:[Cost item]],0),MATCH(Calc_TUV_Net_2[[#This Row],[Decision ref]:[Decision ref]],Inputs!$H$17:$U$17,0))),"-")</f>
        <v>0</v>
      </c>
      <c r="N409" s="47" cm="1">
        <f t="array" ref="N409">IFERROR(SUM(N408:N408)*(INDEX(Inputs!$H$18:$U$141,MATCH("Retail operating margin",Input_ForRateCalc[[Cost item]:[Cost item]],0),MATCH(Calc_TUV_Net_2[[#This Row],[Decision ref]:[Decision ref]],Inputs!$H$17:$U$17,0))),"-")</f>
        <v>0</v>
      </c>
      <c r="O409" s="47" cm="1">
        <f t="array" ref="O409">IFERROR(SUM(O408:O408)*(INDEX(Inputs!$H$18:$U$141,MATCH("Retail operating margin",Input_ForRateCalc[[Cost item]:[Cost item]],0),MATCH(Calc_TUV_Net_2[[#This Row],[Decision ref]:[Decision ref]],Inputs!$H$17:$U$17,0))),"-")</f>
        <v>0</v>
      </c>
    </row>
    <row r="410" spans="3:15" hidden="1" outlineLevel="1" x14ac:dyDescent="0.25">
      <c r="C410" s="42" t="s">
        <v>415</v>
      </c>
      <c r="D410" s="42"/>
      <c r="E410" s="42"/>
      <c r="F410" s="42"/>
      <c r="G410" s="42"/>
      <c r="H410" s="18" t="s">
        <v>178</v>
      </c>
      <c r="I410" s="18" t="s">
        <v>65</v>
      </c>
      <c r="J410" s="42" t="s">
        <v>66</v>
      </c>
      <c r="K410" s="47" t="str">
        <f>IF(K407=0,"-",SUM(K408:K409)*GST)</f>
        <v>-</v>
      </c>
      <c r="L410" s="47" t="str">
        <f>IF(L407=0,"-",SUM(L408:L409)*GST)</f>
        <v>-</v>
      </c>
      <c r="M410" s="47" t="str">
        <f>IF(M407=0,"-",SUM(M408:M409)*GST)</f>
        <v>-</v>
      </c>
      <c r="N410" s="47" t="str">
        <f>IF(N407=0,"-",SUM(N408:N409)*GST)</f>
        <v>-</v>
      </c>
      <c r="O410" s="47" t="str">
        <f>IF(O407=0,"-",SUM(O408:O409)*GST)</f>
        <v>-</v>
      </c>
    </row>
    <row r="411" spans="3:15" hidden="1" outlineLevel="1" x14ac:dyDescent="0.25">
      <c r="C411" s="18" t="s">
        <v>456</v>
      </c>
      <c r="D411" s="42"/>
      <c r="E411" s="42"/>
      <c r="F411" s="42"/>
      <c r="H411" s="18" t="s">
        <v>178</v>
      </c>
      <c r="I411" s="18" t="s">
        <v>65</v>
      </c>
      <c r="J411" s="42" t="s">
        <v>66</v>
      </c>
      <c r="K411" s="47" t="str">
        <f>IF(K407=0,"-",SUM(K408:K410))</f>
        <v>-</v>
      </c>
      <c r="L411" s="47" t="str">
        <f>IF(L407=0,"-",SUM(L408:L410))</f>
        <v>-</v>
      </c>
      <c r="M411" s="47" t="str">
        <f>IF(M407=0,"-",SUM(M408:M410))</f>
        <v>-</v>
      </c>
      <c r="N411" s="47" t="str">
        <f>IF(N407=0,"-",SUM(N408:N410))</f>
        <v>-</v>
      </c>
      <c r="O411" s="47" t="str">
        <f>IF(O407=0,"-",SUM(O408:O410))</f>
        <v>-</v>
      </c>
    </row>
    <row r="412" spans="3:15" hidden="1" outlineLevel="1" x14ac:dyDescent="0.25">
      <c r="C412" s="42"/>
      <c r="D412" s="42"/>
      <c r="E412" s="42"/>
      <c r="F412" s="42"/>
      <c r="G412" s="42"/>
      <c r="H412" s="18"/>
      <c r="I412" s="18"/>
      <c r="J412" s="42"/>
      <c r="K412" s="47"/>
      <c r="L412" s="47"/>
      <c r="M412" s="47"/>
      <c r="N412" s="47"/>
      <c r="O412" s="47"/>
    </row>
    <row r="413" spans="3:15" ht="15.75" hidden="1" outlineLevel="1" x14ac:dyDescent="0.25">
      <c r="C413" s="1" t="s">
        <v>313</v>
      </c>
      <c r="D413" s="42"/>
      <c r="E413" s="42"/>
      <c r="F413" s="42"/>
      <c r="G413" s="30" t="str">
        <f>INDEX(Input_TU_YesNo[],MATCH(Calc_TUV_Net_2[[#This Row],[Cost item]],Input_TU_YesNo[Component],0),MATCH($D$224,Inputs!$C$210:$BM$210,0))</f>
        <v>No</v>
      </c>
      <c r="H413" s="42"/>
      <c r="I413" s="18"/>
      <c r="J413" s="18"/>
      <c r="K413" s="46"/>
      <c r="L413" s="18"/>
      <c r="M413" s="18"/>
      <c r="N413" s="18"/>
      <c r="O413" s="18"/>
    </row>
    <row r="414" spans="3:15" hidden="1" outlineLevel="1" x14ac:dyDescent="0.25">
      <c r="C414" s="40" t="s">
        <v>457</v>
      </c>
      <c r="D414" s="40"/>
      <c r="E414" s="40"/>
      <c r="F414" s="40"/>
      <c r="G414" s="49"/>
      <c r="H414" s="49"/>
      <c r="I414" s="18"/>
      <c r="J414" s="18"/>
      <c r="K414" s="46"/>
      <c r="L414" s="18"/>
      <c r="M414" s="18"/>
      <c r="N414" s="18"/>
      <c r="O414" s="18"/>
    </row>
    <row r="415" spans="3:15" hidden="1" outlineLevel="1" x14ac:dyDescent="0.25">
      <c r="C415" s="42" t="s">
        <v>458</v>
      </c>
      <c r="D415" s="60" t="str">
        <f>Calc_TU_values!$D$224</f>
        <v>VDO 2023-24 - Final</v>
      </c>
      <c r="E415" s="18" t="s">
        <v>316</v>
      </c>
      <c r="F415" s="60" t="e">
        <f>INDEX(Inputs!$H$17:$U$17,1,MATCH($D415,Inputs!$H$15:$U$15,0))</f>
        <v>#N/A</v>
      </c>
      <c r="G415" s="41"/>
      <c r="H415" s="18" t="s">
        <v>132</v>
      </c>
      <c r="I415" s="18" t="s">
        <v>65</v>
      </c>
      <c r="J415" s="42" t="s">
        <v>67</v>
      </c>
      <c r="K415" s="47" t="str" cm="1">
        <f t="array" ref="K415">IFERROR(INDEX(Input_ForRateCalc[],MATCH($C415&amp;" - "&amp;K$320,Input_ForRateCalc[[Cost item]:[Cost item]],0),MATCH(Calc_TUV_Net_2[[#This Row],[Decision ref]:[Decision ref]],Input_ForRateCalc[#Headers],0))*TUProp_Days_2,"-")</f>
        <v>-</v>
      </c>
      <c r="L415" s="47" t="str" cm="1">
        <f t="array" ref="L415">IFERROR(INDEX(Input_ForRateCalc[],MATCH($C415&amp;" - "&amp;L$320,Input_ForRateCalc[[Cost item]:[Cost item]],0),MATCH(Calc_TUV_Net_2[[#This Row],[Decision ref]:[Decision ref]],Input_ForRateCalc[#Headers],0))*TUProp_Days_2,"-")</f>
        <v>-</v>
      </c>
      <c r="M415" s="47" t="str" cm="1">
        <f t="array" ref="M415">IFERROR(INDEX(Input_ForRateCalc[],MATCH($C415&amp;" - "&amp;M$320,Input_ForRateCalc[[Cost item]:[Cost item]],0),MATCH(Calc_TUV_Net_2[[#This Row],[Decision ref]:[Decision ref]],Input_ForRateCalc[#Headers],0))*TUProp_Days_2,"-")</f>
        <v>-</v>
      </c>
      <c r="N415" s="47" t="str" cm="1">
        <f t="array" ref="N415">IFERROR(INDEX(Input_ForRateCalc[],MATCH($C415&amp;" - "&amp;N$320,Input_ForRateCalc[[Cost item]:[Cost item]],0),MATCH(Calc_TUV_Net_2[[#This Row],[Decision ref]:[Decision ref]],Input_ForRateCalc[#Headers],0))*TUProp_Days_2,"-")</f>
        <v>-</v>
      </c>
      <c r="O415" s="47" t="str" cm="1">
        <f t="array" ref="O415">IFERROR(INDEX(Input_ForRateCalc[],MATCH($C415&amp;" - "&amp;O$320,Input_ForRateCalc[[Cost item]:[Cost item]],0),MATCH(Calc_TUV_Net_2[[#This Row],[Decision ref]:[Decision ref]],Input_ForRateCalc[#Headers],0))*TUProp_Days_2,"-")</f>
        <v>-</v>
      </c>
    </row>
    <row r="416" spans="3:15" hidden="1" outlineLevel="1" x14ac:dyDescent="0.25">
      <c r="C416" s="42" t="s">
        <v>357</v>
      </c>
      <c r="D416" s="60" t="str">
        <f>Calc_TU_values!$D$224</f>
        <v>VDO 2023-24 - Final</v>
      </c>
      <c r="E416" s="18" t="s">
        <v>316</v>
      </c>
      <c r="F416" s="60" t="e">
        <f>INDEX(Inputs!$H$17:$U$17,1,MATCH($D416,Inputs!$H$15:$U$15,0))</f>
        <v>#N/A</v>
      </c>
      <c r="G416" s="41"/>
      <c r="H416" s="18" t="s">
        <v>132</v>
      </c>
      <c r="I416" s="18" t="s">
        <v>65</v>
      </c>
      <c r="J416" s="42" t="s">
        <v>67</v>
      </c>
      <c r="K416" s="47" t="str" cm="1">
        <f t="array" ref="K416">IFERROR(INDEX(Input_ForRateCalc[],MATCH($C416&amp;" - "&amp;K$320,Input_ForRateCalc[[Cost item]:[Cost item]],0),MATCH(Calc_TUV_Net_2[[#This Row],[Decision ref]:[Decision ref]],Input_ForRateCalc[#Headers],0))*TUProp_Days_2,"-")</f>
        <v>-</v>
      </c>
      <c r="L416" s="47" t="str" cm="1">
        <f t="array" ref="L416">IFERROR(INDEX(Input_ForRateCalc[],MATCH($C416&amp;" - "&amp;L$320,Input_ForRateCalc[[Cost item]:[Cost item]],0),MATCH(Calc_TUV_Net_2[[#This Row],[Decision ref]:[Decision ref]],Input_ForRateCalc[#Headers],0))*TUProp_Days_2,"-")</f>
        <v>-</v>
      </c>
      <c r="M416" s="47" t="str" cm="1">
        <f t="array" ref="M416">IFERROR(INDEX(Input_ForRateCalc[],MATCH($C416&amp;" - "&amp;M$320,Input_ForRateCalc[[Cost item]:[Cost item]],0),MATCH(Calc_TUV_Net_2[[#This Row],[Decision ref]:[Decision ref]],Input_ForRateCalc[#Headers],0))*TUProp_Days_2,"-")</f>
        <v>-</v>
      </c>
      <c r="N416" s="47" t="str" cm="1">
        <f t="array" ref="N416">IFERROR(INDEX(Input_ForRateCalc[],MATCH($C416&amp;" - "&amp;N$320,Input_ForRateCalc[[Cost item]:[Cost item]],0),MATCH(Calc_TUV_Net_2[[#This Row],[Decision ref]:[Decision ref]],Input_ForRateCalc[#Headers],0))*TUProp_Days_2,"-")</f>
        <v>-</v>
      </c>
      <c r="O416" s="47" t="str" cm="1">
        <f t="array" ref="O416">IFERROR(INDEX(Input_ForRateCalc[],MATCH($C416&amp;" - "&amp;O$320,Input_ForRateCalc[[Cost item]:[Cost item]],0),MATCH(Calc_TUV_Net_2[[#This Row],[Decision ref]:[Decision ref]],Input_ForRateCalc[#Headers],0))*TUProp_Days_2,"-")</f>
        <v>-</v>
      </c>
    </row>
    <row r="417" spans="3:15" hidden="1" outlineLevel="1" x14ac:dyDescent="0.25">
      <c r="C417" s="42" t="s">
        <v>411</v>
      </c>
      <c r="D417" s="60" t="str">
        <f>Calc_TU_values!$D$224</f>
        <v>VDO 2023-24 - Final</v>
      </c>
      <c r="E417" s="18" t="s">
        <v>316</v>
      </c>
      <c r="F417" s="60" t="e">
        <f>INDEX(Inputs!$H$17:$U$17,1,MATCH($D417,Inputs!$H$15:$U$15,0))</f>
        <v>#N/A</v>
      </c>
      <c r="G417" s="41"/>
      <c r="H417" s="18" t="s">
        <v>132</v>
      </c>
      <c r="I417" s="18" t="s">
        <v>65</v>
      </c>
      <c r="J417" s="42" t="s">
        <v>67</v>
      </c>
      <c r="K417" s="45">
        <f>IFERROR(SUM(K415:K416),"-")</f>
        <v>0</v>
      </c>
      <c r="L417" s="45">
        <f>IFERROR(SUM(L415:L416),"-")</f>
        <v>0</v>
      </c>
      <c r="M417" s="45">
        <f>IFERROR(SUM(M415:M416),"-")</f>
        <v>0</v>
      </c>
      <c r="N417" s="45">
        <f>IFERROR(SUM(N415:N416),"-")</f>
        <v>0</v>
      </c>
      <c r="O417" s="45">
        <f>IFERROR(SUM(O415:O416),"-")</f>
        <v>0</v>
      </c>
    </row>
    <row r="418" spans="3:15" hidden="1" outlineLevel="1" x14ac:dyDescent="0.25">
      <c r="C418" s="42" t="s">
        <v>445</v>
      </c>
      <c r="D418" s="60" t="str">
        <f>INDEX(Input_DecisionActual[[Decision]:[Decision]],MATCH(Calc_TU_values!$D$224,Input_DecisionActual[[VDO period]:[VDO period]],0),1)</f>
        <v>VDO 2022-23 - Final</v>
      </c>
      <c r="E418" s="18" t="s">
        <v>96</v>
      </c>
      <c r="F418" s="60" t="str">
        <f>IF($D418="-","-",INDEX(Inputs!$H$17:$U$17,1,MATCH($D418,Inputs!$H$15:$U$15,0)))</f>
        <v>F-PreviousVDO_Input3</v>
      </c>
      <c r="G418" s="41"/>
      <c r="H418" s="18" t="s">
        <v>132</v>
      </c>
      <c r="I418" s="18" t="s">
        <v>65</v>
      </c>
      <c r="J418" s="42" t="s">
        <v>67</v>
      </c>
      <c r="K418" s="47" t="str" cm="1">
        <f t="array" ref="K418">IFERROR(INDEX(Input_ForRateCalc[],MATCH($C418&amp;" - "&amp;K$320,Input_ForRateCalc[[Cost item]:[Cost item]],0),MATCH(Calc_TUV_Net_2[[#This Row],[Decision ref]:[Decision ref]],Input_ForRateCalc[#Headers],0))*TUProp_Days_2,"-")</f>
        <v>-</v>
      </c>
      <c r="L418" s="47" t="str" cm="1">
        <f t="array" ref="L418">IFERROR(INDEX(Input_ForRateCalc[],MATCH($C418&amp;" - "&amp;L$320,Input_ForRateCalc[[Cost item]:[Cost item]],0),MATCH(Calc_TUV_Net_2[[#This Row],[Decision ref]:[Decision ref]],Input_ForRateCalc[#Headers],0))*TUProp_Days_2,"-")</f>
        <v>-</v>
      </c>
      <c r="M418" s="47" t="str" cm="1">
        <f t="array" ref="M418">IFERROR(INDEX(Input_ForRateCalc[],MATCH($C418&amp;" - "&amp;M$320,Input_ForRateCalc[[Cost item]:[Cost item]],0),MATCH(Calc_TUV_Net_2[[#This Row],[Decision ref]:[Decision ref]],Input_ForRateCalc[#Headers],0))*TUProp_Days_2,"-")</f>
        <v>-</v>
      </c>
      <c r="N418" s="47" t="str" cm="1">
        <f t="array" ref="N418">IFERROR(INDEX(Input_ForRateCalc[],MATCH($C418&amp;" - "&amp;N$320,Input_ForRateCalc[[Cost item]:[Cost item]],0),MATCH(Calc_TUV_Net_2[[#This Row],[Decision ref]:[Decision ref]],Input_ForRateCalc[#Headers],0))*TUProp_Days_2,"-")</f>
        <v>-</v>
      </c>
      <c r="O418" s="47" t="str" cm="1">
        <f t="array" ref="O418">IFERROR(INDEX(Input_ForRateCalc[],MATCH($C418&amp;" - "&amp;O$320,Input_ForRateCalc[[Cost item]:[Cost item]],0),MATCH(Calc_TUV_Net_2[[#This Row],[Decision ref]:[Decision ref]],Input_ForRateCalc[#Headers],0))*TUProp_Days_2,"-")</f>
        <v>-</v>
      </c>
    </row>
    <row r="419" spans="3:15" hidden="1" outlineLevel="1" x14ac:dyDescent="0.25">
      <c r="C419" s="42" t="s">
        <v>357</v>
      </c>
      <c r="D419" s="60" t="str">
        <f>INDEX(Input_DecisionActual[[Decision]:[Decision]],MATCH(Calc_TU_values!$D$224,Input_DecisionActual[[VDO period]:[VDO period]],0),1)</f>
        <v>VDO 2022-23 - Final</v>
      </c>
      <c r="E419" s="18" t="s">
        <v>96</v>
      </c>
      <c r="F419" s="60" t="str">
        <f>IF($D419="-","-",INDEX(Inputs!$H$17:$U$17,1,MATCH($D419,Inputs!$H$15:$U$15,0)))</f>
        <v>F-PreviousVDO_Input3</v>
      </c>
      <c r="G419" s="41"/>
      <c r="H419" s="18" t="s">
        <v>132</v>
      </c>
      <c r="I419" s="18" t="s">
        <v>65</v>
      </c>
      <c r="J419" s="42" t="s">
        <v>67</v>
      </c>
      <c r="K419" s="47" t="str" cm="1">
        <f t="array" ref="K419">IFERROR(INDEX(Input_ForRateCalc[],MATCH($C419&amp;" - "&amp;K$320,Input_ForRateCalc[[Cost item]:[Cost item]],0),MATCH(Calc_TUV_Net_2[[#This Row],[Decision ref]:[Decision ref]],Input_ForRateCalc[#Headers],0))*TUProp_Days_2,"-")</f>
        <v>-</v>
      </c>
      <c r="L419" s="47" t="str" cm="1">
        <f t="array" ref="L419">IFERROR(INDEX(Input_ForRateCalc[],MATCH($C419&amp;" - "&amp;L$320,Input_ForRateCalc[[Cost item]:[Cost item]],0),MATCH(Calc_TUV_Net_2[[#This Row],[Decision ref]:[Decision ref]],Input_ForRateCalc[#Headers],0))*TUProp_Days_2,"-")</f>
        <v>-</v>
      </c>
      <c r="M419" s="47" t="str" cm="1">
        <f t="array" ref="M419">IFERROR(INDEX(Input_ForRateCalc[],MATCH($C419&amp;" - "&amp;M$320,Input_ForRateCalc[[Cost item]:[Cost item]],0),MATCH(Calc_TUV_Net_2[[#This Row],[Decision ref]:[Decision ref]],Input_ForRateCalc[#Headers],0))*TUProp_Days_2,"-")</f>
        <v>-</v>
      </c>
      <c r="N419" s="47" t="str" cm="1">
        <f t="array" ref="N419">IFERROR(INDEX(Input_ForRateCalc[],MATCH($C419&amp;" - "&amp;N$320,Input_ForRateCalc[[Cost item]:[Cost item]],0),MATCH(Calc_TUV_Net_2[[#This Row],[Decision ref]:[Decision ref]],Input_ForRateCalc[#Headers],0))*TUProp_Days_2,"-")</f>
        <v>-</v>
      </c>
      <c r="O419" s="47" t="str" cm="1">
        <f t="array" ref="O419">IFERROR(INDEX(Input_ForRateCalc[],MATCH($C419&amp;" - "&amp;O$320,Input_ForRateCalc[[Cost item]:[Cost item]],0),MATCH(Calc_TUV_Net_2[[#This Row],[Decision ref]:[Decision ref]],Input_ForRateCalc[#Headers],0))*TUProp_Days_2,"-")</f>
        <v>-</v>
      </c>
    </row>
    <row r="420" spans="3:15" hidden="1" outlineLevel="1" x14ac:dyDescent="0.25">
      <c r="C420" s="42" t="s">
        <v>411</v>
      </c>
      <c r="D420" s="60" t="str">
        <f>INDEX(Input_DecisionActual[[Decision]:[Decision]],MATCH(Calc_TU_values!$D$224,Input_DecisionActual[[VDO period]:[VDO period]],0),1)</f>
        <v>VDO 2022-23 - Final</v>
      </c>
      <c r="E420" s="18" t="s">
        <v>96</v>
      </c>
      <c r="F420" s="60" t="str">
        <f>IF($D420="-","-",INDEX(Inputs!$H$17:$U$17,1,MATCH($D420,Inputs!$H$15:$U$15,0)))</f>
        <v>F-PreviousVDO_Input3</v>
      </c>
      <c r="G420" s="41"/>
      <c r="H420" s="18" t="s">
        <v>132</v>
      </c>
      <c r="I420" s="18" t="s">
        <v>65</v>
      </c>
      <c r="J420" s="42" t="s">
        <v>67</v>
      </c>
      <c r="K420" s="46">
        <f>SUM(K418:K419)</f>
        <v>0</v>
      </c>
      <c r="L420" s="46">
        <f>SUM(L418:L419)</f>
        <v>0</v>
      </c>
      <c r="M420" s="46">
        <f>SUM(M418:M419)</f>
        <v>0</v>
      </c>
      <c r="N420" s="46">
        <f>SUM(N418:N419)</f>
        <v>0</v>
      </c>
      <c r="O420" s="46">
        <f>SUM(O418:O419)</f>
        <v>0</v>
      </c>
    </row>
    <row r="421" spans="3:15" hidden="1" outlineLevel="1" x14ac:dyDescent="0.25">
      <c r="C421" s="42" t="s">
        <v>412</v>
      </c>
      <c r="D421" s="18"/>
      <c r="E421" s="18"/>
      <c r="F421" s="18"/>
      <c r="G421" s="42"/>
      <c r="H421" s="18" t="s">
        <v>132</v>
      </c>
      <c r="I421" s="18" t="s">
        <v>65</v>
      </c>
      <c r="J421" s="42" t="s">
        <v>67</v>
      </c>
      <c r="K421" s="46" t="str">
        <f>IF(K420=0,"-",K417-K420)</f>
        <v>-</v>
      </c>
      <c r="L421" s="46" t="str">
        <f>IF(L420=0,"-",L417-L420)</f>
        <v>-</v>
      </c>
      <c r="M421" s="46" t="str">
        <f>IF(M420=0,"-",M417-M420)</f>
        <v>-</v>
      </c>
      <c r="N421" s="46" t="str">
        <f>IF(N420=0,"-",N417-N420)</f>
        <v>-</v>
      </c>
      <c r="O421" s="46" t="str">
        <f>IF(O420=0,"-",O417-O420)</f>
        <v>-</v>
      </c>
    </row>
    <row r="422" spans="3:15" hidden="1" outlineLevel="1" x14ac:dyDescent="0.25">
      <c r="C422" s="42" t="s">
        <v>414</v>
      </c>
      <c r="D422" s="60" t="str">
        <f>INDEX(Input_DecisionActual[[Decision]:[Decision]],MATCH(Calc_TU_values!$D$224,Input_DecisionActual[[VDO period]:[VDO period]],0),1)</f>
        <v>VDO 2022-23 - Final</v>
      </c>
      <c r="E422" s="18" t="s">
        <v>96</v>
      </c>
      <c r="F422" s="60" t="str">
        <f>IF($D422="-","-",INDEX(Inputs!$H$17:$U$17,1,MATCH($D422,Inputs!$H$15:$U$15,0)))</f>
        <v>F-PreviousVDO_Input3</v>
      </c>
      <c r="G422" s="42"/>
      <c r="H422" s="18" t="s">
        <v>132</v>
      </c>
      <c r="I422" s="18" t="s">
        <v>65</v>
      </c>
      <c r="J422" s="42" t="s">
        <v>67</v>
      </c>
      <c r="K422" s="47" cm="1">
        <f t="array" ref="K422">IFERROR(SUM(K421:K421)*(INDEX(Inputs!$H$18:$U$141,MATCH("Retail operating margin",Input_ForRateCalc[[Cost item]:[Cost item]],0),MATCH(Calc_TUV_Net_2[[#This Row],[Decision ref]:[Decision ref]],Inputs!$H$17:$U$17,0))),"-")</f>
        <v>0</v>
      </c>
      <c r="L422" s="47" cm="1">
        <f t="array" ref="L422">IFERROR(SUM(L421:L421)*(INDEX(Inputs!$H$18:$U$141,MATCH("Retail operating margin",Input_ForRateCalc[[Cost item]:[Cost item]],0),MATCH(Calc_TUV_Net_2[[#This Row],[Decision ref]:[Decision ref]],Inputs!$H$17:$U$17,0))),"-")</f>
        <v>0</v>
      </c>
      <c r="M422" s="47" cm="1">
        <f t="array" ref="M422">IFERROR(SUM(M421:M421)*(INDEX(Inputs!$H$18:$U$141,MATCH("Retail operating margin",Input_ForRateCalc[[Cost item]:[Cost item]],0),MATCH(Calc_TUV_Net_2[[#This Row],[Decision ref]:[Decision ref]],Inputs!$H$17:$U$17,0))),"-")</f>
        <v>0</v>
      </c>
      <c r="N422" s="47" cm="1">
        <f t="array" ref="N422">IFERROR(SUM(N421:N421)*(INDEX(Inputs!$H$18:$U$141,MATCH("Retail operating margin",Input_ForRateCalc[[Cost item]:[Cost item]],0),MATCH(Calc_TUV_Net_2[[#This Row],[Decision ref]:[Decision ref]],Inputs!$H$17:$U$17,0))),"-")</f>
        <v>0</v>
      </c>
      <c r="O422" s="47" cm="1">
        <f t="array" ref="O422">IFERROR(SUM(O421:O421)*(INDEX(Inputs!$H$18:$U$141,MATCH("Retail operating margin",Input_ForRateCalc[[Cost item]:[Cost item]],0),MATCH(Calc_TUV_Net_2[[#This Row],[Decision ref]:[Decision ref]],Inputs!$H$17:$U$17,0))),"-")</f>
        <v>0</v>
      </c>
    </row>
    <row r="423" spans="3:15" hidden="1" outlineLevel="1" x14ac:dyDescent="0.25">
      <c r="C423" s="42" t="s">
        <v>415</v>
      </c>
      <c r="D423" s="18"/>
      <c r="E423" s="18"/>
      <c r="F423" s="18"/>
      <c r="G423" s="42"/>
      <c r="H423" s="18" t="s">
        <v>132</v>
      </c>
      <c r="I423" s="18" t="s">
        <v>65</v>
      </c>
      <c r="J423" s="42" t="s">
        <v>67</v>
      </c>
      <c r="K423" s="47" t="str">
        <f>IF(K420=0,"-",SUM(K421:K422)*GST)</f>
        <v>-</v>
      </c>
      <c r="L423" s="47" t="str">
        <f>IF(L420=0,"-",SUM(L421:L422)*GST)</f>
        <v>-</v>
      </c>
      <c r="M423" s="47" t="str">
        <f>IF(M420=0,"-",SUM(M421:M422)*GST)</f>
        <v>-</v>
      </c>
      <c r="N423" s="47" t="str">
        <f>IF(N420=0,"-",SUM(N421:N422)*GST)</f>
        <v>-</v>
      </c>
      <c r="O423" s="47" t="str">
        <f>IF(O420=0,"-",SUM(O421:O422)*GST)</f>
        <v>-</v>
      </c>
    </row>
    <row r="424" spans="3:15" hidden="1" outlineLevel="1" x14ac:dyDescent="0.25">
      <c r="C424" s="18" t="s">
        <v>452</v>
      </c>
      <c r="D424" s="18"/>
      <c r="E424" s="18"/>
      <c r="F424" s="18"/>
      <c r="G424" s="42"/>
      <c r="H424" s="18" t="s">
        <v>132</v>
      </c>
      <c r="I424" s="18" t="s">
        <v>65</v>
      </c>
      <c r="J424" s="42" t="s">
        <v>67</v>
      </c>
      <c r="K424" s="47" t="str">
        <f>IF(K420=0,"-",SUM(K421:K423))</f>
        <v>-</v>
      </c>
      <c r="L424" s="47" t="str">
        <f>IF(L420=0,"-",SUM(L421:L423))</f>
        <v>-</v>
      </c>
      <c r="M424" s="47" t="str">
        <f>IF(M420=0,"-",SUM(M421:M423))</f>
        <v>-</v>
      </c>
      <c r="N424" s="47" t="str">
        <f>IF(N420=0,"-",SUM(N421:N423))</f>
        <v>-</v>
      </c>
      <c r="O424" s="47" t="str">
        <f>IF(O420=0,"-",SUM(O421:O423))</f>
        <v>-</v>
      </c>
    </row>
    <row r="425" spans="3:15" hidden="1" outlineLevel="1" x14ac:dyDescent="0.25">
      <c r="C425" s="42"/>
      <c r="D425" s="42"/>
      <c r="E425" s="42"/>
      <c r="F425" s="42"/>
      <c r="H425" s="42"/>
      <c r="I425" s="18"/>
      <c r="J425" s="18"/>
      <c r="K425" s="90"/>
      <c r="L425" s="90"/>
      <c r="M425" s="90"/>
      <c r="N425" s="90"/>
      <c r="O425" s="90"/>
    </row>
    <row r="426" spans="3:15" hidden="1" outlineLevel="1" x14ac:dyDescent="0.25">
      <c r="C426" s="40" t="s">
        <v>459</v>
      </c>
      <c r="D426" s="42"/>
      <c r="E426" s="42"/>
      <c r="F426" s="42"/>
      <c r="G426" s="49"/>
      <c r="H426" s="42"/>
      <c r="I426" s="18"/>
      <c r="J426" s="18"/>
      <c r="K426" s="90"/>
      <c r="L426" s="90"/>
      <c r="M426" s="90"/>
      <c r="N426" s="90"/>
      <c r="O426" s="90"/>
    </row>
    <row r="427" spans="3:15" hidden="1" outlineLevel="1" x14ac:dyDescent="0.25">
      <c r="C427" s="42" t="s">
        <v>460</v>
      </c>
      <c r="D427" s="60" t="str">
        <f>Calc_TU_values!$D$224</f>
        <v>VDO 2023-24 - Final</v>
      </c>
      <c r="E427" s="18" t="s">
        <v>316</v>
      </c>
      <c r="F427" s="60" t="e">
        <f>INDEX(Inputs!$H$17:$U$17,1,MATCH($D427,Inputs!$H$15:$U$15,0))</f>
        <v>#N/A</v>
      </c>
      <c r="G427" s="42"/>
      <c r="H427" s="18" t="s">
        <v>178</v>
      </c>
      <c r="I427" s="18" t="s">
        <v>220</v>
      </c>
      <c r="J427" s="42" t="s">
        <v>67</v>
      </c>
      <c r="K427" s="47" t="str" cm="1">
        <f t="array" ref="K427">IFERROR(INDEX(Input_ForRateCalc[],MATCH($C427&amp;" - "&amp;K$320,Input_ForRateCalc[[Cost item]:[Cost item]],0),MATCH(Calc_TUV_Net_2[[#This Row],[Decision ref]:[Decision ref]],Input_ForRateCalc[#Headers],0)),"-")</f>
        <v>-</v>
      </c>
      <c r="L427" s="47" t="str" cm="1">
        <f t="array" ref="L427">IFERROR(INDEX(Input_ForRateCalc[],MATCH($C427&amp;" - "&amp;L$320,Input_ForRateCalc[[Cost item]:[Cost item]],0),MATCH(Calc_TUV_Net_2[[#This Row],[Decision ref]:[Decision ref]],Input_ForRateCalc[#Headers],0)),"-")</f>
        <v>-</v>
      </c>
      <c r="M427" s="47" t="str" cm="1">
        <f t="array" ref="M427">IFERROR(INDEX(Input_ForRateCalc[],MATCH($C427&amp;" - "&amp;M$320,Input_ForRateCalc[[Cost item]:[Cost item]],0),MATCH(Calc_TUV_Net_2[[#This Row],[Decision ref]:[Decision ref]],Input_ForRateCalc[#Headers],0)),"-")</f>
        <v>-</v>
      </c>
      <c r="N427" s="47" t="str" cm="1">
        <f t="array" ref="N427">IFERROR(INDEX(Input_ForRateCalc[],MATCH($C427&amp;" - "&amp;N$320,Input_ForRateCalc[[Cost item]:[Cost item]],0),MATCH(Calc_TUV_Net_2[[#This Row],[Decision ref]:[Decision ref]],Input_ForRateCalc[#Headers],0)),"-")</f>
        <v>-</v>
      </c>
      <c r="O427" s="47" t="str" cm="1">
        <f t="array" ref="O427">IFERROR(INDEX(Input_ForRateCalc[],MATCH($C427&amp;" - "&amp;O$320,Input_ForRateCalc[[Cost item]:[Cost item]],0),MATCH(Calc_TUV_Net_2[[#This Row],[Decision ref]:[Decision ref]],Input_ForRateCalc[#Headers],0)),"-")</f>
        <v>-</v>
      </c>
    </row>
    <row r="428" spans="3:15" hidden="1" outlineLevel="1" x14ac:dyDescent="0.25">
      <c r="C428" s="42" t="s">
        <v>461</v>
      </c>
      <c r="D428" s="60" t="str">
        <f>Calc_TU_values!$D$224</f>
        <v>VDO 2023-24 - Final</v>
      </c>
      <c r="E428" s="18" t="s">
        <v>316</v>
      </c>
      <c r="F428" s="60" t="e">
        <f>INDEX(Inputs!$H$17:$U$17,1,MATCH($D428,Inputs!$H$15:$U$15,0))</f>
        <v>#N/A</v>
      </c>
      <c r="G428" s="49"/>
      <c r="H428" s="18" t="s">
        <v>178</v>
      </c>
      <c r="I428" s="18" t="s">
        <v>220</v>
      </c>
      <c r="J428" s="42" t="s">
        <v>67</v>
      </c>
      <c r="K428" s="47" t="str" cm="1">
        <f t="array" ref="K428">IFERROR(INDEX(Input_ForRateCalc[],MATCH($C428&amp;" - "&amp;K$320,Input_ForRateCalc[[Cost item]:[Cost item]],0),MATCH(Calc_TUV_Net_2[[#This Row],[Decision ref]:[Decision ref]],Input_ForRateCalc[#Headers],0)),"-")</f>
        <v>-</v>
      </c>
      <c r="L428" s="47" t="str" cm="1">
        <f t="array" ref="L428">IFERROR(INDEX(Input_ForRateCalc[],MATCH($C428&amp;" - "&amp;L$320,Input_ForRateCalc[[Cost item]:[Cost item]],0),MATCH(Calc_TUV_Net_2[[#This Row],[Decision ref]:[Decision ref]],Input_ForRateCalc[#Headers],0)),"-")</f>
        <v>-</v>
      </c>
      <c r="M428" s="47" t="str" cm="1">
        <f t="array" ref="M428">IFERROR(INDEX(Input_ForRateCalc[],MATCH($C428&amp;" - "&amp;M$320,Input_ForRateCalc[[Cost item]:[Cost item]],0),MATCH(Calc_TUV_Net_2[[#This Row],[Decision ref]:[Decision ref]],Input_ForRateCalc[#Headers],0)),"-")</f>
        <v>-</v>
      </c>
      <c r="N428" s="47" t="str" cm="1">
        <f t="array" ref="N428">IFERROR(INDEX(Input_ForRateCalc[],MATCH($C428&amp;" - "&amp;N$320,Input_ForRateCalc[[Cost item]:[Cost item]],0),MATCH(Calc_TUV_Net_2[[#This Row],[Decision ref]:[Decision ref]],Input_ForRateCalc[#Headers],0)),"-")</f>
        <v>-</v>
      </c>
      <c r="O428" s="47" t="str" cm="1">
        <f t="array" ref="O428">IFERROR(INDEX(Input_ForRateCalc[],MATCH($C428&amp;" - "&amp;O$320,Input_ForRateCalc[[Cost item]:[Cost item]],0),MATCH(Calc_TUV_Net_2[[#This Row],[Decision ref]:[Decision ref]],Input_ForRateCalc[#Headers],0)),"-")</f>
        <v>-</v>
      </c>
    </row>
    <row r="429" spans="3:15" hidden="1" outlineLevel="1" x14ac:dyDescent="0.25">
      <c r="C429" s="42" t="s">
        <v>411</v>
      </c>
      <c r="D429" s="60" t="str">
        <f>Calc_TU_values!$D$224</f>
        <v>VDO 2023-24 - Final</v>
      </c>
      <c r="E429" s="18" t="s">
        <v>316</v>
      </c>
      <c r="F429" s="60" t="e">
        <f>INDEX(Inputs!$H$17:$U$17,1,MATCH($D429,Inputs!$H$15:$U$15,0))</f>
        <v>#N/A</v>
      </c>
      <c r="G429" s="41"/>
      <c r="H429" s="18" t="s">
        <v>178</v>
      </c>
      <c r="I429" s="18" t="s">
        <v>220</v>
      </c>
      <c r="J429" s="42" t="s">
        <v>67</v>
      </c>
      <c r="K429" s="48">
        <f>SUMIFS(TUNet_Usage_Actual_2[Value],TUNet_Usage_Actual_2[Customer type],Calc_TUV_Net_2[[#This Row],[Customer type]],TUNet_Usage_Actual_2[Description],"Usage per customer")*SUM(
IFERROR(K427/100*SUMIFS(#REF!,#REF!,Calc_TUV_Net_2[[#This Row],[Customer type]],#REF!,"Peak"),0),
IFERROR(K428/100*SUMIFS(#REF!,#REF!,Calc_TUV_Net_2[[#This Row],[Customer type]],#REF!,"Off peak"),0))</f>
        <v>0</v>
      </c>
      <c r="L429" s="48">
        <f>SUMIFS(TUNet_Usage_Actual_2[Value],TUNet_Usage_Actual_2[Customer type],Calc_TUV_Net_2[[#This Row],[Customer type]],TUNet_Usage_Actual_2[Description],"Usage per customer")*SUM(
IFERROR(L427/100*SUMIFS(#REF!,#REF!,Calc_TUV_Net_2[[#This Row],[Customer type]],#REF!,"Peak"),0),
IFERROR(L428/100*SUMIFS(#REF!,#REF!,Calc_TUV_Net_2[[#This Row],[Customer type]],#REF!,"Off peak"),0))</f>
        <v>0</v>
      </c>
      <c r="M429" s="48">
        <f>SUMIFS(TUNet_Usage_Actual_2[Value],TUNet_Usage_Actual_2[Customer type],Calc_TUV_Net_2[[#This Row],[Customer type]],TUNet_Usage_Actual_2[Description],"Usage per customer")*SUM(
IFERROR(M427/100*SUMIFS(#REF!,#REF!,Calc_TUV_Net_2[[#This Row],[Customer type]],#REF!,"Peak"),0),
IFERROR(M428/100*SUMIFS(#REF!,#REF!,Calc_TUV_Net_2[[#This Row],[Customer type]],#REF!,"Off peak"),0))</f>
        <v>0</v>
      </c>
      <c r="N429" s="48">
        <f>SUMIFS(TUNet_Usage_Actual_2[Value],TUNet_Usage_Actual_2[Customer type],Calc_TUV_Net_2[[#This Row],[Customer type]],TUNet_Usage_Actual_2[Description],"Usage per customer")*SUM(
IFERROR(N427/100*SUMIFS(#REF!,#REF!,Calc_TUV_Net_2[[#This Row],[Customer type]],#REF!,"Peak"),0),
IFERROR(N428/100*SUMIFS(#REF!,#REF!,Calc_TUV_Net_2[[#This Row],[Customer type]],#REF!,"Off peak"),0))</f>
        <v>0</v>
      </c>
      <c r="O429" s="48">
        <f>SUMIFS(TUNet_Usage_Actual_2[Value],TUNet_Usage_Actual_2[Customer type],Calc_TUV_Net_2[[#This Row],[Customer type]],TUNet_Usage_Actual_2[Description],"Usage per customer")*SUM(
IFERROR(O427/100*SUMIFS(#REF!,#REF!,Calc_TUV_Net_2[[#This Row],[Customer type]],#REF!,"Peak"),0),
IFERROR(O428/100*SUMIFS(#REF!,#REF!,Calc_TUV_Net_2[[#This Row],[Customer type]],#REF!,"Off peak"),0))</f>
        <v>0</v>
      </c>
    </row>
    <row r="430" spans="3:15" hidden="1" outlineLevel="1" x14ac:dyDescent="0.25">
      <c r="C430" s="42" t="s">
        <v>447</v>
      </c>
      <c r="D430" s="60" t="str">
        <f>INDEX(Input_DecisionActual[[Decision]:[Decision]],MATCH(Calc_TU_values!$D$224,Input_DecisionActual[[VDO period]:[VDO period]],0),1)</f>
        <v>VDO 2022-23 - Final</v>
      </c>
      <c r="E430" s="18" t="s">
        <v>96</v>
      </c>
      <c r="F430" s="60" t="str">
        <f>IF($D430="-","-",INDEX(Inputs!$H$17:$U$17,1,MATCH($D430,Inputs!$H$15:$U$15,0)))</f>
        <v>F-PreviousVDO_Input3</v>
      </c>
      <c r="G430" s="41"/>
      <c r="H430" s="18" t="s">
        <v>178</v>
      </c>
      <c r="I430" s="18" t="s">
        <v>65</v>
      </c>
      <c r="J430" s="42" t="s">
        <v>67</v>
      </c>
      <c r="K430" s="47" cm="1">
        <f t="array" ref="K430">IFERROR(INDEX(Input_ForRateCalc[],MATCH($C430&amp;" - "&amp;K$320,Input_ForRateCalc[[Cost item]:[Cost item]],0),MATCH(Calc_TUV_Net_2[[#This Row],[Decision ref]:[Decision ref]],Input_ForRateCalc[#Headers],0)),"-")</f>
        <v>17.498000000000001</v>
      </c>
      <c r="L430" s="47" t="str" cm="1">
        <f t="array" ref="L430">IFERROR(INDEX(Input_ForRateCalc[],MATCH($C430&amp;" - "&amp;L$320,Input_ForRateCalc[[Cost item]:[Cost item]],0),MATCH(Calc_TUV_Net_2[[#This Row],[Decision ref]:[Decision ref]],Input_ForRateCalc[#Headers],0)),"-")</f>
        <v>-</v>
      </c>
      <c r="M430" s="47" t="str" cm="1">
        <f t="array" ref="M430">IFERROR(INDEX(Input_ForRateCalc[],MATCH($C430&amp;" - "&amp;M$320,Input_ForRateCalc[[Cost item]:[Cost item]],0),MATCH(Calc_TUV_Net_2[[#This Row],[Decision ref]:[Decision ref]],Input_ForRateCalc[#Headers],0)),"-")</f>
        <v>-</v>
      </c>
      <c r="N430" s="47" t="str" cm="1">
        <f t="array" ref="N430">IFERROR(INDEX(Input_ForRateCalc[],MATCH($C430&amp;" - "&amp;N$320,Input_ForRateCalc[[Cost item]:[Cost item]],0),MATCH(Calc_TUV_Net_2[[#This Row],[Decision ref]:[Decision ref]],Input_ForRateCalc[#Headers],0)),"-")</f>
        <v>-</v>
      </c>
      <c r="O430" s="47" t="str" cm="1">
        <f t="array" ref="O430">IFERROR(INDEX(Input_ForRateCalc[],MATCH($C430&amp;" - "&amp;O$320,Input_ForRateCalc[[Cost item]:[Cost item]],0),MATCH(Calc_TUV_Net_2[[#This Row],[Decision ref]:[Decision ref]],Input_ForRateCalc[#Headers],0)),"-")</f>
        <v>-</v>
      </c>
    </row>
    <row r="431" spans="3:15" hidden="1" outlineLevel="1" x14ac:dyDescent="0.25">
      <c r="C431" s="42" t="s">
        <v>448</v>
      </c>
      <c r="D431" s="60" t="str">
        <f>INDEX(Input_DecisionActual[[Decision]:[Decision]],MATCH(Calc_TU_values!$D$224,Input_DecisionActual[[VDO period]:[VDO period]],0),1)</f>
        <v>VDO 2022-23 - Final</v>
      </c>
      <c r="E431" s="18" t="s">
        <v>96</v>
      </c>
      <c r="F431" s="60" t="str">
        <f>IF($D431="-","-",INDEX(Inputs!$H$17:$U$17,1,MATCH($D431,Inputs!$H$15:$U$15,0)))</f>
        <v>F-PreviousVDO_Input3</v>
      </c>
      <c r="G431" s="41"/>
      <c r="H431" s="18" t="s">
        <v>178</v>
      </c>
      <c r="I431" s="18" t="s">
        <v>220</v>
      </c>
      <c r="J431" s="42" t="s">
        <v>67</v>
      </c>
      <c r="K431" s="47" cm="1">
        <f t="array" ref="K431">IFERROR(INDEX(Input_ForRateCalc[],MATCH($C431&amp;" - "&amp;K$320,Input_ForRateCalc[[Cost item]:[Cost item]],0),MATCH(Calc_TUV_Net_2[[#This Row],[Decision ref]:[Decision ref]],Input_ForRateCalc[#Headers],0)),"-")</f>
        <v>20.5366</v>
      </c>
      <c r="L431" s="47" t="str" cm="1">
        <f t="array" ref="L431">IFERROR(INDEX(Input_ForRateCalc[],MATCH($C431&amp;" - "&amp;L$320,Input_ForRateCalc[[Cost item]:[Cost item]],0),MATCH(Calc_TUV_Net_2[[#This Row],[Decision ref]:[Decision ref]],Input_ForRateCalc[#Headers],0)),"-")</f>
        <v>-</v>
      </c>
      <c r="M431" s="47" t="str" cm="1">
        <f t="array" ref="M431">IFERROR(INDEX(Input_ForRateCalc[],MATCH($C431&amp;" - "&amp;M$320,Input_ForRateCalc[[Cost item]:[Cost item]],0),MATCH(Calc_TUV_Net_2[[#This Row],[Decision ref]:[Decision ref]],Input_ForRateCalc[#Headers],0)),"-")</f>
        <v>-</v>
      </c>
      <c r="N431" s="47" t="str" cm="1">
        <f t="array" ref="N431">IFERROR(INDEX(Input_ForRateCalc[],MATCH($C431&amp;" - "&amp;N$320,Input_ForRateCalc[[Cost item]:[Cost item]],0),MATCH(Calc_TUV_Net_2[[#This Row],[Decision ref]:[Decision ref]],Input_ForRateCalc[#Headers],0)),"-")</f>
        <v>-</v>
      </c>
      <c r="O431" s="47" t="str" cm="1">
        <f t="array" ref="O431">IFERROR(INDEX(Input_ForRateCalc[],MATCH($C431&amp;" - "&amp;O$320,Input_ForRateCalc[[Cost item]:[Cost item]],0),MATCH(Calc_TUV_Net_2[[#This Row],[Decision ref]:[Decision ref]],Input_ForRateCalc[#Headers],0)),"-")</f>
        <v>-</v>
      </c>
    </row>
    <row r="432" spans="3:15" hidden="1" outlineLevel="1" x14ac:dyDescent="0.25">
      <c r="C432" s="42" t="s">
        <v>449</v>
      </c>
      <c r="D432" s="60" t="str">
        <f>INDEX(Input_DecisionActual[[Decision]:[Decision]],MATCH(Calc_TU_values!$D$224,Input_DecisionActual[[VDO period]:[VDO period]],0),1)</f>
        <v>VDO 2022-23 - Final</v>
      </c>
      <c r="E432" s="18" t="s">
        <v>96</v>
      </c>
      <c r="F432" s="60" t="str">
        <f>IF($D432="-","-",INDEX(Inputs!$H$17:$U$17,1,MATCH($D432,Inputs!$H$15:$U$15,0)))</f>
        <v>F-PreviousVDO_Input3</v>
      </c>
      <c r="G432" s="41"/>
      <c r="H432" s="18" t="s">
        <v>178</v>
      </c>
      <c r="I432" s="18" t="s">
        <v>220</v>
      </c>
      <c r="J432" s="42" t="s">
        <v>67</v>
      </c>
      <c r="K432" s="47" t="str" cm="1">
        <f t="array" ref="K432">IFERROR(INDEX(Input_ForRateCalc[],MATCH($C432&amp;" - "&amp;K$320,Input_ForRateCalc[[Cost item]:[Cost item]],0),MATCH(Calc_TUV_Net_2[[#This Row],[Decision ref]:[Decision ref]],Input_ForRateCalc[#Headers],0)),"-")</f>
        <v>-</v>
      </c>
      <c r="L432" s="47" cm="1">
        <f t="array" ref="L432">IFERROR(INDEX(Input_ForRateCalc[],MATCH($C432&amp;" - "&amp;L$320,Input_ForRateCalc[[Cost item]:[Cost item]],0),MATCH(Calc_TUV_Net_2[[#This Row],[Decision ref]:[Decision ref]],Input_ForRateCalc[#Headers],0)),"-")</f>
        <v>8.0299999999999994</v>
      </c>
      <c r="M432" s="47" cm="1">
        <f t="array" ref="M432">IFERROR(INDEX(Input_ForRateCalc[],MATCH($C432&amp;" - "&amp;M$320,Input_ForRateCalc[[Cost item]:[Cost item]],0),MATCH(Calc_TUV_Net_2[[#This Row],[Decision ref]:[Decision ref]],Input_ForRateCalc[#Headers],0)),"-")</f>
        <v>10.84</v>
      </c>
      <c r="N432" s="47" cm="1">
        <f t="array" ref="N432">IFERROR(INDEX(Input_ForRateCalc[],MATCH($C432&amp;" - "&amp;N$320,Input_ForRateCalc[[Cost item]:[Cost item]],0),MATCH(Calc_TUV_Net_2[[#This Row],[Decision ref]:[Decision ref]],Input_ForRateCalc[#Headers],0)),"-")</f>
        <v>9.2899999999999991</v>
      </c>
      <c r="O432" s="47" cm="1">
        <f t="array" ref="O432">IFERROR(INDEX(Input_ForRateCalc[],MATCH($C432&amp;" - "&amp;O$320,Input_ForRateCalc[[Cost item]:[Cost item]],0),MATCH(Calc_TUV_Net_2[[#This Row],[Decision ref]:[Decision ref]],Input_ForRateCalc[#Headers],0)),"-")</f>
        <v>9.14</v>
      </c>
    </row>
    <row r="433" spans="3:15" hidden="1" outlineLevel="1" x14ac:dyDescent="0.25">
      <c r="C433" s="42" t="s">
        <v>411</v>
      </c>
      <c r="D433" s="60" t="str">
        <f>INDEX(Input_DecisionActual[[Decision]:[Decision]],MATCH(Calc_TU_values!$D$224,Input_DecisionActual[[VDO period]:[VDO period]],0),1)</f>
        <v>VDO 2022-23 - Final</v>
      </c>
      <c r="E433" s="18" t="s">
        <v>96</v>
      </c>
      <c r="F433" s="60" t="str">
        <f>IF($D433="-","-",INDEX(Inputs!$H$17:$U$17,1,MATCH($D433,Inputs!$H$15:$U$15,0)))</f>
        <v>F-PreviousVDO_Input3</v>
      </c>
      <c r="G433" s="41"/>
      <c r="H433" s="18" t="s">
        <v>178</v>
      </c>
      <c r="I433" s="18" t="s">
        <v>220</v>
      </c>
      <c r="J433" s="42" t="s">
        <v>67</v>
      </c>
      <c r="K433" s="48">
        <f>SUM(
IFERROR(K430/100*SUMIFS(INDEX(TUNet_Usage_PerRate_2[],0,MATCH(K$320,TUNet_Usage_PerRate_2[#Headers],0)),TUNet_Usage_PerRate_2[Customer type],Calc_TUV_Net_2[[#This Row],[Customer type]],TUNet_Usage_PerRate_2[Description],"Usage per customer - Block 1"),0),
IFERROR(K431/100*SUMIFS(INDEX(TUNet_Usage_PerRate_2[],0,MATCH(K$320,TUNet_Usage_PerRate_2[#Headers],0)),TUNet_Usage_PerRate_2[Customer type],Calc_TUV_Net_2[[#This Row],[Customer type]],TUNet_Usage_PerRate_2[Description],"Usage per customer - Balance"),0),
IFERROR(K432/100*SUMIFS(INDEX(TUNet_Usage_PerRate_2[],0,MATCH(K$320,TUNet_Usage_PerRate_2[#Headers],0)),TUNet_Usage_PerRate_2[Customer type],Calc_TUV_Net_2[[#This Row],[Customer type]],TUNet_Usage_PerRate_2[Description],"Usage per customer - Single rate"),0))</f>
        <v>0</v>
      </c>
      <c r="L433" s="48">
        <f>SUM(
IFERROR(L430/100*SUMIFS(INDEX(TUNet_Usage_PerRate_2[],0,MATCH(L$320,TUNet_Usage_PerRate_2[#Headers],0)),TUNet_Usage_PerRate_2[Customer type],Calc_TUV_Net_2[[#This Row],[Customer type]],TUNet_Usage_PerRate_2[Description],"Usage per customer - Block 1"),0),
IFERROR(L431/100*SUMIFS(INDEX(TUNet_Usage_PerRate_2[],0,MATCH(L$320,TUNet_Usage_PerRate_2[#Headers],0)),TUNet_Usage_PerRate_2[Customer type],Calc_TUV_Net_2[[#This Row],[Customer type]],TUNet_Usage_PerRate_2[Description],"Usage per customer - Balance"),0),
IFERROR(L432/100*SUMIFS(INDEX(TUNet_Usage_PerRate_2[],0,MATCH(L$320,TUNet_Usage_PerRate_2[#Headers],0)),TUNet_Usage_PerRate_2[Customer type],Calc_TUV_Net_2[[#This Row],[Customer type]],TUNet_Usage_PerRate_2[Description],"Usage per customer - Single rate"),0))</f>
        <v>0</v>
      </c>
      <c r="M433" s="48">
        <f>SUM(
IFERROR(M430/100*SUMIFS(INDEX(TUNet_Usage_PerRate_2[],0,MATCH(M$320,TUNet_Usage_PerRate_2[#Headers],0)),TUNet_Usage_PerRate_2[Customer type],Calc_TUV_Net_2[[#This Row],[Customer type]],TUNet_Usage_PerRate_2[Description],"Usage per customer - Block 1"),0),
IFERROR(M431/100*SUMIFS(INDEX(TUNet_Usage_PerRate_2[],0,MATCH(M$320,TUNet_Usage_PerRate_2[#Headers],0)),TUNet_Usage_PerRate_2[Customer type],Calc_TUV_Net_2[[#This Row],[Customer type]],TUNet_Usage_PerRate_2[Description],"Usage per customer - Balance"),0),
IFERROR(M432/100*SUMIFS(INDEX(TUNet_Usage_PerRate_2[],0,MATCH(M$320,TUNet_Usage_PerRate_2[#Headers],0)),TUNet_Usage_PerRate_2[Customer type],Calc_TUV_Net_2[[#This Row],[Customer type]],TUNet_Usage_PerRate_2[Description],"Usage per customer - Single rate"),0))</f>
        <v>0</v>
      </c>
      <c r="N433" s="48">
        <f>SUM(
IFERROR(N430/100*SUMIFS(INDEX(TUNet_Usage_PerRate_2[],0,MATCH(N$320,TUNet_Usage_PerRate_2[#Headers],0)),TUNet_Usage_PerRate_2[Customer type],Calc_TUV_Net_2[[#This Row],[Customer type]],TUNet_Usage_PerRate_2[Description],"Usage per customer - Block 1"),0),
IFERROR(N431/100*SUMIFS(INDEX(TUNet_Usage_PerRate_2[],0,MATCH(N$320,TUNet_Usage_PerRate_2[#Headers],0)),TUNet_Usage_PerRate_2[Customer type],Calc_TUV_Net_2[[#This Row],[Customer type]],TUNet_Usage_PerRate_2[Description],"Usage per customer - Balance"),0),
IFERROR(N432/100*SUMIFS(INDEX(TUNet_Usage_PerRate_2[],0,MATCH(N$320,TUNet_Usage_PerRate_2[#Headers],0)),TUNet_Usage_PerRate_2[Customer type],Calc_TUV_Net_2[[#This Row],[Customer type]],TUNet_Usage_PerRate_2[Description],"Usage per customer - Single rate"),0))</f>
        <v>0</v>
      </c>
      <c r="O433" s="48">
        <f>SUM(
IFERROR(O430/100*SUMIFS(INDEX(TUNet_Usage_PerRate_2[],0,MATCH(O$320,TUNet_Usage_PerRate_2[#Headers],0)),TUNet_Usage_PerRate_2[Customer type],Calc_TUV_Net_2[[#This Row],[Customer type]],TUNet_Usage_PerRate_2[Description],"Usage per customer - Block 1"),0),
IFERROR(O431/100*SUMIFS(INDEX(TUNet_Usage_PerRate_2[],0,MATCH(O$320,TUNet_Usage_PerRate_2[#Headers],0)),TUNet_Usage_PerRate_2[Customer type],Calc_TUV_Net_2[[#This Row],[Customer type]],TUNet_Usage_PerRate_2[Description],"Usage per customer - Balance"),0),
IFERROR(O432/100*SUMIFS(INDEX(TUNet_Usage_PerRate_2[],0,MATCH(O$320,TUNet_Usage_PerRate_2[#Headers],0)),TUNet_Usage_PerRate_2[Customer type],Calc_TUV_Net_2[[#This Row],[Customer type]],TUNet_Usage_PerRate_2[Description],"Usage per customer - Single rate"),0))</f>
        <v>0</v>
      </c>
    </row>
    <row r="434" spans="3:15" hidden="1" outlineLevel="1" x14ac:dyDescent="0.25">
      <c r="C434" s="42" t="s">
        <v>412</v>
      </c>
      <c r="D434" s="42"/>
      <c r="E434" s="42"/>
      <c r="F434" s="42"/>
      <c r="G434" s="42"/>
      <c r="H434" s="18" t="s">
        <v>178</v>
      </c>
      <c r="I434" s="18" t="s">
        <v>65</v>
      </c>
      <c r="J434" s="42" t="s">
        <v>67</v>
      </c>
      <c r="K434" s="46" t="str">
        <f>IF(K433=0,"-",K429-K433)</f>
        <v>-</v>
      </c>
      <c r="L434" s="46" t="str">
        <f>IF(L433=0,"-",L429-L433)</f>
        <v>-</v>
      </c>
      <c r="M434" s="46" t="str">
        <f>IF(M433=0,"-",M429-M433)</f>
        <v>-</v>
      </c>
      <c r="N434" s="46" t="str">
        <f>IF(N433=0,"-",N429-N433)</f>
        <v>-</v>
      </c>
      <c r="O434" s="46" t="str">
        <f>IF(O433=0,"-",O429-O433)</f>
        <v>-</v>
      </c>
    </row>
    <row r="435" spans="3:15" hidden="1" outlineLevel="1" x14ac:dyDescent="0.25">
      <c r="C435" s="42" t="s">
        <v>414</v>
      </c>
      <c r="D435" s="60" t="str">
        <f>INDEX(Input_DecisionActual[[Decision]:[Decision]],MATCH(Calc_TU_values!$D$224,Input_DecisionActual[[VDO period]:[VDO period]],0),1)</f>
        <v>VDO 2022-23 - Final</v>
      </c>
      <c r="E435" s="18" t="s">
        <v>96</v>
      </c>
      <c r="F435" s="60" t="str">
        <f>IF($D435="-","-",INDEX(Inputs!$H$17:$U$17,1,MATCH($D435,Inputs!$H$15:$U$15,0)))</f>
        <v>F-PreviousVDO_Input3</v>
      </c>
      <c r="G435" s="42"/>
      <c r="H435" s="18" t="s">
        <v>178</v>
      </c>
      <c r="I435" s="18" t="s">
        <v>65</v>
      </c>
      <c r="J435" s="42" t="s">
        <v>67</v>
      </c>
      <c r="K435" s="47" cm="1">
        <f t="array" ref="K435">IFERROR(SUM(K434:K434)*(INDEX(Inputs!$H$18:$U$141,MATCH("Retail operating margin",Input_ForRateCalc[[Cost item]:[Cost item]],0),MATCH(Calc_TUV_Net_2[[#This Row],[Decision ref]:[Decision ref]],Inputs!$H$17:$U$17,0))),"-")</f>
        <v>0</v>
      </c>
      <c r="L435" s="47" cm="1">
        <f t="array" ref="L435">IFERROR(SUM(L434:L434)*(INDEX(Inputs!$H$18:$U$141,MATCH("Retail operating margin",Input_ForRateCalc[[Cost item]:[Cost item]],0),MATCH(Calc_TUV_Net_2[[#This Row],[Decision ref]:[Decision ref]],Inputs!$H$17:$U$17,0))),"-")</f>
        <v>0</v>
      </c>
      <c r="M435" s="47" cm="1">
        <f t="array" ref="M435">IFERROR(SUM(M434:M434)*(INDEX(Inputs!$H$18:$U$141,MATCH("Retail operating margin",Input_ForRateCalc[[Cost item]:[Cost item]],0),MATCH(Calc_TUV_Net_2[[#This Row],[Decision ref]:[Decision ref]],Inputs!$H$17:$U$17,0))),"-")</f>
        <v>0</v>
      </c>
      <c r="N435" s="47" cm="1">
        <f t="array" ref="N435">IFERROR(SUM(N434:N434)*(INDEX(Inputs!$H$18:$U$141,MATCH("Retail operating margin",Input_ForRateCalc[[Cost item]:[Cost item]],0),MATCH(Calc_TUV_Net_2[[#This Row],[Decision ref]:[Decision ref]],Inputs!$H$17:$U$17,0))),"-")</f>
        <v>0</v>
      </c>
      <c r="O435" s="47" cm="1">
        <f t="array" ref="O435">IFERROR(SUM(O434:O434)*(INDEX(Inputs!$H$18:$U$141,MATCH("Retail operating margin",Input_ForRateCalc[[Cost item]:[Cost item]],0),MATCH(Calc_TUV_Net_2[[#This Row],[Decision ref]:[Decision ref]],Inputs!$H$17:$U$17,0))),"-")</f>
        <v>0</v>
      </c>
    </row>
    <row r="436" spans="3:15" hidden="1" outlineLevel="1" x14ac:dyDescent="0.25">
      <c r="C436" s="42" t="s">
        <v>415</v>
      </c>
      <c r="D436" s="42"/>
      <c r="E436" s="42"/>
      <c r="F436" s="42"/>
      <c r="G436" s="42"/>
      <c r="H436" s="18" t="s">
        <v>178</v>
      </c>
      <c r="I436" s="18" t="s">
        <v>65</v>
      </c>
      <c r="J436" s="42" t="s">
        <v>67</v>
      </c>
      <c r="K436" s="47" t="str">
        <f>IF(K433=0,"-",SUM(K434:K435)*GST)</f>
        <v>-</v>
      </c>
      <c r="L436" s="47" t="str">
        <f>IF(L433=0,"-",SUM(L434:L435)*GST)</f>
        <v>-</v>
      </c>
      <c r="M436" s="47" t="str">
        <f>IF(M433=0,"-",SUM(M434:M435)*GST)</f>
        <v>-</v>
      </c>
      <c r="N436" s="47" t="str">
        <f>IF(N433=0,"-",SUM(N434:N435)*GST)</f>
        <v>-</v>
      </c>
      <c r="O436" s="47" t="str">
        <f>IF(O433=0,"-",SUM(O434:O435)*GST)</f>
        <v>-</v>
      </c>
    </row>
    <row r="437" spans="3:15" hidden="1" outlineLevel="1" x14ac:dyDescent="0.25">
      <c r="C437" s="18" t="s">
        <v>456</v>
      </c>
      <c r="D437" s="42"/>
      <c r="E437" s="42"/>
      <c r="F437" s="42"/>
      <c r="H437" s="18" t="s">
        <v>178</v>
      </c>
      <c r="I437" s="18" t="s">
        <v>65</v>
      </c>
      <c r="J437" s="42" t="s">
        <v>67</v>
      </c>
      <c r="K437" s="47" t="str">
        <f>IF(K433=0,"-",SUM(K434:K436))</f>
        <v>-</v>
      </c>
      <c r="L437" s="47" t="str">
        <f>IF(L433=0,"-",SUM(L434:L436))</f>
        <v>-</v>
      </c>
      <c r="M437" s="47" t="str">
        <f>IF(M433=0,"-",SUM(M434:M436))</f>
        <v>-</v>
      </c>
      <c r="N437" s="47" t="str">
        <f>IF(N433=0,"-",SUM(N434:N436))</f>
        <v>-</v>
      </c>
      <c r="O437" s="47" t="str">
        <f>IF(O433=0,"-",SUM(O434:O436))</f>
        <v>-</v>
      </c>
    </row>
    <row r="438" spans="3:15" hidden="1" outlineLevel="1" x14ac:dyDescent="0.25">
      <c r="C438" s="40"/>
      <c r="D438" s="40"/>
      <c r="E438" s="40"/>
      <c r="F438" s="40"/>
      <c r="G438" s="49"/>
      <c r="H438" s="49"/>
      <c r="I438" s="42"/>
      <c r="J438" s="42"/>
      <c r="K438" s="47"/>
      <c r="L438" s="42"/>
      <c r="M438" s="42"/>
      <c r="N438" s="42"/>
      <c r="O438" s="42"/>
    </row>
    <row r="439" spans="3:15" hidden="1" outlineLevel="1" x14ac:dyDescent="0.25"/>
    <row r="440" spans="3:15" hidden="1" outlineLevel="1" x14ac:dyDescent="0.25"/>
    <row r="441" spans="3:15" hidden="1" outlineLevel="1" x14ac:dyDescent="0.25"/>
    <row r="442" spans="3:15" hidden="1" outlineLevel="1" x14ac:dyDescent="0.25"/>
    <row r="443" spans="3:15" hidden="1" outlineLevel="1" x14ac:dyDescent="0.25"/>
    <row r="444" spans="3:15" hidden="1" outlineLevel="1" x14ac:dyDescent="0.25"/>
    <row r="445" spans="3:15" hidden="1" outlineLevel="1" x14ac:dyDescent="0.25"/>
    <row r="446" spans="3:15" hidden="1" outlineLevel="1" x14ac:dyDescent="0.25"/>
    <row r="447" spans="3:15" hidden="1" outlineLevel="1" x14ac:dyDescent="0.25"/>
  </sheetData>
  <sheetProtection algorithmName="SHA-512" hashValue="UEad0tPtxakCj9q//S+8lKgIWH+nERbVi7FTZmEkZaDWc2xPmMTFnUVFLyP9BcNpjFAduArwzVkEydDPZJOwIQ==" saltValue="M53Yi/pFkTcLl7Ek21w1QQ==" spinCount="100000" sheet="1" objects="1" scenarios="1"/>
  <mergeCells count="1">
    <mergeCell ref="A2:A3"/>
  </mergeCells>
  <phoneticPr fontId="30" type="noConversion"/>
  <dataValidations count="1">
    <dataValidation type="list" allowBlank="1" showInputMessage="1" showErrorMessage="1" sqref="G438:I438 G360:I360 G169:G175 G237:G242 H17:I17 G18:G23 H30:I30 H249:I249 G31:G36 H43:I43 G250:G255 G44:G49 G374:G380 G385:I386 H388:I388 H262:I262 G183:G188 G207 G324:G329 G400 G361:G366 G372 G219:I219 G428:G433 H236:I236 G117:G123 G414:I414 G415:G420 D11 G103:I103 G388:G394 G263:G268 G426 G402:G407 G323:I323 G337:G343 G335 G141:I141 G155:G161 G166:I167 H169:I169 G104:G109 G181 G142:G147 G153 G209:G214 G129 G195:I195 G196:G201 G115" xr:uid="{1AE6ACDE-CA28-4EF7-9893-0F6188807EA2}">
      <formula1>"Yes,No"</formula1>
    </dataValidation>
  </dataValidations>
  <pageMargins left="0.7" right="0.7" top="0.75" bottom="0.75" header="0.3" footer="0.3"/>
  <pageSetup paperSize="9" orientation="portrait" r:id="rId1"/>
  <headerFooter>
    <oddHeader>&amp;C&amp;B&amp;"Arial"&amp;12&amp;Kff0000​‌OFFICIAL‌​</oddHeader>
  </headerFooter>
  <ignoredErrors>
    <ignoredError sqref="K332:K333 L344:O344 K346:O347 K356:K357" calculatedColumn="1"/>
  </ignoredErrors>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E815EA05-8F41-4BAC-860A-D30B0531C615}">
          <x14:formula1>
            <xm:f>'Lookup refs'!$E$8:$E$20</xm:f>
          </x14:formula1>
          <xm:sqref>F55 F220 I279:I290 I59:I70 I229:I231 I10:I12 I16:I54 I101:I219 I235:I273 I321:I438</xm:sqref>
        </x14:dataValidation>
        <x14:dataValidation type="list" allowBlank="1" showInputMessage="1" showErrorMessage="1" xr:uid="{057ACAD4-5C6C-42F9-B5A1-859B19EB380F}">
          <x14:formula1>
            <xm:f>'Lookup refs'!$G$8:$G$10</xm:f>
          </x14:formula1>
          <xm:sqref>G55 G220 J279 J285 J282 J288 J10:J12 J72:J73 J229:J231 J292:J293 J31:J42 J44:J54 J18:J29 J104:J139 J142:J165 J170:J193 J196:J218 J237:J248 J250:J261 J263:J273 J324:J358 J361:J384 J389:J412 J415:J437</xm:sqref>
        </x14:dataValidation>
        <x14:dataValidation type="list" allowBlank="1" showInputMessage="1" showErrorMessage="1" xr:uid="{5CD920AE-075C-4307-97A9-458228D01FB3}">
          <x14:formula1>
            <xm:f>'Lookup refs'!$C$8:$C$10</xm:f>
          </x14:formula1>
          <xm:sqref>E55 E220 H31:H42 H44:H54 H18:H29 H104:H139 H142:H165 H170:H193 H196:H218 H237:H248 H250:H261 H263:H273 H324:H358 H361:H384 H389:H412 H415:H437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6CEB-3301-4A59-8593-A05FFA1D9B81}">
  <sheetPr>
    <tabColor rgb="FF236192"/>
    <outlinePr summaryBelow="0"/>
    <pageSetUpPr autoPageBreaks="0"/>
  </sheetPr>
  <dimension ref="A1:V267"/>
  <sheetViews>
    <sheetView showGridLines="0" topLeftCell="B1" zoomScale="85" zoomScaleNormal="85" workbookViewId="0">
      <pane ySplit="3" topLeftCell="A4" activePane="bottomLeft" state="frozen"/>
      <selection activeCell="B33" sqref="B33"/>
      <selection pane="bottomLeft" activeCell="L268" sqref="A4:L268"/>
    </sheetView>
  </sheetViews>
  <sheetFormatPr defaultColWidth="9.42578125" defaultRowHeight="15" outlineLevelRow="1" outlineLevelCol="1" x14ac:dyDescent="0.25"/>
  <cols>
    <col min="1" max="1" width="100.5703125" hidden="1" customWidth="1" outlineLevel="1" collapsed="1"/>
    <col min="2" max="2" width="10.5703125" style="5" customWidth="1" collapsed="1"/>
    <col min="3" max="3" width="50.5703125" customWidth="1"/>
    <col min="4" max="12" width="20.5703125" customWidth="1"/>
  </cols>
  <sheetData>
    <row r="1" spans="1:12" ht="15" customHeight="1" x14ac:dyDescent="0.25">
      <c r="A1" s="1" t="s">
        <v>32</v>
      </c>
      <c r="B1" s="16"/>
      <c r="C1" s="17"/>
      <c r="D1" s="87" t="s">
        <v>352</v>
      </c>
      <c r="E1" s="70"/>
      <c r="F1" s="17"/>
      <c r="G1" s="17"/>
      <c r="H1" s="17"/>
      <c r="I1" s="17"/>
      <c r="J1" s="17"/>
      <c r="K1" s="17"/>
      <c r="L1" s="17"/>
    </row>
    <row r="2" spans="1:12" s="3" customFormat="1" ht="50.1" customHeight="1" x14ac:dyDescent="0.25">
      <c r="A2" s="234" t="s">
        <v>33</v>
      </c>
      <c r="B2" s="20"/>
      <c r="C2" s="20" t="str">
        <f>Disclaimer!$B$1</f>
        <v>VDO calculation model</v>
      </c>
      <c r="D2" s="129" t="str">
        <f>$D$5</f>
        <v>VDO 2024-25 - Draft</v>
      </c>
      <c r="E2" s="129" t="str">
        <f>$D$135</f>
        <v>VDO 2023-24 - Final</v>
      </c>
      <c r="F2" s="20"/>
      <c r="G2" s="20"/>
      <c r="H2" s="20"/>
      <c r="I2" s="20"/>
      <c r="J2" s="20"/>
      <c r="K2" s="20"/>
      <c r="L2" s="20"/>
    </row>
    <row r="3" spans="1:12" s="3" customFormat="1" ht="30" customHeight="1" x14ac:dyDescent="0.25">
      <c r="A3" s="235"/>
      <c r="B3" s="22">
        <f ca="1">_xlfn.SHEET()</f>
        <v>10</v>
      </c>
      <c r="C3" s="21" t="s">
        <v>466</v>
      </c>
      <c r="D3" s="69">
        <f>SUM($H$44:$L$48,$H$100:$L$132)</f>
        <v>0</v>
      </c>
      <c r="E3" s="69">
        <f>SUM($H$174:$L$178,$H$230:$L$262)</f>
        <v>0</v>
      </c>
      <c r="F3" s="21"/>
      <c r="G3" s="21"/>
      <c r="H3" s="21"/>
      <c r="I3" s="21"/>
      <c r="J3" s="21"/>
      <c r="K3" s="21"/>
      <c r="L3" s="21"/>
    </row>
    <row r="4" spans="1:12" x14ac:dyDescent="0.25">
      <c r="B4"/>
    </row>
    <row r="5" spans="1:12" ht="15.75" x14ac:dyDescent="0.25">
      <c r="B5"/>
      <c r="C5" s="39" t="s">
        <v>47</v>
      </c>
      <c r="D5" s="30" t="str">
        <f>Calc_Rates!$D$5</f>
        <v>VDO 2024-25 - Draft</v>
      </c>
    </row>
    <row r="6" spans="1:12" x14ac:dyDescent="0.25">
      <c r="B6"/>
    </row>
    <row r="7" spans="1:12" ht="16.5" collapsed="1" thickBot="1" x14ac:dyDescent="0.3">
      <c r="B7" s="161">
        <f ca="1">MAX(B$3:B6)+0.01</f>
        <v>10.01</v>
      </c>
      <c r="C7" s="23" t="s">
        <v>467</v>
      </c>
      <c r="D7" s="23"/>
      <c r="E7" s="23"/>
      <c r="F7" s="23"/>
      <c r="G7" s="23"/>
      <c r="H7" s="23"/>
      <c r="I7" s="23"/>
      <c r="J7" s="23"/>
      <c r="K7" s="23"/>
      <c r="L7" s="23"/>
    </row>
    <row r="8" spans="1:12" ht="15.75" hidden="1" outlineLevel="1" x14ac:dyDescent="0.25">
      <c r="C8" s="24"/>
    </row>
    <row r="9" spans="1:12" ht="15.75" hidden="1" outlineLevel="1" x14ac:dyDescent="0.25">
      <c r="C9" s="24" t="s">
        <v>468</v>
      </c>
    </row>
    <row r="10" spans="1:12" ht="15.75" hidden="1" outlineLevel="1" x14ac:dyDescent="0.25">
      <c r="C10" s="94" t="s">
        <v>49</v>
      </c>
      <c r="D10" s="94" t="s">
        <v>108</v>
      </c>
      <c r="E10" s="94" t="s">
        <v>56</v>
      </c>
      <c r="F10" s="94" t="s">
        <v>57</v>
      </c>
      <c r="G10" s="94" t="s">
        <v>48</v>
      </c>
      <c r="H10" s="43" t="s">
        <v>59</v>
      </c>
      <c r="I10" s="43" t="s">
        <v>60</v>
      </c>
      <c r="J10" s="43" t="s">
        <v>61</v>
      </c>
      <c r="K10" s="43" t="s">
        <v>62</v>
      </c>
      <c r="L10" s="43" t="s">
        <v>63</v>
      </c>
    </row>
    <row r="11" spans="1:12" hidden="1" outlineLevel="1" x14ac:dyDescent="0.25">
      <c r="C11" s="18" t="str">
        <f>IF(COUNTIFS(Calc_TUV_Net_1[Pass through (Yes/No)],"Yes",Calc_TUV_Net_1[Cost item],"Anytime - "&amp;Calc_TUV_NetGroup_1[[#This Row],[Customer type]])=1,"Anytime - supply","-")</f>
        <v>-</v>
      </c>
      <c r="D11" s="18" t="s">
        <v>132</v>
      </c>
      <c r="E11" s="42" t="s">
        <v>65</v>
      </c>
      <c r="F11" s="18" t="s">
        <v>66</v>
      </c>
      <c r="G11" s="18" t="s">
        <v>81</v>
      </c>
      <c r="H11" s="102">
        <f>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1" s="102" cm="1">
        <f t="array" ref="I11">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1" s="102" cm="1">
        <f t="array" ref="J11">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1" s="102" cm="1">
        <f t="array" ref="K11">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1" s="102" cm="1">
        <f t="array" ref="L1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2" spans="1:12" hidden="1" outlineLevel="1" x14ac:dyDescent="0.25">
      <c r="C12" s="18" t="str">
        <f>IF(COUNTIFS(Calc_TUV_Net_1[Pass through (Yes/No)],"Yes",Calc_TUV_Net_1[Cost item],"Anytime - "&amp;Calc_TUV_NetGroup_1[[#This Row],[Customer type]])=1,"Anytime - usage","-")</f>
        <v>-</v>
      </c>
      <c r="D12" s="18" t="s">
        <v>178</v>
      </c>
      <c r="E12" s="42" t="s">
        <v>65</v>
      </c>
      <c r="F12" s="18" t="s">
        <v>66</v>
      </c>
      <c r="G12" s="18" t="s">
        <v>81</v>
      </c>
      <c r="H12" s="102" cm="1">
        <f t="array" ref="H12">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2" s="102" cm="1">
        <f t="array" ref="I12">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2" s="102" cm="1">
        <f t="array" ref="J12">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2" s="102" cm="1">
        <f t="array" ref="K12">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2" s="102" cm="1">
        <f t="array" ref="L12">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3" spans="1:12" hidden="1" outlineLevel="1" x14ac:dyDescent="0.25">
      <c r="C13" s="18" t="str">
        <f>IF(COUNTIFS(Calc_TUV_Net_1[Pass through (Yes/No)],"Yes",Calc_TUV_Net_1[Cost item],"Anytime - "&amp;Calc_TUV_NetGroup_1[[#This Row],[Customer type]])=1,"Anytime - supply","-")</f>
        <v>-</v>
      </c>
      <c r="D13" s="18" t="s">
        <v>132</v>
      </c>
      <c r="E13" s="42" t="s">
        <v>65</v>
      </c>
      <c r="F13" s="18" t="s">
        <v>67</v>
      </c>
      <c r="G13" s="18" t="s">
        <v>81</v>
      </c>
      <c r="H13" s="102" cm="1">
        <f t="array" ref="H13">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3" s="102" cm="1">
        <f t="array" ref="I13">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3" s="102" cm="1">
        <f t="array" ref="J13">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3" s="102" cm="1">
        <f t="array" ref="K13">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3" s="102" cm="1">
        <f t="array" ref="L13">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4" spans="1:12" hidden="1" outlineLevel="1" x14ac:dyDescent="0.25">
      <c r="C14" s="18" t="str">
        <f>IF(COUNTIFS(Calc_TUV_Net_1[Pass through (Yes/No)],"Yes",Calc_TUV_Net_1[Cost item],"Anytime - "&amp;Calc_TUV_NetGroup_1[[#This Row],[Customer type]])=1,"Anytime - usage","-")</f>
        <v>-</v>
      </c>
      <c r="D14" s="18" t="s">
        <v>178</v>
      </c>
      <c r="E14" s="42" t="s">
        <v>65</v>
      </c>
      <c r="F14" s="18" t="s">
        <v>67</v>
      </c>
      <c r="G14" s="18" t="s">
        <v>81</v>
      </c>
      <c r="H14" s="102" cm="1">
        <f t="array" ref="H14">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4" s="102" cm="1">
        <f t="array" ref="I14">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4" s="102" cm="1">
        <f t="array" ref="J14">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4" s="102" cm="1">
        <f t="array" ref="K14">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4" s="102" cm="1">
        <f t="array" ref="L14">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5" spans="1:12" hidden="1" outlineLevel="1" x14ac:dyDescent="0.25">
      <c r="C15" s="18" t="str">
        <f>IF(COUNTIFS(Calc_TUV_Net_1[Pass through (Yes/No)],"Yes",Calc_TUV_Net_1[Cost item],"Controlled load cost - "&amp;Calc_TUV_NetGroup_1[[#This Row],[Customer type]])=1,"Controlled load - usage","-")</f>
        <v>-</v>
      </c>
      <c r="D15" s="18" t="s">
        <v>178</v>
      </c>
      <c r="E15" s="42" t="s">
        <v>65</v>
      </c>
      <c r="F15" s="18" t="s">
        <v>66</v>
      </c>
      <c r="G15" s="18" t="s">
        <v>81</v>
      </c>
      <c r="H15" s="102" cm="1">
        <f t="array" ref="H15">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5" s="102" cm="1">
        <f t="array" ref="I15">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5" s="102" cm="1">
        <f t="array" ref="J15">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5" s="102" cm="1">
        <f t="array" ref="K15">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5" s="102" cm="1">
        <f t="array" ref="L15">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6" spans="1:12" hidden="1" outlineLevel="1" x14ac:dyDescent="0.25">
      <c r="C16" s="18" t="str">
        <f>IF(COUNTIFS(Calc_TUV_Net_1[Pass through (Yes/No)],"Yes",Calc_TUV_Net_1[Cost item],"TOU - "&amp;Calc_TUV_NetGroup_1[[#This Row],[Customer type]])=1,"TOU - supply","-")</f>
        <v>-</v>
      </c>
      <c r="D16" s="18" t="s">
        <v>132</v>
      </c>
      <c r="E16" s="42" t="s">
        <v>65</v>
      </c>
      <c r="F16" s="18" t="s">
        <v>66</v>
      </c>
      <c r="G16" s="18" t="s">
        <v>81</v>
      </c>
      <c r="H16" s="102" cm="1">
        <f t="array" ref="H16">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6" s="102" cm="1">
        <f t="array" ref="I16">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6" s="102" cm="1">
        <f t="array" ref="J16">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6" s="102" cm="1">
        <f t="array" ref="K16">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6" s="102" cm="1">
        <f t="array" ref="L16">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7" spans="3:12" hidden="1" outlineLevel="1" x14ac:dyDescent="0.25">
      <c r="C17" s="18" t="str">
        <f>IF(COUNTIFS(Calc_TUV_Net_1[Pass through (Yes/No)],"Yes",Calc_TUV_Net_1[Cost item],"TOU - "&amp;Calc_TUV_NetGroup_1[[#This Row],[Customer type]])=1,"TOU - usage","-")</f>
        <v>-</v>
      </c>
      <c r="D17" s="18" t="s">
        <v>178</v>
      </c>
      <c r="E17" s="42" t="s">
        <v>65</v>
      </c>
      <c r="F17" s="18" t="s">
        <v>66</v>
      </c>
      <c r="G17" s="18" t="s">
        <v>81</v>
      </c>
      <c r="H17" s="102" cm="1">
        <f t="array" ref="H17">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7" s="102" cm="1">
        <f t="array" ref="I17">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7" s="102" cm="1">
        <f t="array" ref="J17">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7" s="102" cm="1">
        <f t="array" ref="K17">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7" s="102" cm="1">
        <f t="array" ref="L17">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8" spans="3:12" hidden="1" outlineLevel="1" x14ac:dyDescent="0.25">
      <c r="C18" s="18" t="str">
        <f>IF(COUNTIFS(Calc_TUV_Net_1[Pass through (Yes/No)],"Yes",Calc_TUV_Net_1[Cost item],"TOU - "&amp;Calc_TUV_NetGroup_1[[#This Row],[Customer type]])=1,"TOU - supply","-")</f>
        <v>-</v>
      </c>
      <c r="D18" s="18" t="s">
        <v>132</v>
      </c>
      <c r="E18" s="42" t="s">
        <v>65</v>
      </c>
      <c r="F18" s="18" t="s">
        <v>67</v>
      </c>
      <c r="G18" s="18" t="s">
        <v>81</v>
      </c>
      <c r="H18" s="102" cm="1">
        <f t="array" ref="H18">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8" s="102" cm="1">
        <f t="array" ref="I18">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8" s="102" cm="1">
        <f t="array" ref="J18">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8" s="102" cm="1">
        <f t="array" ref="K18">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8" s="102" cm="1">
        <f t="array" ref="L18">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9" spans="3:12" hidden="1" outlineLevel="1" x14ac:dyDescent="0.25">
      <c r="C19" s="18" t="str">
        <f>IF(COUNTIFS(Calc_TUV_Net_1[Pass through (Yes/No)],"Yes",Calc_TUV_Net_1[Cost item],"TOU - "&amp;Calc_TUV_NetGroup_1[[#This Row],[Customer type]])=1,"TOU - usage","-")</f>
        <v>-</v>
      </c>
      <c r="D19" s="18" t="s">
        <v>178</v>
      </c>
      <c r="E19" s="42" t="s">
        <v>65</v>
      </c>
      <c r="F19" s="18" t="s">
        <v>67</v>
      </c>
      <c r="G19" s="18" t="s">
        <v>81</v>
      </c>
      <c r="H19" s="102" cm="1">
        <f t="array" ref="H19">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9" s="102" cm="1">
        <f t="array" ref="I19">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9" s="102" cm="1">
        <f t="array" ref="J19">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9" s="102" cm="1">
        <f t="array" ref="K19">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9" s="102" cm="1">
        <f t="array" ref="L19">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20" spans="3:12" ht="15.75" hidden="1" outlineLevel="1" x14ac:dyDescent="0.25">
      <c r="C20" s="24"/>
    </row>
    <row r="21" spans="3:12" ht="15.75" hidden="1" outlineLevel="1" x14ac:dyDescent="0.25">
      <c r="C21" s="39" t="s">
        <v>469</v>
      </c>
      <c r="D21" s="60" t="e">
        <f>INDEX(Inputs!$C$17:$Y$17,1,MATCH($D$5,Inputs!$C$15:$Y$15,0))</f>
        <v>#N/A</v>
      </c>
      <c r="E21" s="127" t="str">
        <f>IFERROR(INDEX(#REF!,MATCH(Calc_TU_rates!C21,#REF!,0),MATCH(Calc_TU_rates!D21,#REF!,0)),"-")</f>
        <v>-</v>
      </c>
    </row>
    <row r="22" spans="3:12" ht="15.75" hidden="1" outlineLevel="1" x14ac:dyDescent="0.25">
      <c r="C22" s="39" t="s">
        <v>470</v>
      </c>
      <c r="D22" s="60" t="e">
        <f>INDEX(Inputs!$C$17:$Y$17,1,MATCH($D$5,Inputs!$C$15:$Y$15,0))</f>
        <v>#N/A</v>
      </c>
      <c r="E22" s="127" t="str">
        <f>IFERROR(INDEX(#REF!,MATCH(Calc_TU_rates!C22,#REF!,0),MATCH(Calc_TU_rates!D22,#REF!,0)),"-")</f>
        <v>-</v>
      </c>
    </row>
    <row r="23" spans="3:12" ht="15.75" hidden="1" outlineLevel="1" x14ac:dyDescent="0.25">
      <c r="C23" s="24"/>
    </row>
    <row r="24" spans="3:12" ht="15.75" hidden="1" outlineLevel="1" x14ac:dyDescent="0.25">
      <c r="C24" s="39" t="s">
        <v>422</v>
      </c>
      <c r="E24" s="135" t="str">
        <f>IFERROR(_xlfn.DAYS(E22,E21)+1,"-")</f>
        <v>-</v>
      </c>
    </row>
    <row r="25" spans="3:12" ht="15.75" hidden="1" outlineLevel="1" x14ac:dyDescent="0.25">
      <c r="C25" s="24"/>
    </row>
    <row r="26" spans="3:12" ht="15.75" hidden="1" outlineLevel="1" x14ac:dyDescent="0.25">
      <c r="C26" s="24" t="s">
        <v>471</v>
      </c>
    </row>
    <row r="27" spans="3:12" ht="15.75" hidden="1" outlineLevel="1" x14ac:dyDescent="0.25">
      <c r="C27" s="32" t="s">
        <v>472</v>
      </c>
      <c r="D27" s="94" t="s">
        <v>108</v>
      </c>
      <c r="E27" s="94" t="s">
        <v>56</v>
      </c>
      <c r="F27" s="94" t="s">
        <v>57</v>
      </c>
      <c r="G27" s="94" t="s">
        <v>48</v>
      </c>
      <c r="H27" s="43" t="s">
        <v>59</v>
      </c>
      <c r="I27" s="43" t="s">
        <v>60</v>
      </c>
      <c r="J27" s="43" t="s">
        <v>61</v>
      </c>
      <c r="K27" s="43" t="s">
        <v>62</v>
      </c>
      <c r="L27" s="43" t="s">
        <v>63</v>
      </c>
    </row>
    <row r="28" spans="3:12" hidden="1" outlineLevel="1" collapsed="1" x14ac:dyDescent="0.25">
      <c r="C28" s="18" t="s">
        <v>80</v>
      </c>
      <c r="D28" s="18" t="s">
        <v>132</v>
      </c>
      <c r="E28" s="42" t="s">
        <v>65</v>
      </c>
      <c r="F28" s="18" t="s">
        <v>66</v>
      </c>
      <c r="G28" s="18" t="s">
        <v>81</v>
      </c>
      <c r="H28" s="103" t="str">
        <f>IFERROR(
(SUMIFS(Calc_TUV_NetGroup_1[Ausnet],
Calc_TUV_NetGroup_1[Cost item],Calc_TUR_Net_1[[#This Row],[Rate type]]&amp;" - supply",
Calc_TUV_NetGroup_1[Customer type],Calc_TUR_Net_1[[#This Row],[Customer type]],
Calc_TUV_NetGroup_1[Cost element],Calc_TUR_Net_1[[#This Row],[Cost element]])+
SUMIFS(Calc_TUV_NetGroup_1[Ausnet],
Calc_TUV_NetGroup_1[Cost item],Calc_TUR_Net_1[[#This Row],[Rate type]]&amp;" - usage",
Calc_TUV_NetGroup_1[Customer type],Calc_TUR_Net_1[[#This Row],[Customer type]],
Calc_TUV_NetGroup_1[Cost element],Calc_TUR_Net_1[[#This Row],[Cost element]]))
/$E$24,"-")</f>
        <v>-</v>
      </c>
      <c r="I28" s="103" t="str" cm="1">
        <f t="array" ref="I28">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8" s="103" t="str" cm="1">
        <f t="array" ref="J28">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8" s="103" t="str" cm="1">
        <f t="array" ref="K28">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8" s="103" t="str" cm="1">
        <f t="array" ref="L28">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29" spans="3:12" hidden="1" outlineLevel="1" x14ac:dyDescent="0.25">
      <c r="C29" s="18" t="s">
        <v>80</v>
      </c>
      <c r="D29" s="18" t="s">
        <v>132</v>
      </c>
      <c r="E29" s="42" t="s">
        <v>65</v>
      </c>
      <c r="F29" s="18" t="s">
        <v>67</v>
      </c>
      <c r="G29" s="18" t="s">
        <v>81</v>
      </c>
      <c r="H29" s="103" t="str" cm="1">
        <f t="array" ref="H29">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29" s="103" t="str" cm="1">
        <f t="array" ref="I29">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9" s="103" t="str" cm="1">
        <f t="array" ref="J29">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9" s="103" t="str" cm="1">
        <f t="array" ref="K29">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9" s="103" t="str" cm="1">
        <f t="array" ref="L29">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0" spans="3:12" hidden="1" outlineLevel="1" x14ac:dyDescent="0.25">
      <c r="C30" s="18" t="s">
        <v>82</v>
      </c>
      <c r="D30" s="18" t="s">
        <v>132</v>
      </c>
      <c r="E30" s="42" t="s">
        <v>65</v>
      </c>
      <c r="F30" s="18" t="s">
        <v>66</v>
      </c>
      <c r="G30" s="18" t="s">
        <v>81</v>
      </c>
      <c r="H30" s="103" t="str" cm="1">
        <f t="array" ref="H30">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0" s="103" t="str" cm="1">
        <f t="array" ref="I30">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0" s="103" t="str" cm="1">
        <f t="array" ref="J30">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0" s="103" t="str" cm="1">
        <f t="array" ref="K30">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0" s="103" t="str" cm="1">
        <f t="array" ref="L30">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1" spans="3:12" hidden="1" outlineLevel="1" x14ac:dyDescent="0.25">
      <c r="C31" s="18" t="s">
        <v>82</v>
      </c>
      <c r="D31" s="18" t="s">
        <v>132</v>
      </c>
      <c r="E31" s="42" t="s">
        <v>65</v>
      </c>
      <c r="F31" s="18" t="s">
        <v>67</v>
      </c>
      <c r="G31" s="18" t="s">
        <v>81</v>
      </c>
      <c r="H31" s="103" t="str" cm="1">
        <f t="array" ref="H3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1" s="103" t="str" cm="1">
        <f t="array" ref="I3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1" s="103" t="str" cm="1">
        <f t="array" ref="J3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1" s="103" t="str" cm="1">
        <f t="array" ref="K3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1" s="103" t="str" cm="1">
        <f t="array" ref="L3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2" spans="3:12" hidden="1" outlineLevel="1" x14ac:dyDescent="0.25">
      <c r="C32" s="97"/>
      <c r="D32" s="97"/>
      <c r="E32" s="98"/>
      <c r="F32" s="97"/>
      <c r="G32" s="97"/>
      <c r="H32" s="97"/>
      <c r="I32" s="97"/>
      <c r="J32" s="97"/>
      <c r="K32" s="97"/>
      <c r="L32" s="97"/>
    </row>
    <row r="33" spans="3:12" ht="15.75" hidden="1" outlineLevel="1" x14ac:dyDescent="0.25">
      <c r="C33" s="39" t="s">
        <v>473</v>
      </c>
      <c r="E33" s="106" t="str">
        <f>IFERROR((_xlfn.DAYS(E22,E21)+1)/_xlfn.SINGLE(DiY),"-")</f>
        <v>-</v>
      </c>
    </row>
    <row r="34" spans="3:12" ht="15.75" hidden="1" outlineLevel="1" x14ac:dyDescent="0.25">
      <c r="C34" s="39" t="s">
        <v>474</v>
      </c>
      <c r="E34" s="140" t="str">
        <f>IFERROR(
INDEX(Input_Usage[[F-PreviousVDO_Input]:[F-PreviousVDO_Input2]],MATCH("Residential - medium - Controlled load",Input_Usage[Ref],0),MATCH($D$5,Inputs!$I$147:$Q$147,0))*E33,"-")</f>
        <v>-</v>
      </c>
      <c r="G34" s="139"/>
    </row>
    <row r="35" spans="3:12" ht="15.75" hidden="1" outlineLevel="1" x14ac:dyDescent="0.25">
      <c r="C35" s="39" t="s">
        <v>475</v>
      </c>
      <c r="D35" s="60" t="e">
        <f>INDEX(Inputs!$C$17:$Y$17,1,MATCH($D$5,Inputs!$C$15:$Y$15,0))</f>
        <v>#N/A</v>
      </c>
      <c r="E35" s="106" t="str" cm="1">
        <f t="array" ref="E35">IFERROR(INDEX(#REF!,MATCH(1,(#REF!="Total usage - Controlled Load")*(#REF!="Residential")*(#REF!="January 2021 to June 2021"),0),MATCH($D$35,#REF!,0))
/INDEX(#REF!,MATCH(1,(#REF!="Total usage - Controlled Load")*(#REF!="Residential")*(#REF!="July 2020 to June 2021"),0),MATCH($D$35,#REF!,0)),"-")</f>
        <v>-</v>
      </c>
      <c r="G35" s="139"/>
    </row>
    <row r="36" spans="3:12" ht="15.75" hidden="1" outlineLevel="1" x14ac:dyDescent="0.25">
      <c r="C36" s="39" t="s">
        <v>476</v>
      </c>
      <c r="E36" s="140" t="str">
        <f>IFERROR(
INDEX(Input_Usage[[F-PreviousVDO_Input]:[F-PreviousVDO_Input2]],MATCH("Residential - medium - Controlled load",Input_Usage[Ref],0),MATCH(Calc_TU_rates!$D$135,Inputs!$I$147:$Q$147,0))*E35,"-")</f>
        <v>-</v>
      </c>
      <c r="G36" s="139"/>
    </row>
    <row r="37" spans="3:12" hidden="1" outlineLevel="1" x14ac:dyDescent="0.25"/>
    <row r="38" spans="3:12" ht="15.75" hidden="1" outlineLevel="1" x14ac:dyDescent="0.25">
      <c r="C38" s="24" t="s">
        <v>477</v>
      </c>
    </row>
    <row r="39" spans="3:12" ht="15.75" hidden="1" outlineLevel="1" x14ac:dyDescent="0.25">
      <c r="C39" s="32" t="s">
        <v>472</v>
      </c>
      <c r="D39" s="94" t="s">
        <v>108</v>
      </c>
      <c r="E39" s="94" t="s">
        <v>56</v>
      </c>
      <c r="F39" s="94" t="s">
        <v>57</v>
      </c>
      <c r="G39" s="94" t="s">
        <v>48</v>
      </c>
      <c r="H39" s="43" t="s">
        <v>59</v>
      </c>
      <c r="I39" s="43" t="s">
        <v>60</v>
      </c>
      <c r="J39" s="43" t="s">
        <v>61</v>
      </c>
      <c r="K39" s="43" t="s">
        <v>62</v>
      </c>
      <c r="L39" s="43" t="s">
        <v>63</v>
      </c>
    </row>
    <row r="40" spans="3:12" hidden="1" outlineLevel="1" x14ac:dyDescent="0.25">
      <c r="C40" s="18" t="s">
        <v>75</v>
      </c>
      <c r="D40" s="18" t="s">
        <v>178</v>
      </c>
      <c r="E40" s="42" t="s">
        <v>65</v>
      </c>
      <c r="F40" s="18" t="s">
        <v>66</v>
      </c>
      <c r="G40" s="18" t="s">
        <v>81</v>
      </c>
      <c r="H40" s="103" t="str" cm="1">
        <f t="array" ref="H40">IFERROR(
(SUMIFS(Calc_TUV_NetGroup_1[Ausnet],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SUMIFS(Calc_TUV_NetGroup_1[Ausnet],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I40" s="103" t="str" cm="1">
        <f t="array" ref="I40">IFERROR(
(SUMIFS(Calc_TUV_NetGroup_1[Citipower],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SUMIFS(Calc_TUV_NetGroup_1[Citipower],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J40" s="103" t="str" cm="1">
        <f t="array" ref="J40">IFERROR(
(SUMIFS(Calc_TUV_NetGroup_1[Jemena],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SUMIFS(Calc_TUV_NetGroup_1[Jemena],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K40" s="103" t="str" cm="1">
        <f t="array" ref="K40">IFERROR(
(SUMIFS(Calc_TUV_NetGroup_1[Powercor],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SUMIFS(Calc_TUV_NetGroup_1[Powercor],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L40" s="103" t="str" cm="1">
        <f t="array" ref="L40">IFERROR(
(SUMIFS(Calc_TUV_NetGroup_1[United Energy],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SUMIFS(Calc_TUV_NetGroup_1[United Energy],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row>
    <row r="41" spans="3:12" hidden="1" outlineLevel="1" x14ac:dyDescent="0.25">
      <c r="C41" s="97"/>
      <c r="D41" s="97"/>
      <c r="E41" s="98"/>
      <c r="F41" s="97"/>
      <c r="G41" s="97"/>
      <c r="H41" s="97"/>
      <c r="I41" s="97"/>
      <c r="J41" s="97"/>
      <c r="K41" s="97"/>
      <c r="L41" s="97"/>
    </row>
    <row r="42" spans="3:12" ht="15.75" hidden="1" outlineLevel="1" x14ac:dyDescent="0.25">
      <c r="C42" s="24" t="s">
        <v>16</v>
      </c>
    </row>
    <row r="43" spans="3:12" ht="15.75" hidden="1" outlineLevel="1" x14ac:dyDescent="0.25">
      <c r="C43" s="93" t="s">
        <v>472</v>
      </c>
      <c r="D43" s="93" t="s">
        <v>108</v>
      </c>
      <c r="E43" s="93" t="s">
        <v>56</v>
      </c>
      <c r="F43" s="93" t="s">
        <v>57</v>
      </c>
      <c r="G43" s="107" t="s">
        <v>48</v>
      </c>
      <c r="H43" s="35" t="s">
        <v>59</v>
      </c>
      <c r="I43" s="35" t="s">
        <v>60</v>
      </c>
      <c r="J43" s="35" t="s">
        <v>61</v>
      </c>
      <c r="K43" s="35" t="s">
        <v>62</v>
      </c>
      <c r="L43" s="35" t="s">
        <v>63</v>
      </c>
    </row>
    <row r="44" spans="3:12" ht="15.75" hidden="1" outlineLevel="1" x14ac:dyDescent="0.25">
      <c r="C44" s="18" t="s">
        <v>80</v>
      </c>
      <c r="D44" s="18" t="s">
        <v>132</v>
      </c>
      <c r="E44" s="18" t="s">
        <v>65</v>
      </c>
      <c r="F44" s="18" t="s">
        <v>66</v>
      </c>
      <c r="G44" s="18" t="s">
        <v>81</v>
      </c>
      <c r="H44" s="68" t="str">
        <f>IFERROR(
IF(
(SUMIFS(Calc_TUV_NetGroup_1[Ausnet],Calc_TUV_NetGroup_1[[Customer type]:[Customer type]],$F44,Calc_TUV_NetGroup_1[[Cost item]:[Cost item]],$C44&amp;" - supply")+
SUMIFS(Calc_TUV_NetGroup_1[Ausnet],Calc_TUV_NetGroup_1[[Customer type]:[Customer type]],$F44,Calc_TUV_NetGroup_1[[Cost item]:[Cost item]],$C44&amp;" - usage"))/
IF($C44&lt;&gt;"Controlled load",$E$24,$E$34)=H28,
0,1),"-")</f>
        <v>-</v>
      </c>
      <c r="I44" s="68" t="str">
        <f>IFERROR(
IF(
(SUMIFS(Calc_TUV_NetGroup_1[Citipower],Calc_TUV_NetGroup_1[[Customer type]:[Customer type]],$F44,Calc_TUV_NetGroup_1[[Cost item]:[Cost item]],$C44&amp;" - supply")+
SUMIFS(Calc_TUV_NetGroup_1[Citipower],Calc_TUV_NetGroup_1[[Customer type]:[Customer type]],$F44,Calc_TUV_NetGroup_1[[Cost item]:[Cost item]],$C44&amp;" - usage"))/
IF($C44&lt;&gt;"Controlled load",$E$24,$E$34)=I28,
0,1),"-")</f>
        <v>-</v>
      </c>
      <c r="J44" s="68" t="str">
        <f>IFERROR(
IF(
(SUMIFS(Calc_TUV_NetGroup_1[Jemena],Calc_TUV_NetGroup_1[[Customer type]:[Customer type]],$F44,Calc_TUV_NetGroup_1[[Cost item]:[Cost item]],$C44&amp;" - supply")+
SUMIFS(Calc_TUV_NetGroup_1[Jemena],Calc_TUV_NetGroup_1[[Customer type]:[Customer type]],$F44,Calc_TUV_NetGroup_1[[Cost item]:[Cost item]],$C44&amp;" - usage"))/
IF($C44&lt;&gt;"Controlled load",$E$24,$E$34)=J28,
0,1),"-")</f>
        <v>-</v>
      </c>
      <c r="K44" s="68" t="str">
        <f>IFERROR(
IF(
(SUMIFS(Calc_TUV_NetGroup_1[Powercor],Calc_TUV_NetGroup_1[[Customer type]:[Customer type]],$F44,Calc_TUV_NetGroup_1[[Cost item]:[Cost item]],$C44&amp;" - supply")+
SUMIFS(Calc_TUV_NetGroup_1[Powercor],Calc_TUV_NetGroup_1[[Customer type]:[Customer type]],$F44,Calc_TUV_NetGroup_1[[Cost item]:[Cost item]],$C44&amp;" - usage"))/
IF($C44&lt;&gt;"Controlled load",$E$24,$E$34)=K28,
0,1),"-")</f>
        <v>-</v>
      </c>
      <c r="L44" s="68" t="str">
        <f>IFERROR(
IF(
(SUMIFS(Calc_TUV_NetGroup_1[United Energy],Calc_TUV_NetGroup_1[[Customer type]:[Customer type]],$F44,Calc_TUV_NetGroup_1[[Cost item]:[Cost item]],$C44&amp;" - supply")+
SUMIFS(Calc_TUV_NetGroup_1[United Energy],Calc_TUV_NetGroup_1[[Customer type]:[Customer type]],$F44,Calc_TUV_NetGroup_1[[Cost item]:[Cost item]],$C44&amp;" - usage"))/
IF($C44&lt;&gt;"Controlled load",$E$24,$E$34)=L28,
0,1),"-")</f>
        <v>-</v>
      </c>
    </row>
    <row r="45" spans="3:12" ht="15.75" hidden="1" outlineLevel="1" x14ac:dyDescent="0.25">
      <c r="C45" s="18" t="s">
        <v>80</v>
      </c>
      <c r="D45" s="18" t="s">
        <v>132</v>
      </c>
      <c r="E45" s="42" t="s">
        <v>65</v>
      </c>
      <c r="F45" s="18" t="s">
        <v>67</v>
      </c>
      <c r="G45" s="18" t="s">
        <v>81</v>
      </c>
      <c r="H45" s="68" t="str">
        <f>IFERROR(
IF(
(SUMIFS(Calc_TUV_NetGroup_1[Ausnet],Calc_TUV_NetGroup_1[[Customer type]:[Customer type]],$F45,Calc_TUV_NetGroup_1[[Cost item]:[Cost item]],$C45&amp;" - supply")+
SUMIFS(Calc_TUV_NetGroup_1[Ausnet],Calc_TUV_NetGroup_1[[Customer type]:[Customer type]],$F45,Calc_TUV_NetGroup_1[[Cost item]:[Cost item]],$C45&amp;" - usage"))/
IF($C45&lt;&gt;"Controlled load",$E$24,$E$34)=H29,
0,1),"-")</f>
        <v>-</v>
      </c>
      <c r="I45" s="68" t="str">
        <f>IFERROR(
IF(
(SUMIFS(Calc_TUV_NetGroup_1[Citipower],Calc_TUV_NetGroup_1[[Customer type]:[Customer type]],$F45,Calc_TUV_NetGroup_1[[Cost item]:[Cost item]],$C45&amp;" - supply")+
SUMIFS(Calc_TUV_NetGroup_1[Citipower],Calc_TUV_NetGroup_1[[Customer type]:[Customer type]],$F45,Calc_TUV_NetGroup_1[[Cost item]:[Cost item]],$C45&amp;" - usage"))/
IF($C45&lt;&gt;"Controlled load",$E$24,$E$34)=I29,
0,1),"-")</f>
        <v>-</v>
      </c>
      <c r="J45" s="68" t="str">
        <f>IFERROR(
IF(
(SUMIFS(Calc_TUV_NetGroup_1[Jemena],Calc_TUV_NetGroup_1[[Customer type]:[Customer type]],$F45,Calc_TUV_NetGroup_1[[Cost item]:[Cost item]],$C45&amp;" - supply")+
SUMIFS(Calc_TUV_NetGroup_1[Jemena],Calc_TUV_NetGroup_1[[Customer type]:[Customer type]],$F45,Calc_TUV_NetGroup_1[[Cost item]:[Cost item]],$C45&amp;" - usage"))/
IF($C45&lt;&gt;"Controlled load",$E$24,$E$34)=J29,
0,1),"-")</f>
        <v>-</v>
      </c>
      <c r="K45" s="68" t="str">
        <f>IFERROR(
IF(
(SUMIFS(Calc_TUV_NetGroup_1[Powercor],Calc_TUV_NetGroup_1[[Customer type]:[Customer type]],$F45,Calc_TUV_NetGroup_1[[Cost item]:[Cost item]],$C45&amp;" - supply")+
SUMIFS(Calc_TUV_NetGroup_1[Powercor],Calc_TUV_NetGroup_1[[Customer type]:[Customer type]],$F45,Calc_TUV_NetGroup_1[[Cost item]:[Cost item]],$C45&amp;" - usage"))/
IF($C45&lt;&gt;"Controlled load",$E$24,$E$34)=K29,
0,1),"-")</f>
        <v>-</v>
      </c>
      <c r="L45" s="68" t="str">
        <f>IFERROR(
IF(
(SUMIFS(Calc_TUV_NetGroup_1[United Energy],Calc_TUV_NetGroup_1[[Customer type]:[Customer type]],$F45,Calc_TUV_NetGroup_1[[Cost item]:[Cost item]],$C45&amp;" - supply")+
SUMIFS(Calc_TUV_NetGroup_1[United Energy],Calc_TUV_NetGroup_1[[Customer type]:[Customer type]],$F45,Calc_TUV_NetGroup_1[[Cost item]:[Cost item]],$C45&amp;" - usage"))/
IF($C45&lt;&gt;"Controlled load",$E$24,$E$34)=L29,
0,1),"-")</f>
        <v>-</v>
      </c>
    </row>
    <row r="46" spans="3:12" ht="15.75" hidden="1" outlineLevel="1" x14ac:dyDescent="0.25">
      <c r="C46" s="18" t="s">
        <v>82</v>
      </c>
      <c r="D46" s="18" t="s">
        <v>132</v>
      </c>
      <c r="E46" s="42" t="s">
        <v>65</v>
      </c>
      <c r="F46" s="18" t="s">
        <v>66</v>
      </c>
      <c r="G46" s="18" t="s">
        <v>81</v>
      </c>
      <c r="H46" s="68" t="str">
        <f>IFERROR(
IF(
(SUMIFS(Calc_TUV_NetGroup_1[Ausnet],Calc_TUV_NetGroup_1[[Customer type]:[Customer type]],$F46,Calc_TUV_NetGroup_1[[Cost item]:[Cost item]],$C46&amp;" - supply")+
SUMIFS(Calc_TUV_NetGroup_1[Ausnet],Calc_TUV_NetGroup_1[[Customer type]:[Customer type]],$F46,Calc_TUV_NetGroup_1[[Cost item]:[Cost item]],$C46&amp;" - usage"))/
IF($C46&lt;&gt;"Controlled load",$E$24,$E$34)=H30,
0,1),"-")</f>
        <v>-</v>
      </c>
      <c r="I46" s="68" t="str">
        <f>IFERROR(
IF(
(SUMIFS(Calc_TUV_NetGroup_1[Citipower],Calc_TUV_NetGroup_1[[Customer type]:[Customer type]],$F46,Calc_TUV_NetGroup_1[[Cost item]:[Cost item]],$C46&amp;" - supply")+
SUMIFS(Calc_TUV_NetGroup_1[Citipower],Calc_TUV_NetGroup_1[[Customer type]:[Customer type]],$F46,Calc_TUV_NetGroup_1[[Cost item]:[Cost item]],$C46&amp;" - usage"))/
IF($C46&lt;&gt;"Controlled load",$E$24,$E$34)=I30,
0,1),"-")</f>
        <v>-</v>
      </c>
      <c r="J46" s="68" t="str">
        <f>IFERROR(
IF(
(SUMIFS(Calc_TUV_NetGroup_1[Jemena],Calc_TUV_NetGroup_1[[Customer type]:[Customer type]],$F46,Calc_TUV_NetGroup_1[[Cost item]:[Cost item]],$C46&amp;" - supply")+
SUMIFS(Calc_TUV_NetGroup_1[Jemena],Calc_TUV_NetGroup_1[[Customer type]:[Customer type]],$F46,Calc_TUV_NetGroup_1[[Cost item]:[Cost item]],$C46&amp;" - usage"))/
IF($C46&lt;&gt;"Controlled load",$E$24,$E$34)=J30,
0,1),"-")</f>
        <v>-</v>
      </c>
      <c r="K46" s="68" t="str">
        <f>IFERROR(
IF(
(SUMIFS(Calc_TUV_NetGroup_1[Powercor],Calc_TUV_NetGroup_1[[Customer type]:[Customer type]],$F46,Calc_TUV_NetGroup_1[[Cost item]:[Cost item]],$C46&amp;" - supply")+
SUMIFS(Calc_TUV_NetGroup_1[Powercor],Calc_TUV_NetGroup_1[[Customer type]:[Customer type]],$F46,Calc_TUV_NetGroup_1[[Cost item]:[Cost item]],$C46&amp;" - usage"))/
IF($C46&lt;&gt;"Controlled load",$E$24,$E$34)=K30,
0,1),"-")</f>
        <v>-</v>
      </c>
      <c r="L46" s="68" t="str">
        <f>IFERROR(
IF(
(SUMIFS(Calc_TUV_NetGroup_1[United Energy],Calc_TUV_NetGroup_1[[Customer type]:[Customer type]],$F46,Calc_TUV_NetGroup_1[[Cost item]:[Cost item]],$C46&amp;" - supply")+
SUMIFS(Calc_TUV_NetGroup_1[United Energy],Calc_TUV_NetGroup_1[[Customer type]:[Customer type]],$F46,Calc_TUV_NetGroup_1[[Cost item]:[Cost item]],$C46&amp;" - usage"))/
IF($C46&lt;&gt;"Controlled load",$E$24,$E$34)=L30,
0,1),"-")</f>
        <v>-</v>
      </c>
    </row>
    <row r="47" spans="3:12" ht="15.75" hidden="1" outlineLevel="1" x14ac:dyDescent="0.25">
      <c r="C47" s="18" t="s">
        <v>82</v>
      </c>
      <c r="D47" s="18" t="s">
        <v>132</v>
      </c>
      <c r="E47" s="42" t="s">
        <v>65</v>
      </c>
      <c r="F47" s="18" t="s">
        <v>67</v>
      </c>
      <c r="G47" s="18" t="s">
        <v>81</v>
      </c>
      <c r="H47" s="68" t="str">
        <f>IFERROR(
IF(
(SUMIFS(Calc_TUV_NetGroup_1[Ausnet],Calc_TUV_NetGroup_1[[Customer type]:[Customer type]],$F47,Calc_TUV_NetGroup_1[[Cost item]:[Cost item]],$C47&amp;" - supply")+
SUMIFS(Calc_TUV_NetGroup_1[Ausnet],Calc_TUV_NetGroup_1[[Customer type]:[Customer type]],$F47,Calc_TUV_NetGroup_1[[Cost item]:[Cost item]],$C47&amp;" - usage"))/
IF($C47&lt;&gt;"Controlled load",$E$24,$E$34)=H31,
0,1),"-")</f>
        <v>-</v>
      </c>
      <c r="I47" s="68" t="str">
        <f>IFERROR(
IF(
(SUMIFS(Calc_TUV_NetGroup_1[Citipower],Calc_TUV_NetGroup_1[[Customer type]:[Customer type]],$F47,Calc_TUV_NetGroup_1[[Cost item]:[Cost item]],$C47&amp;" - supply")+
SUMIFS(Calc_TUV_NetGroup_1[Citipower],Calc_TUV_NetGroup_1[[Customer type]:[Customer type]],$F47,Calc_TUV_NetGroup_1[[Cost item]:[Cost item]],$C47&amp;" - usage"))/
IF($C47&lt;&gt;"Controlled load",$E$24,$E$34)=I31,
0,1),"-")</f>
        <v>-</v>
      </c>
      <c r="J47" s="68" t="str">
        <f>IFERROR(
IF(
(SUMIFS(Calc_TUV_NetGroup_1[Jemena],Calc_TUV_NetGroup_1[[Customer type]:[Customer type]],$F47,Calc_TUV_NetGroup_1[[Cost item]:[Cost item]],$C47&amp;" - supply")+
SUMIFS(Calc_TUV_NetGroup_1[Jemena],Calc_TUV_NetGroup_1[[Customer type]:[Customer type]],$F47,Calc_TUV_NetGroup_1[[Cost item]:[Cost item]],$C47&amp;" - usage"))/
IF($C47&lt;&gt;"Controlled load",$E$24,$E$34)=J31,
0,1),"-")</f>
        <v>-</v>
      </c>
      <c r="K47" s="68" t="str">
        <f>IFERROR(
IF(
(SUMIFS(Calc_TUV_NetGroup_1[Powercor],Calc_TUV_NetGroup_1[[Customer type]:[Customer type]],$F47,Calc_TUV_NetGroup_1[[Cost item]:[Cost item]],$C47&amp;" - supply")+
SUMIFS(Calc_TUV_NetGroup_1[Powercor],Calc_TUV_NetGroup_1[[Customer type]:[Customer type]],$F47,Calc_TUV_NetGroup_1[[Cost item]:[Cost item]],$C47&amp;" - usage"))/
IF($C47&lt;&gt;"Controlled load",$E$24,$E$34)=K31,
0,1),"-")</f>
        <v>-</v>
      </c>
      <c r="L47" s="68" t="str">
        <f>IFERROR(
IF(
(SUMIFS(Calc_TUV_NetGroup_1[United Energy],Calc_TUV_NetGroup_1[[Customer type]:[Customer type]],$F47,Calc_TUV_NetGroup_1[[Cost item]:[Cost item]],$C47&amp;" - supply")+
SUMIFS(Calc_TUV_NetGroup_1[United Energy],Calc_TUV_NetGroup_1[[Customer type]:[Customer type]],$F47,Calc_TUV_NetGroup_1[[Cost item]:[Cost item]],$C47&amp;" - usage"))/
IF($C47&lt;&gt;"Controlled load",$E$24,$E$34)=L31,
0,1),"-")</f>
        <v>-</v>
      </c>
    </row>
    <row r="48" spans="3:12" ht="15.75" hidden="1" outlineLevel="1" x14ac:dyDescent="0.25">
      <c r="C48" s="18" t="s">
        <v>75</v>
      </c>
      <c r="D48" s="18" t="s">
        <v>178</v>
      </c>
      <c r="E48" s="42" t="s">
        <v>65</v>
      </c>
      <c r="F48" s="18" t="s">
        <v>66</v>
      </c>
      <c r="G48" s="18" t="s">
        <v>81</v>
      </c>
      <c r="H48" s="68" t="str">
        <f>IFERROR(
IF(
(SUMIFS(Calc_TUV_NetGroup_1[Ausnet],Calc_TUV_NetGroup_1[[Customer type]:[Customer type]],$F48,Calc_TUV_NetGroup_1[[Cost item]:[Cost item]],$C48&amp;" - supply")+
SUMIFS(Calc_TUV_NetGroup_1[Ausnet],Calc_TUV_NetGroup_1[[Customer type]:[Customer type]],$F48,Calc_TUV_NetGroup_1[[Cost item]:[Cost item]],$C48&amp;" - usage"))/
IF($C48&lt;&gt;"Controlled load",$E$24,$E$34)=H40,
0,1),"-")</f>
        <v>-</v>
      </c>
      <c r="I48" s="68" t="str">
        <f>IFERROR(
IF(
(SUMIFS(Calc_TUV_NetGroup_1[Citipower],Calc_TUV_NetGroup_1[[Customer type]:[Customer type]],$F48,Calc_TUV_NetGroup_1[[Cost item]:[Cost item]],$C48&amp;" - supply")+
SUMIFS(Calc_TUV_NetGroup_1[Citipower],Calc_TUV_NetGroup_1[[Customer type]:[Customer type]],$F48,Calc_TUV_NetGroup_1[[Cost item]:[Cost item]],$C48&amp;" - usage"))/
IF($C48&lt;&gt;"Controlled load",$E$24,$E$34)=I40,
0,1),"-")</f>
        <v>-</v>
      </c>
      <c r="J48" s="68" t="str">
        <f>IFERROR(
IF(
(SUMIFS(Calc_TUV_NetGroup_1[Jemena],Calc_TUV_NetGroup_1[[Customer type]:[Customer type]],$F48,Calc_TUV_NetGroup_1[[Cost item]:[Cost item]],$C48&amp;" - supply")+
SUMIFS(Calc_TUV_NetGroup_1[Jemena],Calc_TUV_NetGroup_1[[Customer type]:[Customer type]],$F48,Calc_TUV_NetGroup_1[[Cost item]:[Cost item]],$C48&amp;" - usage"))/
IF($C48&lt;&gt;"Controlled load",$E$24,$E$34)=J40,
0,1),"-")</f>
        <v>-</v>
      </c>
      <c r="K48" s="68" t="str">
        <f>IFERROR(
IF(
(SUMIFS(Calc_TUV_NetGroup_1[Powercor],Calc_TUV_NetGroup_1[[Customer type]:[Customer type]],$F48,Calc_TUV_NetGroup_1[[Cost item]:[Cost item]],$C48&amp;" - supply")+
SUMIFS(Calc_TUV_NetGroup_1[Powercor],Calc_TUV_NetGroup_1[[Customer type]:[Customer type]],$F48,Calc_TUV_NetGroup_1[[Cost item]:[Cost item]],$C48&amp;" - usage"))/
IF($C48&lt;&gt;"Controlled load",$E$24,$E$34)=K40,
0,1),"-")</f>
        <v>-</v>
      </c>
      <c r="L48" s="68" t="str">
        <f>IFERROR(
IF(
(SUMIFS(Calc_TUV_NetGroup_1[United Energy],Calc_TUV_NetGroup_1[[Customer type]:[Customer type]],$F48,Calc_TUV_NetGroup_1[[Cost item]:[Cost item]],$C48&amp;" - supply")+
SUMIFS(Calc_TUV_NetGroup_1[United Energy],Calc_TUV_NetGroup_1[[Customer type]:[Customer type]],$F48,Calc_TUV_NetGroup_1[[Cost item]:[Cost item]],$C48&amp;" - usage"))/
IF($C48&lt;&gt;"Controlled load",$E$24,$E$34)=L40,
0,1),"-")</f>
        <v>-</v>
      </c>
    </row>
    <row r="50" spans="2:12" ht="16.5" thickBot="1" x14ac:dyDescent="0.3">
      <c r="B50" s="161">
        <f ca="1">MAX(B$3:B49)+0.01</f>
        <v>10.02</v>
      </c>
      <c r="C50" s="23" t="s">
        <v>478</v>
      </c>
      <c r="D50" s="23"/>
      <c r="E50" s="23"/>
      <c r="F50" s="23"/>
      <c r="G50" s="23"/>
      <c r="H50" s="23"/>
      <c r="I50" s="23"/>
      <c r="J50" s="23"/>
      <c r="K50" s="23"/>
      <c r="L50" s="23"/>
    </row>
    <row r="51" spans="2:12" outlineLevel="1" x14ac:dyDescent="0.25"/>
    <row r="52" spans="2:12" ht="15.75" outlineLevel="1" x14ac:dyDescent="0.25">
      <c r="C52" s="24" t="s">
        <v>479</v>
      </c>
    </row>
    <row r="53" spans="2:12" ht="15.75" outlineLevel="1" x14ac:dyDescent="0.25">
      <c r="C53" s="32" t="s">
        <v>49</v>
      </c>
      <c r="D53" s="32" t="s">
        <v>108</v>
      </c>
      <c r="E53" s="32" t="s">
        <v>56</v>
      </c>
      <c r="F53" s="32" t="s">
        <v>57</v>
      </c>
      <c r="G53" s="32" t="s">
        <v>48</v>
      </c>
      <c r="H53" s="43" t="s">
        <v>59</v>
      </c>
      <c r="I53" s="43" t="s">
        <v>60</v>
      </c>
      <c r="J53" s="43" t="s">
        <v>61</v>
      </c>
      <c r="K53" s="43" t="s">
        <v>62</v>
      </c>
      <c r="L53" s="43" t="s">
        <v>63</v>
      </c>
    </row>
    <row r="54" spans="2:12" outlineLevel="1" x14ac:dyDescent="0.25">
      <c r="C54" s="42" t="str">
        <f>IF(COUNTIFS(Calc_TUV_Env_1[Pass through (Yes/No)],"Yes",Calc_TUV_Env_1[Cost item],"Large-scale renewable energy target (LRET)")=1,"LRET True Up","-")</f>
        <v>-</v>
      </c>
      <c r="D54" s="42" t="s">
        <v>178</v>
      </c>
      <c r="E54" s="42" t="s">
        <v>69</v>
      </c>
      <c r="F54" s="42" t="s">
        <v>133</v>
      </c>
      <c r="G54" s="42" t="s">
        <v>83</v>
      </c>
      <c r="H54" s="110" cm="1">
        <f t="array" ref="H54">IFERROR(SUMIFS(INDEX(Calc_TUV_Env_1[[Ausnet]:[United Energy]],0,MATCH(Calc_TUV_EnvGroup_1[[#Headers],[Ausnet]],Calc_TUV_Env_1[[#Headers],[Ausnet]:[United Energy]],0)),
Calc_TUV_Env_1[Cost item],Calc_TUV_EnvGroup_1[[#This Row],[Cost item]],
Calc_TUV_Env_1[Customer type],Calc_TUV_EnvGroup_1[[#This Row],[Customer type]]),"-")</f>
        <v>0</v>
      </c>
      <c r="I54" s="110" cm="1">
        <f t="array" ref="I54">IFERROR(SUMIFS(INDEX(Calc_TUV_Env_1[[Ausnet]:[United Energy]],0,MATCH(Calc_TUV_EnvGroup_1[[#Headers],[Citipower]],Calc_TUV_Env_1[[#Headers],[Ausnet]:[United Energy]],0)),
Calc_TUV_Env_1[Cost item],Calc_TUV_EnvGroup_1[[#This Row],[Cost item]],
Calc_TUV_Env_1[Customer type],Calc_TUV_EnvGroup_1[[#This Row],[Customer type]]),"-")</f>
        <v>0</v>
      </c>
      <c r="J54" s="110" cm="1">
        <f t="array" ref="J54">IFERROR(SUMIFS(INDEX(Calc_TUV_Env_1[[Ausnet]:[United Energy]],0,MATCH(Calc_TUV_EnvGroup_1[[#Headers],[Jemena]],Calc_TUV_Env_1[[#Headers],[Ausnet]:[United Energy]],0)),
Calc_TUV_Env_1[Cost item],Calc_TUV_EnvGroup_1[[#This Row],[Cost item]],
Calc_TUV_Env_1[Customer type],Calc_TUV_EnvGroup_1[[#This Row],[Customer type]]),"-")</f>
        <v>0</v>
      </c>
      <c r="K54" s="110" cm="1">
        <f t="array" ref="K54">IFERROR(SUMIFS(INDEX(Calc_TUV_Env_1[[Ausnet]:[United Energy]],0,MATCH(Calc_TUV_EnvGroup_1[[#Headers],[Powercor]],Calc_TUV_Env_1[[#Headers],[Ausnet]:[United Energy]],0)),
Calc_TUV_Env_1[Cost item],Calc_TUV_EnvGroup_1[[#This Row],[Cost item]],
Calc_TUV_Env_1[Customer type],Calc_TUV_EnvGroup_1[[#This Row],[Customer type]]),"-")</f>
        <v>0</v>
      </c>
      <c r="L54" s="110" cm="1">
        <f t="array" ref="L54">IFERROR(SUMIFS(INDEX(Calc_TUV_Env_1[[Ausnet]:[United Energy]],0,MATCH(Calc_TUV_EnvGroup_1[[#Headers],[United Energy]],Calc_TUV_Env_1[[#Headers],[Ausnet]:[United Energy]],0)),
Calc_TUV_Env_1[Cost item],Calc_TUV_EnvGroup_1[[#This Row],[Cost item]],
Calc_TUV_Env_1[Customer type],Calc_TUV_EnvGroup_1[[#This Row],[Customer type]]),"-")</f>
        <v>0</v>
      </c>
    </row>
    <row r="55" spans="2:12" outlineLevel="1" x14ac:dyDescent="0.25">
      <c r="C55" s="42" t="str">
        <f>IF(COUNTIFS(Calc_TUV_Env_1[Pass through (Yes/No)],"Yes",Calc_TUV_Env_1[Cost item],"Small-scale renewable energy scheme (SRES)")=1,"SRES True Up","-")</f>
        <v>-</v>
      </c>
      <c r="D55" s="42" t="s">
        <v>178</v>
      </c>
      <c r="E55" s="42" t="s">
        <v>69</v>
      </c>
      <c r="F55" s="42" t="s">
        <v>133</v>
      </c>
      <c r="G55" s="42" t="s">
        <v>83</v>
      </c>
      <c r="H55" s="110" cm="1">
        <f t="array" ref="H55">IFERROR(SUMIFS(INDEX(Calc_TUV_Env_1[[Ausnet]:[United Energy]],0,MATCH(Calc_TUV_EnvGroup_1[[#Headers],[Ausnet]],Calc_TUV_Env_1[[#Headers],[Ausnet]:[United Energy]],0)),
Calc_TUV_Env_1[Cost item],Calc_TUV_EnvGroup_1[[#This Row],[Cost item]],
Calc_TUV_Env_1[Customer type],Calc_TUV_EnvGroup_1[[#This Row],[Customer type]]),"-")</f>
        <v>0</v>
      </c>
      <c r="I55" s="110" cm="1">
        <f t="array" ref="I55">IFERROR(SUMIFS(INDEX(Calc_TUV_Env_1[[Ausnet]:[United Energy]],0,MATCH(Calc_TUV_EnvGroup_1[[#Headers],[Citipower]],Calc_TUV_Env_1[[#Headers],[Ausnet]:[United Energy]],0)),
Calc_TUV_Env_1[Cost item],Calc_TUV_EnvGroup_1[[#This Row],[Cost item]],
Calc_TUV_Env_1[Customer type],Calc_TUV_EnvGroup_1[[#This Row],[Customer type]]),"-")</f>
        <v>0</v>
      </c>
      <c r="J55" s="110" cm="1">
        <f t="array" ref="J55">IFERROR(SUMIFS(INDEX(Calc_TUV_Env_1[[Ausnet]:[United Energy]],0,MATCH(Calc_TUV_EnvGroup_1[[#Headers],[Jemena]],Calc_TUV_Env_1[[#Headers],[Ausnet]:[United Energy]],0)),
Calc_TUV_Env_1[Cost item],Calc_TUV_EnvGroup_1[[#This Row],[Cost item]],
Calc_TUV_Env_1[Customer type],Calc_TUV_EnvGroup_1[[#This Row],[Customer type]]),"-")</f>
        <v>0</v>
      </c>
      <c r="K55" s="110" cm="1">
        <f t="array" ref="K55">IFERROR(SUMIFS(INDEX(Calc_TUV_Env_1[[Ausnet]:[United Energy]],0,MATCH(Calc_TUV_EnvGroup_1[[#Headers],[Powercor]],Calc_TUV_Env_1[[#Headers],[Ausnet]:[United Energy]],0)),
Calc_TUV_Env_1[Cost item],Calc_TUV_EnvGroup_1[[#This Row],[Cost item]],
Calc_TUV_Env_1[Customer type],Calc_TUV_EnvGroup_1[[#This Row],[Customer type]]),"-")</f>
        <v>0</v>
      </c>
      <c r="L55" s="110" cm="1">
        <f t="array" ref="L55">IFERROR(SUMIFS(INDEX(Calc_TUV_Env_1[[Ausnet]:[United Energy]],0,MATCH(Calc_TUV_EnvGroup_1[[#Headers],[United Energy]],Calc_TUV_Env_1[[#Headers],[Ausnet]:[United Energy]],0)),
Calc_TUV_Env_1[Cost item],Calc_TUV_EnvGroup_1[[#This Row],[Cost item]],
Calc_TUV_Env_1[Customer type],Calc_TUV_EnvGroup_1[[#This Row],[Customer type]]),"-")</f>
        <v>0</v>
      </c>
    </row>
    <row r="56" spans="2:12" outlineLevel="1" x14ac:dyDescent="0.25">
      <c r="C56" s="42" t="str">
        <f>IF(COUNTIFS(Calc_TUV_Env_1[Pass through (Yes/No)],"Yes",Calc_TUV_Env_1[Cost item],"Victorian energy upgrades (VEU)")=1,"VEU True Up","-")</f>
        <v>-</v>
      </c>
      <c r="D56" s="42" t="s">
        <v>178</v>
      </c>
      <c r="E56" s="42" t="s">
        <v>69</v>
      </c>
      <c r="F56" s="42" t="s">
        <v>133</v>
      </c>
      <c r="G56" s="42" t="s">
        <v>83</v>
      </c>
      <c r="H56" s="110" cm="1">
        <f t="array" ref="H56">IFERROR(SUMIFS(INDEX(Calc_TUV_Env_1[[Ausnet]:[United Energy]],0,MATCH(Calc_TUV_EnvGroup_1[[#Headers],[Ausnet]],Calc_TUV_Env_1[[#Headers],[Ausnet]:[United Energy]],0)),
Calc_TUV_Env_1[Cost item],Calc_TUV_EnvGroup_1[[#This Row],[Cost item]],
Calc_TUV_Env_1[Customer type],Calc_TUV_EnvGroup_1[[#This Row],[Customer type]]),"-")</f>
        <v>0</v>
      </c>
      <c r="I56" s="110" cm="1">
        <f t="array" ref="I56">IFERROR(SUMIFS(INDEX(Calc_TUV_Env_1[[Ausnet]:[United Energy]],0,MATCH(Calc_TUV_EnvGroup_1[[#Headers],[Citipower]],Calc_TUV_Env_1[[#Headers],[Ausnet]:[United Energy]],0)),
Calc_TUV_Env_1[Cost item],Calc_TUV_EnvGroup_1[[#This Row],[Cost item]],
Calc_TUV_Env_1[Customer type],Calc_TUV_EnvGroup_1[[#This Row],[Customer type]]),"-")</f>
        <v>0</v>
      </c>
      <c r="J56" s="110" cm="1">
        <f t="array" ref="J56">IFERROR(SUMIFS(INDEX(Calc_TUV_Env_1[[Ausnet]:[United Energy]],0,MATCH(Calc_TUV_EnvGroup_1[[#Headers],[Jemena]],Calc_TUV_Env_1[[#Headers],[Ausnet]:[United Energy]],0)),
Calc_TUV_Env_1[Cost item],Calc_TUV_EnvGroup_1[[#This Row],[Cost item]],
Calc_TUV_Env_1[Customer type],Calc_TUV_EnvGroup_1[[#This Row],[Customer type]]),"-")</f>
        <v>0</v>
      </c>
      <c r="K56" s="110" cm="1">
        <f t="array" ref="K56">IFERROR(SUMIFS(INDEX(Calc_TUV_Env_1[[Ausnet]:[United Energy]],0,MATCH(Calc_TUV_EnvGroup_1[[#Headers],[Powercor]],Calc_TUV_Env_1[[#Headers],[Ausnet]:[United Energy]],0)),
Calc_TUV_Env_1[Cost item],Calc_TUV_EnvGroup_1[[#This Row],[Cost item]],
Calc_TUV_Env_1[Customer type],Calc_TUV_EnvGroup_1[[#This Row],[Customer type]]),"-")</f>
        <v>0</v>
      </c>
      <c r="L56" s="110" cm="1">
        <f t="array" ref="L56">IFERROR(SUMIFS(INDEX(Calc_TUV_Env_1[[Ausnet]:[United Energy]],0,MATCH(Calc_TUV_EnvGroup_1[[#Headers],[United Energy]],Calc_TUV_Env_1[[#Headers],[Ausnet]:[United Energy]],0)),
Calc_TUV_Env_1[Cost item],Calc_TUV_EnvGroup_1[[#This Row],[Cost item]],
Calc_TUV_Env_1[Customer type],Calc_TUV_EnvGroup_1[[#This Row],[Customer type]]),"-")</f>
        <v>0</v>
      </c>
    </row>
    <row r="57" spans="2:12" outlineLevel="1" x14ac:dyDescent="0.25"/>
    <row r="58" spans="2:12" ht="15.75" outlineLevel="1" x14ac:dyDescent="0.25">
      <c r="C58" s="39" t="s">
        <v>480</v>
      </c>
      <c r="D58" t="s">
        <v>96</v>
      </c>
      <c r="E58" s="60" t="str">
        <f>INDEX(Input_DecisionActual[Decision],MATCH(Calc_TU_rates!E59,Input_DecisionActual[Actual],0),1)</f>
        <v>VDO 2023-24 - Final</v>
      </c>
      <c r="F58" s="54">
        <f>INDEX(Input_TU_Periods[],2,MATCH($E58,Inputs!$C$203:$BM$203,0))</f>
        <v>366</v>
      </c>
    </row>
    <row r="59" spans="2:12" ht="15.75" outlineLevel="1" x14ac:dyDescent="0.25">
      <c r="C59" s="39" t="s">
        <v>480</v>
      </c>
      <c r="D59" t="s">
        <v>316</v>
      </c>
      <c r="E59" s="60" t="str">
        <f>D5</f>
        <v>VDO 2024-25 - Draft</v>
      </c>
      <c r="F59" s="54">
        <f>INDEX(Input_TU_Periods[],2,MATCH($E59,Inputs!$C$203:$BM$203,0))</f>
        <v>365</v>
      </c>
    </row>
    <row r="60" spans="2:12" ht="15.75" outlineLevel="1" x14ac:dyDescent="0.25">
      <c r="C60" s="39" t="s">
        <v>481</v>
      </c>
      <c r="F60" s="141">
        <f>F58/F59</f>
        <v>1.0027397260273974</v>
      </c>
    </row>
    <row r="61" spans="2:12" outlineLevel="1" x14ac:dyDescent="0.25"/>
    <row r="62" spans="2:12" ht="15.75" outlineLevel="1" x14ac:dyDescent="0.25">
      <c r="C62" s="24" t="s">
        <v>482</v>
      </c>
    </row>
    <row r="63" spans="2:12" ht="15.75" outlineLevel="1" x14ac:dyDescent="0.25">
      <c r="C63" s="32" t="s">
        <v>472</v>
      </c>
      <c r="D63" s="94" t="s">
        <v>398</v>
      </c>
      <c r="E63" s="94" t="s">
        <v>56</v>
      </c>
      <c r="F63" s="94" t="s">
        <v>57</v>
      </c>
      <c r="G63" s="94" t="s">
        <v>48</v>
      </c>
      <c r="H63" s="43" t="s">
        <v>59</v>
      </c>
      <c r="I63" s="43" t="s">
        <v>60</v>
      </c>
      <c r="J63" s="43" t="s">
        <v>61</v>
      </c>
      <c r="K63" s="43" t="s">
        <v>62</v>
      </c>
      <c r="L63" s="43" t="s">
        <v>63</v>
      </c>
    </row>
    <row r="64" spans="2:12" outlineLevel="1" x14ac:dyDescent="0.25">
      <c r="C64" s="18" t="s">
        <v>71</v>
      </c>
      <c r="D64" s="18" t="s">
        <v>483</v>
      </c>
      <c r="E64" s="42" t="s">
        <v>69</v>
      </c>
      <c r="F64" s="18" t="s">
        <v>66</v>
      </c>
      <c r="G64" s="18" t="s">
        <v>83</v>
      </c>
      <c r="H64" s="112" t="str" cm="1">
        <f t="array" ref="H6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64" s="112" cm="1">
        <f t="array" ref="I6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64" s="112" cm="1">
        <f t="array" ref="J6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64" s="112" cm="1">
        <f t="array" ref="K6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64" s="112" cm="1">
        <f t="array" ref="L6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65" spans="3:12" outlineLevel="1" x14ac:dyDescent="0.25">
      <c r="C65" s="18" t="s">
        <v>68</v>
      </c>
      <c r="D65" s="18" t="s">
        <v>483</v>
      </c>
      <c r="E65" s="42" t="s">
        <v>69</v>
      </c>
      <c r="F65" s="18" t="s">
        <v>66</v>
      </c>
      <c r="G65" s="18" t="s">
        <v>83</v>
      </c>
      <c r="H65" s="112" cm="1">
        <f t="array" ref="H6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65" s="112" t="str" cm="1">
        <f t="array" ref="I6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5" s="112" t="str" cm="1">
        <f t="array" ref="J6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5" s="112" t="str" cm="1">
        <f t="array" ref="K6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5" s="112" t="str" cm="1">
        <f t="array" ref="L6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6" spans="3:12" outlineLevel="1" x14ac:dyDescent="0.25">
      <c r="C66" s="18" t="s">
        <v>70</v>
      </c>
      <c r="D66" s="18" t="s">
        <v>483</v>
      </c>
      <c r="E66" s="42" t="s">
        <v>69</v>
      </c>
      <c r="F66" s="18" t="s">
        <v>66</v>
      </c>
      <c r="G66" s="18" t="s">
        <v>83</v>
      </c>
      <c r="H66" s="112" cm="1">
        <f t="array" ref="H6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66" s="112" t="str" cm="1">
        <f t="array" ref="I6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6" s="112" t="str" cm="1">
        <f t="array" ref="J6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6" s="112" t="str" cm="1">
        <f t="array" ref="K6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6" s="112" t="str" cm="1">
        <f t="array" ref="L6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7" spans="3:12" outlineLevel="1" x14ac:dyDescent="0.25">
      <c r="C67" s="18" t="s">
        <v>75</v>
      </c>
      <c r="D67" s="18" t="s">
        <v>483</v>
      </c>
      <c r="E67" s="42" t="s">
        <v>69</v>
      </c>
      <c r="F67" s="18" t="s">
        <v>66</v>
      </c>
      <c r="G67" s="18" t="s">
        <v>83</v>
      </c>
      <c r="H67" s="112" cm="1">
        <f t="array" ref="H6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67" s="112" cm="1">
        <f t="array" ref="I6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67" s="112" cm="1">
        <f t="array" ref="J6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67" s="112" cm="1">
        <f t="array" ref="K6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67" s="112" cm="1">
        <f t="array" ref="L6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68" spans="3:12" outlineLevel="1" x14ac:dyDescent="0.25">
      <c r="C68" s="18" t="s">
        <v>73</v>
      </c>
      <c r="D68" s="18" t="s">
        <v>483</v>
      </c>
      <c r="E68" s="42" t="s">
        <v>69</v>
      </c>
      <c r="F68" s="18" t="s">
        <v>66</v>
      </c>
      <c r="G68" s="18" t="s">
        <v>83</v>
      </c>
      <c r="H68" s="112" cm="1">
        <f t="array" ref="H6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68" s="112" cm="1">
        <f t="array" ref="I6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68" s="112" cm="1">
        <f t="array" ref="J6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68" s="112" cm="1">
        <f t="array" ref="K6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68" s="112" cm="1">
        <f t="array" ref="L6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69" spans="3:12" outlineLevel="1" x14ac:dyDescent="0.25">
      <c r="C69" s="18" t="s">
        <v>74</v>
      </c>
      <c r="D69" s="18" t="s">
        <v>483</v>
      </c>
      <c r="E69" s="42" t="s">
        <v>69</v>
      </c>
      <c r="F69" s="18" t="s">
        <v>66</v>
      </c>
      <c r="G69" s="18" t="s">
        <v>83</v>
      </c>
      <c r="H69" s="112" cm="1">
        <f t="array" ref="H6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69" s="112" cm="1">
        <f t="array" ref="I6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69" s="112" cm="1">
        <f t="array" ref="J6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69" s="112" cm="1">
        <f t="array" ref="K6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69" s="112" cm="1">
        <f t="array" ref="L6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0" spans="3:12" outlineLevel="1" x14ac:dyDescent="0.25">
      <c r="C70" s="18" t="s">
        <v>71</v>
      </c>
      <c r="D70" s="18" t="s">
        <v>484</v>
      </c>
      <c r="E70" s="42" t="s">
        <v>69</v>
      </c>
      <c r="F70" s="18" t="s">
        <v>66</v>
      </c>
      <c r="G70" s="18" t="s">
        <v>83</v>
      </c>
      <c r="H70" s="112" t="str" cm="1">
        <f t="array" ref="H7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70" s="112" cm="1">
        <f t="array" ref="I7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0" s="112" cm="1">
        <f t="array" ref="J7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0" s="112" cm="1">
        <f t="array" ref="K7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0" s="112" cm="1">
        <f t="array" ref="L7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1" spans="3:12" outlineLevel="1" x14ac:dyDescent="0.25">
      <c r="C71" s="18" t="s">
        <v>68</v>
      </c>
      <c r="D71" s="18" t="s">
        <v>484</v>
      </c>
      <c r="E71" s="42" t="s">
        <v>69</v>
      </c>
      <c r="F71" s="18" t="s">
        <v>66</v>
      </c>
      <c r="G71" s="18" t="s">
        <v>83</v>
      </c>
      <c r="H71" s="112" cm="1">
        <f t="array" ref="H7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1" s="112" t="str" cm="1">
        <f t="array" ref="I7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1" s="112" t="str" cm="1">
        <f t="array" ref="J7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1" s="112" t="str" cm="1">
        <f t="array" ref="K7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1" s="112" t="str" cm="1">
        <f t="array" ref="L7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2" spans="3:12" outlineLevel="1" x14ac:dyDescent="0.25">
      <c r="C72" s="18" t="s">
        <v>70</v>
      </c>
      <c r="D72" s="18" t="s">
        <v>484</v>
      </c>
      <c r="E72" s="42" t="s">
        <v>69</v>
      </c>
      <c r="F72" s="18" t="s">
        <v>66</v>
      </c>
      <c r="G72" s="18" t="s">
        <v>83</v>
      </c>
      <c r="H72" s="112" cm="1">
        <f t="array" ref="H7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2" s="112" t="str" cm="1">
        <f t="array" ref="I7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2" s="112" t="str" cm="1">
        <f t="array" ref="J7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2" s="112" t="str" cm="1">
        <f t="array" ref="K7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2" s="112" t="str" cm="1">
        <f t="array" ref="L7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3" spans="3:12" outlineLevel="1" x14ac:dyDescent="0.25">
      <c r="C73" s="18" t="s">
        <v>75</v>
      </c>
      <c r="D73" s="18" t="s">
        <v>484</v>
      </c>
      <c r="E73" s="42" t="s">
        <v>69</v>
      </c>
      <c r="F73" s="18" t="s">
        <v>66</v>
      </c>
      <c r="G73" s="18" t="s">
        <v>83</v>
      </c>
      <c r="H73" s="112" cm="1">
        <f t="array" ref="H7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3" s="112" cm="1">
        <f t="array" ref="I7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3" s="112" cm="1">
        <f t="array" ref="J7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3" s="112" cm="1">
        <f t="array" ref="K7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3" s="112" cm="1">
        <f t="array" ref="L7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4" spans="3:12" outlineLevel="1" x14ac:dyDescent="0.25">
      <c r="C74" s="18" t="s">
        <v>73</v>
      </c>
      <c r="D74" s="18" t="s">
        <v>484</v>
      </c>
      <c r="E74" s="42" t="s">
        <v>69</v>
      </c>
      <c r="F74" s="18" t="s">
        <v>66</v>
      </c>
      <c r="G74" s="18" t="s">
        <v>83</v>
      </c>
      <c r="H74" s="112" cm="1">
        <f t="array" ref="H7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4" s="112" cm="1">
        <f t="array" ref="I7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4" s="112" cm="1">
        <f t="array" ref="J7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4" s="112" cm="1">
        <f t="array" ref="K7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4" s="112" cm="1">
        <f t="array" ref="L7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5" spans="3:12" outlineLevel="1" x14ac:dyDescent="0.25">
      <c r="C75" s="18" t="s">
        <v>74</v>
      </c>
      <c r="D75" s="18" t="s">
        <v>484</v>
      </c>
      <c r="E75" s="42" t="s">
        <v>69</v>
      </c>
      <c r="F75" s="18" t="s">
        <v>66</v>
      </c>
      <c r="G75" s="18" t="s">
        <v>83</v>
      </c>
      <c r="H75" s="112" cm="1">
        <f t="array" ref="H7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5" s="112" cm="1">
        <f t="array" ref="I7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5" s="112" cm="1">
        <f t="array" ref="J7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5" s="112" cm="1">
        <f t="array" ref="K7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5" s="112" cm="1">
        <f t="array" ref="L7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6" spans="3:12" outlineLevel="1" x14ac:dyDescent="0.25">
      <c r="C76" s="18" t="s">
        <v>71</v>
      </c>
      <c r="D76" s="18" t="s">
        <v>485</v>
      </c>
      <c r="E76" s="42" t="s">
        <v>69</v>
      </c>
      <c r="F76" s="18" t="s">
        <v>66</v>
      </c>
      <c r="G76" s="18" t="s">
        <v>83</v>
      </c>
      <c r="H76" s="112" t="str" cm="1">
        <f t="array" ref="H7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76" s="112" cm="1">
        <f t="array" ref="I7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6" s="112" cm="1">
        <f t="array" ref="J7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6" s="112" cm="1">
        <f t="array" ref="K7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6" s="112" cm="1">
        <f t="array" ref="L7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7" spans="3:12" outlineLevel="1" x14ac:dyDescent="0.25">
      <c r="C77" s="18" t="s">
        <v>68</v>
      </c>
      <c r="D77" s="18" t="s">
        <v>485</v>
      </c>
      <c r="E77" s="42" t="s">
        <v>69</v>
      </c>
      <c r="F77" s="18" t="s">
        <v>66</v>
      </c>
      <c r="G77" s="18" t="s">
        <v>83</v>
      </c>
      <c r="H77" s="112" cm="1">
        <f t="array" ref="H7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7" s="112" t="str" cm="1">
        <f t="array" ref="I7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7" s="112" t="str" cm="1">
        <f t="array" ref="J7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7" s="112" t="str" cm="1">
        <f t="array" ref="K7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7" s="112" t="str" cm="1">
        <f t="array" ref="L7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8" spans="3:12" outlineLevel="1" x14ac:dyDescent="0.25">
      <c r="C78" s="18" t="s">
        <v>70</v>
      </c>
      <c r="D78" s="18" t="s">
        <v>485</v>
      </c>
      <c r="E78" s="42" t="s">
        <v>69</v>
      </c>
      <c r="F78" s="18" t="s">
        <v>66</v>
      </c>
      <c r="G78" s="18" t="s">
        <v>83</v>
      </c>
      <c r="H78" s="112" cm="1">
        <f t="array" ref="H7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8" s="112" t="str" cm="1">
        <f t="array" ref="I7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8" s="112" t="str" cm="1">
        <f t="array" ref="J7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8" s="112" t="str" cm="1">
        <f t="array" ref="K7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8" s="112" t="str" cm="1">
        <f t="array" ref="L7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9" spans="3:12" outlineLevel="1" x14ac:dyDescent="0.25">
      <c r="C79" s="18" t="s">
        <v>75</v>
      </c>
      <c r="D79" s="18" t="s">
        <v>485</v>
      </c>
      <c r="E79" s="42" t="s">
        <v>69</v>
      </c>
      <c r="F79" s="18" t="s">
        <v>66</v>
      </c>
      <c r="G79" s="18" t="s">
        <v>83</v>
      </c>
      <c r="H79" s="112" cm="1">
        <f t="array" ref="H7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9" s="112" cm="1">
        <f t="array" ref="I7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9" s="112" cm="1">
        <f t="array" ref="J7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9" s="112" cm="1">
        <f t="array" ref="K7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9" s="112" cm="1">
        <f t="array" ref="L7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0" spans="3:12" outlineLevel="1" x14ac:dyDescent="0.25">
      <c r="C80" s="18" t="s">
        <v>73</v>
      </c>
      <c r="D80" s="18" t="s">
        <v>485</v>
      </c>
      <c r="E80" s="42" t="s">
        <v>69</v>
      </c>
      <c r="F80" s="18" t="s">
        <v>66</v>
      </c>
      <c r="G80" s="18" t="s">
        <v>83</v>
      </c>
      <c r="H80" s="112" cm="1">
        <f t="array" ref="H8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0" s="112" cm="1">
        <f t="array" ref="I8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0" s="112" cm="1">
        <f t="array" ref="J8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0" s="112" cm="1">
        <f t="array" ref="K8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0" s="112" cm="1">
        <f t="array" ref="L8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1" spans="3:12" outlineLevel="1" x14ac:dyDescent="0.25">
      <c r="C81" s="18" t="s">
        <v>74</v>
      </c>
      <c r="D81" s="18" t="s">
        <v>485</v>
      </c>
      <c r="E81" s="42" t="s">
        <v>69</v>
      </c>
      <c r="F81" s="18" t="s">
        <v>66</v>
      </c>
      <c r="G81" s="18" t="s">
        <v>83</v>
      </c>
      <c r="H81" s="112" cm="1">
        <f t="array" ref="H8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1" s="112" cm="1">
        <f t="array" ref="I8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1" s="112" cm="1">
        <f t="array" ref="J8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1" s="112" cm="1">
        <f t="array" ref="K8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1" s="112" cm="1">
        <f t="array" ref="L8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2" spans="3:12" outlineLevel="1" x14ac:dyDescent="0.25">
      <c r="C82" s="18" t="s">
        <v>71</v>
      </c>
      <c r="D82" s="18" t="s">
        <v>483</v>
      </c>
      <c r="E82" s="42" t="s">
        <v>69</v>
      </c>
      <c r="F82" s="18" t="s">
        <v>67</v>
      </c>
      <c r="G82" s="18" t="s">
        <v>83</v>
      </c>
      <c r="H82" s="112" t="str" cm="1">
        <f t="array" ref="H8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82" s="112" cm="1">
        <f t="array" ref="I8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2" s="112" cm="1">
        <f t="array" ref="J8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2" s="112" cm="1">
        <f t="array" ref="K8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2" s="112" cm="1">
        <f t="array" ref="L8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3" spans="3:12" outlineLevel="1" x14ac:dyDescent="0.25">
      <c r="C83" s="18" t="s">
        <v>68</v>
      </c>
      <c r="D83" s="18" t="s">
        <v>483</v>
      </c>
      <c r="E83" s="42" t="s">
        <v>69</v>
      </c>
      <c r="F83" s="18" t="s">
        <v>67</v>
      </c>
      <c r="G83" s="18" t="s">
        <v>83</v>
      </c>
      <c r="H83" s="112" cm="1">
        <f t="array" ref="H8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3" s="112" t="str" cm="1">
        <f t="array" ref="I8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3" s="112" t="str" cm="1">
        <f t="array" ref="J8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3" s="112" t="str" cm="1">
        <f t="array" ref="K8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3" s="112" t="str" cm="1">
        <f t="array" ref="L8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4" spans="3:12" outlineLevel="1" x14ac:dyDescent="0.25">
      <c r="C84" s="18" t="s">
        <v>70</v>
      </c>
      <c r="D84" s="18" t="s">
        <v>483</v>
      </c>
      <c r="E84" s="42" t="s">
        <v>69</v>
      </c>
      <c r="F84" s="18" t="s">
        <v>67</v>
      </c>
      <c r="G84" s="18" t="s">
        <v>83</v>
      </c>
      <c r="H84" s="112" cm="1">
        <f t="array" ref="H8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4" s="112" t="str" cm="1">
        <f t="array" ref="I8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4" s="112" t="str" cm="1">
        <f t="array" ref="J8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4" s="112" t="str" cm="1">
        <f t="array" ref="K8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4" s="112" t="str" cm="1">
        <f t="array" ref="L8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5" spans="3:12" outlineLevel="1" x14ac:dyDescent="0.25">
      <c r="C85" s="18" t="s">
        <v>73</v>
      </c>
      <c r="D85" s="18" t="s">
        <v>483</v>
      </c>
      <c r="E85" s="42" t="s">
        <v>69</v>
      </c>
      <c r="F85" s="18" t="s">
        <v>67</v>
      </c>
      <c r="G85" s="18" t="s">
        <v>83</v>
      </c>
      <c r="H85" s="112" cm="1">
        <f t="array" ref="H8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5" s="112" cm="1">
        <f t="array" ref="I8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5" s="112" cm="1">
        <f t="array" ref="J8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5" s="112" cm="1">
        <f t="array" ref="K8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5" s="112" cm="1">
        <f t="array" ref="L8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6" spans="3:12" outlineLevel="1" x14ac:dyDescent="0.25">
      <c r="C86" s="18" t="s">
        <v>74</v>
      </c>
      <c r="D86" s="18" t="s">
        <v>483</v>
      </c>
      <c r="E86" s="42" t="s">
        <v>69</v>
      </c>
      <c r="F86" s="18" t="s">
        <v>67</v>
      </c>
      <c r="G86" s="18" t="s">
        <v>83</v>
      </c>
      <c r="H86" s="112" cm="1">
        <f t="array" ref="H8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6" s="112" cm="1">
        <f t="array" ref="I8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6" s="112" cm="1">
        <f t="array" ref="J8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6" s="112" cm="1">
        <f t="array" ref="K8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6" s="112" cm="1">
        <f t="array" ref="L8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7" spans="3:12" outlineLevel="1" x14ac:dyDescent="0.25">
      <c r="C87" s="18" t="s">
        <v>71</v>
      </c>
      <c r="D87" s="18" t="s">
        <v>484</v>
      </c>
      <c r="E87" s="42" t="s">
        <v>69</v>
      </c>
      <c r="F87" s="18" t="s">
        <v>67</v>
      </c>
      <c r="G87" s="18" t="s">
        <v>83</v>
      </c>
      <c r="H87" s="112" t="str" cm="1">
        <f t="array" ref="H8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87" s="112" cm="1">
        <f t="array" ref="I8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7" s="112" cm="1">
        <f t="array" ref="J8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7" s="112" cm="1">
        <f t="array" ref="K8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7" s="112" cm="1">
        <f t="array" ref="L8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8" spans="3:12" outlineLevel="1" x14ac:dyDescent="0.25">
      <c r="C88" s="18" t="s">
        <v>68</v>
      </c>
      <c r="D88" s="18" t="s">
        <v>484</v>
      </c>
      <c r="E88" s="42" t="s">
        <v>69</v>
      </c>
      <c r="F88" s="18" t="s">
        <v>67</v>
      </c>
      <c r="G88" s="18" t="s">
        <v>83</v>
      </c>
      <c r="H88" s="112" cm="1">
        <f t="array" ref="H8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8" s="112" t="str" cm="1">
        <f t="array" ref="I8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8" s="112" t="str" cm="1">
        <f t="array" ref="J8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8" s="112" t="str" cm="1">
        <f t="array" ref="K8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8" s="112" t="str" cm="1">
        <f t="array" ref="L8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9" spans="3:12" outlineLevel="1" x14ac:dyDescent="0.25">
      <c r="C89" s="18" t="s">
        <v>70</v>
      </c>
      <c r="D89" s="18" t="s">
        <v>484</v>
      </c>
      <c r="E89" s="42" t="s">
        <v>69</v>
      </c>
      <c r="F89" s="18" t="s">
        <v>67</v>
      </c>
      <c r="G89" s="18" t="s">
        <v>83</v>
      </c>
      <c r="H89" s="112" cm="1">
        <f t="array" ref="H8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9" s="112" t="str" cm="1">
        <f t="array" ref="I8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9" s="112" t="str" cm="1">
        <f t="array" ref="J8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9" s="112" t="str" cm="1">
        <f t="array" ref="K8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9" s="112" t="str" cm="1">
        <f t="array" ref="L8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0" spans="3:12" outlineLevel="1" x14ac:dyDescent="0.25">
      <c r="C90" s="18" t="s">
        <v>73</v>
      </c>
      <c r="D90" s="18" t="s">
        <v>484</v>
      </c>
      <c r="E90" s="42" t="s">
        <v>69</v>
      </c>
      <c r="F90" s="18" t="s">
        <v>67</v>
      </c>
      <c r="G90" s="18" t="s">
        <v>83</v>
      </c>
      <c r="H90" s="112" cm="1">
        <f t="array" ref="H9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0" s="112" cm="1">
        <f t="array" ref="I9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0" s="112" cm="1">
        <f t="array" ref="J9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0" s="112" cm="1">
        <f t="array" ref="K9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0" s="112" cm="1">
        <f t="array" ref="L9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1" spans="3:12" outlineLevel="1" x14ac:dyDescent="0.25">
      <c r="C91" s="18" t="s">
        <v>74</v>
      </c>
      <c r="D91" s="18" t="s">
        <v>484</v>
      </c>
      <c r="E91" s="42" t="s">
        <v>69</v>
      </c>
      <c r="F91" s="18" t="s">
        <v>67</v>
      </c>
      <c r="G91" s="18" t="s">
        <v>83</v>
      </c>
      <c r="H91" s="112" cm="1">
        <f t="array" ref="H9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1" s="112" cm="1">
        <f t="array" ref="I9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1" s="112" cm="1">
        <f t="array" ref="J9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1" s="112" cm="1">
        <f t="array" ref="K9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1" s="112" cm="1">
        <f t="array" ref="L9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2" spans="3:12" outlineLevel="1" x14ac:dyDescent="0.25">
      <c r="C92" s="18" t="s">
        <v>71</v>
      </c>
      <c r="D92" s="18" t="s">
        <v>485</v>
      </c>
      <c r="E92" s="42" t="s">
        <v>69</v>
      </c>
      <c r="F92" s="18" t="s">
        <v>67</v>
      </c>
      <c r="G92" s="18" t="s">
        <v>83</v>
      </c>
      <c r="H92" s="112" t="str" cm="1">
        <f t="array" ref="H9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92" s="112" cm="1">
        <f t="array" ref="I9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2" s="112" cm="1">
        <f t="array" ref="J9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2" s="112" cm="1">
        <f t="array" ref="K9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2" s="112" cm="1">
        <f t="array" ref="L9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3" spans="3:12" outlineLevel="1" x14ac:dyDescent="0.25">
      <c r="C93" s="18" t="s">
        <v>68</v>
      </c>
      <c r="D93" s="18" t="s">
        <v>485</v>
      </c>
      <c r="E93" s="42" t="s">
        <v>69</v>
      </c>
      <c r="F93" s="18" t="s">
        <v>67</v>
      </c>
      <c r="G93" s="18" t="s">
        <v>83</v>
      </c>
      <c r="H93" s="112" cm="1">
        <f t="array" ref="H9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3" s="112" t="str" cm="1">
        <f t="array" ref="I9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93" s="112" t="str" cm="1">
        <f t="array" ref="J9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93" s="112" t="str" cm="1">
        <f t="array" ref="K9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93" s="112" t="str" cm="1">
        <f t="array" ref="L9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4" spans="3:12" outlineLevel="1" x14ac:dyDescent="0.25">
      <c r="C94" s="18" t="s">
        <v>70</v>
      </c>
      <c r="D94" s="18" t="s">
        <v>485</v>
      </c>
      <c r="E94" s="42" t="s">
        <v>69</v>
      </c>
      <c r="F94" s="18" t="s">
        <v>67</v>
      </c>
      <c r="G94" s="18" t="s">
        <v>83</v>
      </c>
      <c r="H94" s="112" cm="1">
        <f t="array" ref="H9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4" s="112" t="str" cm="1">
        <f t="array" ref="I9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94" s="112" t="str" cm="1">
        <f t="array" ref="J9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94" s="112" t="str" cm="1">
        <f t="array" ref="K9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94" s="112" t="str" cm="1">
        <f t="array" ref="L9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5" spans="3:12" outlineLevel="1" x14ac:dyDescent="0.25">
      <c r="C95" s="18" t="s">
        <v>73</v>
      </c>
      <c r="D95" s="18" t="s">
        <v>485</v>
      </c>
      <c r="E95" s="42" t="s">
        <v>69</v>
      </c>
      <c r="F95" s="18" t="s">
        <v>67</v>
      </c>
      <c r="G95" s="18" t="s">
        <v>83</v>
      </c>
      <c r="H95" s="112" cm="1">
        <f t="array" ref="H9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5" s="112" cm="1">
        <f t="array" ref="I9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5" s="112" cm="1">
        <f t="array" ref="J9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5" s="112" cm="1">
        <f t="array" ref="K9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5" s="112" cm="1">
        <f t="array" ref="L9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6" spans="3:12" outlineLevel="1" x14ac:dyDescent="0.25">
      <c r="C96" s="18" t="s">
        <v>74</v>
      </c>
      <c r="D96" s="18" t="s">
        <v>485</v>
      </c>
      <c r="E96" s="42" t="s">
        <v>69</v>
      </c>
      <c r="F96" s="18" t="s">
        <v>67</v>
      </c>
      <c r="G96" s="18" t="s">
        <v>83</v>
      </c>
      <c r="H96" s="112" cm="1">
        <f t="array" ref="H9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6" s="112" cm="1">
        <f t="array" ref="I9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6" s="112" cm="1">
        <f t="array" ref="J9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6" s="112" cm="1">
        <f t="array" ref="K9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6" s="112" cm="1">
        <f t="array" ref="L9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7" spans="3:12" outlineLevel="1" x14ac:dyDescent="0.25"/>
    <row r="98" spans="3:12" ht="15.75" outlineLevel="1" x14ac:dyDescent="0.25">
      <c r="C98" s="24" t="s">
        <v>16</v>
      </c>
    </row>
    <row r="99" spans="3:12" ht="15.75" outlineLevel="1" x14ac:dyDescent="0.25">
      <c r="C99" s="93" t="s">
        <v>472</v>
      </c>
      <c r="D99" s="93" t="s">
        <v>398</v>
      </c>
      <c r="E99" s="93" t="s">
        <v>56</v>
      </c>
      <c r="F99" s="93" t="s">
        <v>57</v>
      </c>
      <c r="G99" s="93" t="s">
        <v>48</v>
      </c>
      <c r="H99" s="35" t="s">
        <v>59</v>
      </c>
      <c r="I99" s="35" t="s">
        <v>60</v>
      </c>
      <c r="J99" s="35" t="s">
        <v>61</v>
      </c>
      <c r="K99" s="35" t="s">
        <v>62</v>
      </c>
      <c r="L99" s="35" t="s">
        <v>63</v>
      </c>
    </row>
    <row r="100" spans="3:12" ht="15.75" outlineLevel="1" x14ac:dyDescent="0.25">
      <c r="C100" s="18" t="s">
        <v>71</v>
      </c>
      <c r="D100" s="18" t="s">
        <v>483</v>
      </c>
      <c r="E100" s="42" t="s">
        <v>69</v>
      </c>
      <c r="F100" s="18" t="s">
        <v>66</v>
      </c>
      <c r="G100" s="18" t="s">
        <v>83</v>
      </c>
      <c r="H100" s="68" t="str">
        <f>IF(H64="-","-",
IF(
ROUND(H64,8)=
ROUND(SUMIFS(Calc_TUV_EnvGroup_1[Ausnet],Calc_TUV_EnvGroup_1[[Cost item]:[Cost item]],$D100,Calc_TUV_EnvGroup_1[[Cost element]:[Cost element]],$G100)*($F$58/$F$59),8),
0,1))</f>
        <v>-</v>
      </c>
      <c r="I100" s="68">
        <f>IF(I64="-","-",
IF(
ROUND(I64,8)=
ROUND(SUMIFS(Calc_TUV_EnvGroup_1[Citipower],Calc_TUV_EnvGroup_1[[Cost item]:[Cost item]],$D100,Calc_TUV_EnvGroup_1[[Cost element]:[Cost element]],$G100)*($F$58/$F$59),8),
0,1))</f>
        <v>0</v>
      </c>
      <c r="J100" s="68">
        <f>IF(J64="-","-",
IF(
ROUND(J64,8)=
ROUND(SUMIFS(Calc_TUV_EnvGroup_1[Jemena],Calc_TUV_EnvGroup_1[[Cost item]:[Cost item]],$D100,Calc_TUV_EnvGroup_1[[Cost element]:[Cost element]],$G100)*($F$58/$F$59),8),
0,1))</f>
        <v>0</v>
      </c>
      <c r="K100" s="68">
        <f>IF(K64="-","-",
IF(
ROUND(K64,8)=
ROUND(SUMIFS(Calc_TUV_EnvGroup_1[Powercor],Calc_TUV_EnvGroup_1[[Cost item]:[Cost item]],$D100,Calc_TUV_EnvGroup_1[[Cost element]:[Cost element]],$G100)*($F$58/$F$59),8),
0,1))</f>
        <v>0</v>
      </c>
      <c r="L100" s="68">
        <f>IF(L64="-","-",
IF(
ROUND(L64,8)=
ROUND(SUMIFS(Calc_TUV_EnvGroup_1[United Energy],Calc_TUV_EnvGroup_1[[Cost item]:[Cost item]],$D100,Calc_TUV_EnvGroup_1[[Cost element]:[Cost element]],$G100)*($F$58/$F$59),8),
0,1))</f>
        <v>0</v>
      </c>
    </row>
    <row r="101" spans="3:12" ht="15.75" outlineLevel="1" x14ac:dyDescent="0.25">
      <c r="C101" s="18" t="s">
        <v>68</v>
      </c>
      <c r="D101" s="18" t="s">
        <v>483</v>
      </c>
      <c r="E101" s="42" t="s">
        <v>69</v>
      </c>
      <c r="F101" s="18" t="s">
        <v>66</v>
      </c>
      <c r="G101" s="18" t="s">
        <v>83</v>
      </c>
      <c r="H101" s="68">
        <f>IF(H65="-","-",
IF(
ROUND(H65,8)=
ROUND(SUMIFS(Calc_TUV_EnvGroup_1[Ausnet],Calc_TUV_EnvGroup_1[[Cost item]:[Cost item]],$D101,Calc_TUV_EnvGroup_1[[Cost element]:[Cost element]],$G101)*($F$58/$F$59),8),
0,1))</f>
        <v>0</v>
      </c>
      <c r="I101" s="68" t="str">
        <f>IF(I65="-","-",
IF(
ROUND(I65,8)=
ROUND(SUMIFS(Calc_TUV_EnvGroup_1[Citipower],Calc_TUV_EnvGroup_1[[Cost item]:[Cost item]],$D101,Calc_TUV_EnvGroup_1[[Cost element]:[Cost element]],$G101)*($F$58/$F$59),8),
0,1))</f>
        <v>-</v>
      </c>
      <c r="J101" s="68" t="str">
        <f>IF(J65="-","-",
IF(
ROUND(J65,8)=
ROUND(SUMIFS(Calc_TUV_EnvGroup_1[Jemena],Calc_TUV_EnvGroup_1[[Cost item]:[Cost item]],$D101,Calc_TUV_EnvGroup_1[[Cost element]:[Cost element]],$G101)*($F$58/$F$59),8),
0,1))</f>
        <v>-</v>
      </c>
      <c r="K101" s="68" t="str">
        <f>IF(K65="-","-",
IF(
ROUND(K65,8)=
ROUND(SUMIFS(Calc_TUV_EnvGroup_1[Powercor],Calc_TUV_EnvGroup_1[[Cost item]:[Cost item]],$D101,Calc_TUV_EnvGroup_1[[Cost element]:[Cost element]],$G101)*($F$58/$F$59),8),
0,1))</f>
        <v>-</v>
      </c>
      <c r="L101" s="68" t="str">
        <f>IF(L65="-","-",
IF(
ROUND(L65,8)=
ROUND(SUMIFS(Calc_TUV_EnvGroup_1[United Energy],Calc_TUV_EnvGroup_1[[Cost item]:[Cost item]],$D101,Calc_TUV_EnvGroup_1[[Cost element]:[Cost element]],$G101)*($F$58/$F$59),8),
0,1))</f>
        <v>-</v>
      </c>
    </row>
    <row r="102" spans="3:12" ht="15.75" outlineLevel="1" x14ac:dyDescent="0.25">
      <c r="C102" s="18" t="s">
        <v>70</v>
      </c>
      <c r="D102" s="18" t="s">
        <v>483</v>
      </c>
      <c r="E102" s="42" t="s">
        <v>69</v>
      </c>
      <c r="F102" s="18" t="s">
        <v>66</v>
      </c>
      <c r="G102" s="18" t="s">
        <v>83</v>
      </c>
      <c r="H102" s="68">
        <f>IF(H66="-","-",
IF(
ROUND(H66,8)=
ROUND(SUMIFS(Calc_TUV_EnvGroup_1[Ausnet],Calc_TUV_EnvGroup_1[[Cost item]:[Cost item]],$D102,Calc_TUV_EnvGroup_1[[Cost element]:[Cost element]],$G102)*($F$58/$F$59),8),
0,1))</f>
        <v>0</v>
      </c>
      <c r="I102" s="68" t="str">
        <f>IF(I66="-","-",
IF(
ROUND(I66,8)=
ROUND(SUMIFS(Calc_TUV_EnvGroup_1[Citipower],Calc_TUV_EnvGroup_1[[Cost item]:[Cost item]],$D102,Calc_TUV_EnvGroup_1[[Cost element]:[Cost element]],$G102)*($F$58/$F$59),8),
0,1))</f>
        <v>-</v>
      </c>
      <c r="J102" s="68" t="str">
        <f>IF(J66="-","-",
IF(
ROUND(J66,8)=
ROUND(SUMIFS(Calc_TUV_EnvGroup_1[Jemena],Calc_TUV_EnvGroup_1[[Cost item]:[Cost item]],$D102,Calc_TUV_EnvGroup_1[[Cost element]:[Cost element]],$G102)*($F$58/$F$59),8),
0,1))</f>
        <v>-</v>
      </c>
      <c r="K102" s="68" t="str">
        <f>IF(K66="-","-",
IF(
ROUND(K66,8)=
ROUND(SUMIFS(Calc_TUV_EnvGroup_1[Powercor],Calc_TUV_EnvGroup_1[[Cost item]:[Cost item]],$D102,Calc_TUV_EnvGroup_1[[Cost element]:[Cost element]],$G102)*($F$58/$F$59),8),
0,1))</f>
        <v>-</v>
      </c>
      <c r="L102" s="68" t="str">
        <f>IF(L66="-","-",
IF(
ROUND(L66,8)=
ROUND(SUMIFS(Calc_TUV_EnvGroup_1[United Energy],Calc_TUV_EnvGroup_1[[Cost item]:[Cost item]],$D102,Calc_TUV_EnvGroup_1[[Cost element]:[Cost element]],$G102)*($F$58/$F$59),8),
0,1))</f>
        <v>-</v>
      </c>
    </row>
    <row r="103" spans="3:12" ht="15.75" outlineLevel="1" x14ac:dyDescent="0.25">
      <c r="C103" s="18" t="s">
        <v>75</v>
      </c>
      <c r="D103" s="18" t="s">
        <v>483</v>
      </c>
      <c r="E103" s="42" t="s">
        <v>69</v>
      </c>
      <c r="F103" s="18" t="s">
        <v>66</v>
      </c>
      <c r="G103" s="18" t="s">
        <v>83</v>
      </c>
      <c r="H103" s="68">
        <f>IF(H67="-","-",
IF(
ROUND(H67,8)=
ROUND(SUMIFS(Calc_TUV_EnvGroup_1[Ausnet],Calc_TUV_EnvGroup_1[[Cost item]:[Cost item]],$D103,Calc_TUV_EnvGroup_1[[Cost element]:[Cost element]],$G103)*($F$58/$F$59),8),
0,1))</f>
        <v>0</v>
      </c>
      <c r="I103" s="68">
        <f>IF(I67="-","-",
IF(
ROUND(I67,8)=
ROUND(SUMIFS(Calc_TUV_EnvGroup_1[Citipower],Calc_TUV_EnvGroup_1[[Cost item]:[Cost item]],$D103,Calc_TUV_EnvGroup_1[[Cost element]:[Cost element]],$G103)*($F$58/$F$59),8),
0,1))</f>
        <v>0</v>
      </c>
      <c r="J103" s="68">
        <f>IF(J67="-","-",
IF(
ROUND(J67,8)=
ROUND(SUMIFS(Calc_TUV_EnvGroup_1[Jemena],Calc_TUV_EnvGroup_1[[Cost item]:[Cost item]],$D103,Calc_TUV_EnvGroup_1[[Cost element]:[Cost element]],$G103)*($F$58/$F$59),8),
0,1))</f>
        <v>0</v>
      </c>
      <c r="K103" s="68">
        <f>IF(K67="-","-",
IF(
ROUND(K67,8)=
ROUND(SUMIFS(Calc_TUV_EnvGroup_1[Powercor],Calc_TUV_EnvGroup_1[[Cost item]:[Cost item]],$D103,Calc_TUV_EnvGroup_1[[Cost element]:[Cost element]],$G103)*($F$58/$F$59),8),
0,1))</f>
        <v>0</v>
      </c>
      <c r="L103" s="68">
        <f>IF(L67="-","-",
IF(
ROUND(L67,8)=
ROUND(SUMIFS(Calc_TUV_EnvGroup_1[United Energy],Calc_TUV_EnvGroup_1[[Cost item]:[Cost item]],$D103,Calc_TUV_EnvGroup_1[[Cost element]:[Cost element]],$G103)*($F$58/$F$59),8),
0,1))</f>
        <v>0</v>
      </c>
    </row>
    <row r="104" spans="3:12" ht="15.75" outlineLevel="1" x14ac:dyDescent="0.25">
      <c r="C104" s="18" t="s">
        <v>73</v>
      </c>
      <c r="D104" s="18" t="s">
        <v>483</v>
      </c>
      <c r="E104" s="42" t="s">
        <v>69</v>
      </c>
      <c r="F104" s="18" t="s">
        <v>66</v>
      </c>
      <c r="G104" s="18" t="s">
        <v>83</v>
      </c>
      <c r="H104" s="68">
        <f>IF(H68="-","-",
IF(
ROUND(H68,8)=
ROUND(SUMIFS(Calc_TUV_EnvGroup_1[Ausnet],Calc_TUV_EnvGroup_1[[Cost item]:[Cost item]],$D104,Calc_TUV_EnvGroup_1[[Cost element]:[Cost element]],$G104)*($F$58/$F$59),8),
0,1))</f>
        <v>0</v>
      </c>
      <c r="I104" s="68">
        <f>IF(I68="-","-",
IF(
ROUND(I68,8)=
ROUND(SUMIFS(Calc_TUV_EnvGroup_1[Citipower],Calc_TUV_EnvGroup_1[[Cost item]:[Cost item]],$D104,Calc_TUV_EnvGroup_1[[Cost element]:[Cost element]],$G104)*($F$58/$F$59),8),
0,1))</f>
        <v>0</v>
      </c>
      <c r="J104" s="68">
        <f>IF(J68="-","-",
IF(
ROUND(J68,8)=
ROUND(SUMIFS(Calc_TUV_EnvGroup_1[Jemena],Calc_TUV_EnvGroup_1[[Cost item]:[Cost item]],$D104,Calc_TUV_EnvGroup_1[[Cost element]:[Cost element]],$G104)*($F$58/$F$59),8),
0,1))</f>
        <v>0</v>
      </c>
      <c r="K104" s="68">
        <f>IF(K68="-","-",
IF(
ROUND(K68,8)=
ROUND(SUMIFS(Calc_TUV_EnvGroup_1[Powercor],Calc_TUV_EnvGroup_1[[Cost item]:[Cost item]],$D104,Calc_TUV_EnvGroup_1[[Cost element]:[Cost element]],$G104)*($F$58/$F$59),8),
0,1))</f>
        <v>0</v>
      </c>
      <c r="L104" s="68">
        <f>IF(L68="-","-",
IF(
ROUND(L68,8)=
ROUND(SUMIFS(Calc_TUV_EnvGroup_1[United Energy],Calc_TUV_EnvGroup_1[[Cost item]:[Cost item]],$D104,Calc_TUV_EnvGroup_1[[Cost element]:[Cost element]],$G104)*($F$58/$F$59),8),
0,1))</f>
        <v>0</v>
      </c>
    </row>
    <row r="105" spans="3:12" ht="15.75" outlineLevel="1" x14ac:dyDescent="0.25">
      <c r="C105" s="18" t="s">
        <v>74</v>
      </c>
      <c r="D105" s="18" t="s">
        <v>483</v>
      </c>
      <c r="E105" s="42" t="s">
        <v>69</v>
      </c>
      <c r="F105" s="18" t="s">
        <v>66</v>
      </c>
      <c r="G105" s="18" t="s">
        <v>83</v>
      </c>
      <c r="H105" s="68">
        <f>IF(H69="-","-",
IF(
ROUND(H69,8)=
ROUND(SUMIFS(Calc_TUV_EnvGroup_1[Ausnet],Calc_TUV_EnvGroup_1[[Cost item]:[Cost item]],$D105,Calc_TUV_EnvGroup_1[[Cost element]:[Cost element]],$G105)*($F$58/$F$59),8),
0,1))</f>
        <v>0</v>
      </c>
      <c r="I105" s="68">
        <f>IF(I69="-","-",
IF(
ROUND(I69,8)=
ROUND(SUMIFS(Calc_TUV_EnvGroup_1[Citipower],Calc_TUV_EnvGroup_1[[Cost item]:[Cost item]],$D105,Calc_TUV_EnvGroup_1[[Cost element]:[Cost element]],$G105)*($F$58/$F$59),8),
0,1))</f>
        <v>0</v>
      </c>
      <c r="J105" s="68">
        <f>IF(J69="-","-",
IF(
ROUND(J69,8)=
ROUND(SUMIFS(Calc_TUV_EnvGroup_1[Jemena],Calc_TUV_EnvGroup_1[[Cost item]:[Cost item]],$D105,Calc_TUV_EnvGroup_1[[Cost element]:[Cost element]],$G105)*($F$58/$F$59),8),
0,1))</f>
        <v>0</v>
      </c>
      <c r="K105" s="68">
        <f>IF(K69="-","-",
IF(
ROUND(K69,8)=
ROUND(SUMIFS(Calc_TUV_EnvGroup_1[Powercor],Calc_TUV_EnvGroup_1[[Cost item]:[Cost item]],$D105,Calc_TUV_EnvGroup_1[[Cost element]:[Cost element]],$G105)*($F$58/$F$59),8),
0,1))</f>
        <v>0</v>
      </c>
      <c r="L105" s="68">
        <f>IF(L69="-","-",
IF(
ROUND(L69,8)=
ROUND(SUMIFS(Calc_TUV_EnvGroup_1[United Energy],Calc_TUV_EnvGroup_1[[Cost item]:[Cost item]],$D105,Calc_TUV_EnvGroup_1[[Cost element]:[Cost element]],$G105)*($F$58/$F$59),8),
0,1))</f>
        <v>0</v>
      </c>
    </row>
    <row r="106" spans="3:12" ht="15.75" outlineLevel="1" x14ac:dyDescent="0.25">
      <c r="C106" s="18" t="s">
        <v>71</v>
      </c>
      <c r="D106" s="18" t="s">
        <v>484</v>
      </c>
      <c r="E106" s="42" t="s">
        <v>69</v>
      </c>
      <c r="F106" s="18" t="s">
        <v>66</v>
      </c>
      <c r="G106" s="18" t="s">
        <v>83</v>
      </c>
      <c r="H106" s="68" t="str">
        <f>IF(H70="-","-",
IF(
ROUND(H70,8)=
ROUND(SUMIFS(Calc_TUV_EnvGroup_1[Ausnet],Calc_TUV_EnvGroup_1[[Cost item]:[Cost item]],$D106,Calc_TUV_EnvGroup_1[[Cost element]:[Cost element]],$G106)*($F$58/$F$59),8),
0,1))</f>
        <v>-</v>
      </c>
      <c r="I106" s="68">
        <f>IF(I70="-","-",
IF(
ROUND(I70,8)=
ROUND(SUMIFS(Calc_TUV_EnvGroup_1[Citipower],Calc_TUV_EnvGroup_1[[Cost item]:[Cost item]],$D106,Calc_TUV_EnvGroup_1[[Cost element]:[Cost element]],$G106)*($F$58/$F$59),8),
0,1))</f>
        <v>0</v>
      </c>
      <c r="J106" s="68">
        <f>IF(J70="-","-",
IF(
ROUND(J70,8)=
ROUND(SUMIFS(Calc_TUV_EnvGroup_1[Jemena],Calc_TUV_EnvGroup_1[[Cost item]:[Cost item]],$D106,Calc_TUV_EnvGroup_1[[Cost element]:[Cost element]],$G106)*($F$58/$F$59),8),
0,1))</f>
        <v>0</v>
      </c>
      <c r="K106" s="68">
        <f>IF(K70="-","-",
IF(
ROUND(K70,8)=
ROUND(SUMIFS(Calc_TUV_EnvGroup_1[Powercor],Calc_TUV_EnvGroup_1[[Cost item]:[Cost item]],$D106,Calc_TUV_EnvGroup_1[[Cost element]:[Cost element]],$G106)*($F$58/$F$59),8),
0,1))</f>
        <v>0</v>
      </c>
      <c r="L106" s="68">
        <f>IF(L70="-","-",
IF(
ROUND(L70,8)=
ROUND(SUMIFS(Calc_TUV_EnvGroup_1[United Energy],Calc_TUV_EnvGroup_1[[Cost item]:[Cost item]],$D106,Calc_TUV_EnvGroup_1[[Cost element]:[Cost element]],$G106)*($F$58/$F$59),8),
0,1))</f>
        <v>0</v>
      </c>
    </row>
    <row r="107" spans="3:12" ht="15.75" outlineLevel="1" x14ac:dyDescent="0.25">
      <c r="C107" s="18" t="s">
        <v>68</v>
      </c>
      <c r="D107" s="18" t="s">
        <v>484</v>
      </c>
      <c r="E107" s="42" t="s">
        <v>69</v>
      </c>
      <c r="F107" s="18" t="s">
        <v>66</v>
      </c>
      <c r="G107" s="18" t="s">
        <v>83</v>
      </c>
      <c r="H107" s="68">
        <f>IF(H71="-","-",
IF(
ROUND(H71,8)=
ROUND(SUMIFS(Calc_TUV_EnvGroup_1[Ausnet],Calc_TUV_EnvGroup_1[[Cost item]:[Cost item]],$D107,Calc_TUV_EnvGroup_1[[Cost element]:[Cost element]],$G107)*($F$58/$F$59),8),
0,1))</f>
        <v>0</v>
      </c>
      <c r="I107" s="68" t="str">
        <f>IF(I71="-","-",
IF(
ROUND(I71,8)=
ROUND(SUMIFS(Calc_TUV_EnvGroup_1[Citipower],Calc_TUV_EnvGroup_1[[Cost item]:[Cost item]],$D107,Calc_TUV_EnvGroup_1[[Cost element]:[Cost element]],$G107)*($F$58/$F$59),8),
0,1))</f>
        <v>-</v>
      </c>
      <c r="J107" s="68" t="str">
        <f>IF(J71="-","-",
IF(
ROUND(J71,8)=
ROUND(SUMIFS(Calc_TUV_EnvGroup_1[Jemena],Calc_TUV_EnvGroup_1[[Cost item]:[Cost item]],$D107,Calc_TUV_EnvGroup_1[[Cost element]:[Cost element]],$G107)*($F$58/$F$59),8),
0,1))</f>
        <v>-</v>
      </c>
      <c r="K107" s="68" t="str">
        <f>IF(K71="-","-",
IF(
ROUND(K71,8)=
ROUND(SUMIFS(Calc_TUV_EnvGroup_1[Powercor],Calc_TUV_EnvGroup_1[[Cost item]:[Cost item]],$D107,Calc_TUV_EnvGroup_1[[Cost element]:[Cost element]],$G107)*($F$58/$F$59),8),
0,1))</f>
        <v>-</v>
      </c>
      <c r="L107" s="68" t="str">
        <f>IF(L71="-","-",
IF(
ROUND(L71,8)=
ROUND(SUMIFS(Calc_TUV_EnvGroup_1[United Energy],Calc_TUV_EnvGroup_1[[Cost item]:[Cost item]],$D107,Calc_TUV_EnvGroup_1[[Cost element]:[Cost element]],$G107)*($F$58/$F$59),8),
0,1))</f>
        <v>-</v>
      </c>
    </row>
    <row r="108" spans="3:12" ht="15.75" outlineLevel="1" x14ac:dyDescent="0.25">
      <c r="C108" s="18" t="s">
        <v>70</v>
      </c>
      <c r="D108" s="18" t="s">
        <v>484</v>
      </c>
      <c r="E108" s="42" t="s">
        <v>69</v>
      </c>
      <c r="F108" s="18" t="s">
        <v>66</v>
      </c>
      <c r="G108" s="18" t="s">
        <v>83</v>
      </c>
      <c r="H108" s="68">
        <f>IF(H72="-","-",
IF(
ROUND(H72,8)=
ROUND(SUMIFS(Calc_TUV_EnvGroup_1[Ausnet],Calc_TUV_EnvGroup_1[[Cost item]:[Cost item]],$D108,Calc_TUV_EnvGroup_1[[Cost element]:[Cost element]],$G108)*($F$58/$F$59),8),
0,1))</f>
        <v>0</v>
      </c>
      <c r="I108" s="68" t="str">
        <f>IF(I72="-","-",
IF(
ROUND(I72,8)=
ROUND(SUMIFS(Calc_TUV_EnvGroup_1[Citipower],Calc_TUV_EnvGroup_1[[Cost item]:[Cost item]],$D108,Calc_TUV_EnvGroup_1[[Cost element]:[Cost element]],$G108)*($F$58/$F$59),8),
0,1))</f>
        <v>-</v>
      </c>
      <c r="J108" s="68" t="str">
        <f>IF(J72="-","-",
IF(
ROUND(J72,8)=
ROUND(SUMIFS(Calc_TUV_EnvGroup_1[Jemena],Calc_TUV_EnvGroup_1[[Cost item]:[Cost item]],$D108,Calc_TUV_EnvGroup_1[[Cost element]:[Cost element]],$G108)*($F$58/$F$59),8),
0,1))</f>
        <v>-</v>
      </c>
      <c r="K108" s="68" t="str">
        <f>IF(K72="-","-",
IF(
ROUND(K72,8)=
ROUND(SUMIFS(Calc_TUV_EnvGroup_1[Powercor],Calc_TUV_EnvGroup_1[[Cost item]:[Cost item]],$D108,Calc_TUV_EnvGroup_1[[Cost element]:[Cost element]],$G108)*($F$58/$F$59),8),
0,1))</f>
        <v>-</v>
      </c>
      <c r="L108" s="68" t="str">
        <f>IF(L72="-","-",
IF(
ROUND(L72,8)=
ROUND(SUMIFS(Calc_TUV_EnvGroup_1[United Energy],Calc_TUV_EnvGroup_1[[Cost item]:[Cost item]],$D108,Calc_TUV_EnvGroup_1[[Cost element]:[Cost element]],$G108)*($F$58/$F$59),8),
0,1))</f>
        <v>-</v>
      </c>
    </row>
    <row r="109" spans="3:12" ht="15.75" outlineLevel="1" x14ac:dyDescent="0.25">
      <c r="C109" s="18" t="s">
        <v>75</v>
      </c>
      <c r="D109" s="18" t="s">
        <v>484</v>
      </c>
      <c r="E109" s="42" t="s">
        <v>69</v>
      </c>
      <c r="F109" s="18" t="s">
        <v>66</v>
      </c>
      <c r="G109" s="18" t="s">
        <v>83</v>
      </c>
      <c r="H109" s="68">
        <f>IF(H73="-","-",
IF(
ROUND(H73,8)=
ROUND(SUMIFS(Calc_TUV_EnvGroup_1[Ausnet],Calc_TUV_EnvGroup_1[[Cost item]:[Cost item]],$D109,Calc_TUV_EnvGroup_1[[Cost element]:[Cost element]],$G109)*($F$58/$F$59),8),
0,1))</f>
        <v>0</v>
      </c>
      <c r="I109" s="68">
        <f>IF(I73="-","-",
IF(
ROUND(I73,8)=
ROUND(SUMIFS(Calc_TUV_EnvGroup_1[Citipower],Calc_TUV_EnvGroup_1[[Cost item]:[Cost item]],$D109,Calc_TUV_EnvGroup_1[[Cost element]:[Cost element]],$G109)*($F$58/$F$59),8),
0,1))</f>
        <v>0</v>
      </c>
      <c r="J109" s="68">
        <f>IF(J73="-","-",
IF(
ROUND(J73,8)=
ROUND(SUMIFS(Calc_TUV_EnvGroup_1[Jemena],Calc_TUV_EnvGroup_1[[Cost item]:[Cost item]],$D109,Calc_TUV_EnvGroup_1[[Cost element]:[Cost element]],$G109)*($F$58/$F$59),8),
0,1))</f>
        <v>0</v>
      </c>
      <c r="K109" s="68">
        <f>IF(K73="-","-",
IF(
ROUND(K73,8)=
ROUND(SUMIFS(Calc_TUV_EnvGroup_1[Powercor],Calc_TUV_EnvGroup_1[[Cost item]:[Cost item]],$D109,Calc_TUV_EnvGroup_1[[Cost element]:[Cost element]],$G109)*($F$58/$F$59),8),
0,1))</f>
        <v>0</v>
      </c>
      <c r="L109" s="68">
        <f>IF(L73="-","-",
IF(
ROUND(L73,8)=
ROUND(SUMIFS(Calc_TUV_EnvGroup_1[United Energy],Calc_TUV_EnvGroup_1[[Cost item]:[Cost item]],$D109,Calc_TUV_EnvGroup_1[[Cost element]:[Cost element]],$G109)*($F$58/$F$59),8),
0,1))</f>
        <v>0</v>
      </c>
    </row>
    <row r="110" spans="3:12" ht="15.75" outlineLevel="1" x14ac:dyDescent="0.25">
      <c r="C110" s="18" t="s">
        <v>73</v>
      </c>
      <c r="D110" s="18" t="s">
        <v>484</v>
      </c>
      <c r="E110" s="42" t="s">
        <v>69</v>
      </c>
      <c r="F110" s="18" t="s">
        <v>66</v>
      </c>
      <c r="G110" s="18" t="s">
        <v>83</v>
      </c>
      <c r="H110" s="68">
        <f>IF(H74="-","-",
IF(
ROUND(H74,8)=
ROUND(SUMIFS(Calc_TUV_EnvGroup_1[Ausnet],Calc_TUV_EnvGroup_1[[Cost item]:[Cost item]],$D110,Calc_TUV_EnvGroup_1[[Cost element]:[Cost element]],$G110)*($F$58/$F$59),8),
0,1))</f>
        <v>0</v>
      </c>
      <c r="I110" s="68">
        <f>IF(I74="-","-",
IF(
ROUND(I74,8)=
ROUND(SUMIFS(Calc_TUV_EnvGroup_1[Citipower],Calc_TUV_EnvGroup_1[[Cost item]:[Cost item]],$D110,Calc_TUV_EnvGroup_1[[Cost element]:[Cost element]],$G110)*($F$58/$F$59),8),
0,1))</f>
        <v>0</v>
      </c>
      <c r="J110" s="68">
        <f>IF(J74="-","-",
IF(
ROUND(J74,8)=
ROUND(SUMIFS(Calc_TUV_EnvGroup_1[Jemena],Calc_TUV_EnvGroup_1[[Cost item]:[Cost item]],$D110,Calc_TUV_EnvGroup_1[[Cost element]:[Cost element]],$G110)*($F$58/$F$59),8),
0,1))</f>
        <v>0</v>
      </c>
      <c r="K110" s="68">
        <f>IF(K74="-","-",
IF(
ROUND(K74,8)=
ROUND(SUMIFS(Calc_TUV_EnvGroup_1[Powercor],Calc_TUV_EnvGroup_1[[Cost item]:[Cost item]],$D110,Calc_TUV_EnvGroup_1[[Cost element]:[Cost element]],$G110)*($F$58/$F$59),8),
0,1))</f>
        <v>0</v>
      </c>
      <c r="L110" s="68">
        <f>IF(L74="-","-",
IF(
ROUND(L74,8)=
ROUND(SUMIFS(Calc_TUV_EnvGroup_1[United Energy],Calc_TUV_EnvGroup_1[[Cost item]:[Cost item]],$D110,Calc_TUV_EnvGroup_1[[Cost element]:[Cost element]],$G110)*($F$58/$F$59),8),
0,1))</f>
        <v>0</v>
      </c>
    </row>
    <row r="111" spans="3:12" ht="15.75" outlineLevel="1" x14ac:dyDescent="0.25">
      <c r="C111" s="18" t="s">
        <v>74</v>
      </c>
      <c r="D111" s="18" t="s">
        <v>484</v>
      </c>
      <c r="E111" s="42" t="s">
        <v>69</v>
      </c>
      <c r="F111" s="18" t="s">
        <v>66</v>
      </c>
      <c r="G111" s="18" t="s">
        <v>83</v>
      </c>
      <c r="H111" s="68">
        <f>IF(H75="-","-",
IF(
ROUND(H75,8)=
ROUND(SUMIFS(Calc_TUV_EnvGroup_1[Ausnet],Calc_TUV_EnvGroup_1[[Cost item]:[Cost item]],$D111,Calc_TUV_EnvGroup_1[[Cost element]:[Cost element]],$G111)*($F$58/$F$59),8),
0,1))</f>
        <v>0</v>
      </c>
      <c r="I111" s="68">
        <f>IF(I75="-","-",
IF(
ROUND(I75,8)=
ROUND(SUMIFS(Calc_TUV_EnvGroup_1[Citipower],Calc_TUV_EnvGroup_1[[Cost item]:[Cost item]],$D111,Calc_TUV_EnvGroup_1[[Cost element]:[Cost element]],$G111)*($F$58/$F$59),8),
0,1))</f>
        <v>0</v>
      </c>
      <c r="J111" s="68">
        <f>IF(J75="-","-",
IF(
ROUND(J75,8)=
ROUND(SUMIFS(Calc_TUV_EnvGroup_1[Jemena],Calc_TUV_EnvGroup_1[[Cost item]:[Cost item]],$D111,Calc_TUV_EnvGroup_1[[Cost element]:[Cost element]],$G111)*($F$58/$F$59),8),
0,1))</f>
        <v>0</v>
      </c>
      <c r="K111" s="68">
        <f>IF(K75="-","-",
IF(
ROUND(K75,8)=
ROUND(SUMIFS(Calc_TUV_EnvGroup_1[Powercor],Calc_TUV_EnvGroup_1[[Cost item]:[Cost item]],$D111,Calc_TUV_EnvGroup_1[[Cost element]:[Cost element]],$G111)*($F$58/$F$59),8),
0,1))</f>
        <v>0</v>
      </c>
      <c r="L111" s="68">
        <f>IF(L75="-","-",
IF(
ROUND(L75,8)=
ROUND(SUMIFS(Calc_TUV_EnvGroup_1[United Energy],Calc_TUV_EnvGroup_1[[Cost item]:[Cost item]],$D111,Calc_TUV_EnvGroup_1[[Cost element]:[Cost element]],$G111)*($F$58/$F$59),8),
0,1))</f>
        <v>0</v>
      </c>
    </row>
    <row r="112" spans="3:12" ht="15.75" outlineLevel="1" x14ac:dyDescent="0.25">
      <c r="C112" s="18" t="s">
        <v>71</v>
      </c>
      <c r="D112" s="18" t="s">
        <v>485</v>
      </c>
      <c r="E112" s="42" t="s">
        <v>69</v>
      </c>
      <c r="F112" s="18" t="s">
        <v>66</v>
      </c>
      <c r="G112" s="18" t="s">
        <v>83</v>
      </c>
      <c r="H112" s="68" t="str">
        <f>IF(H76="-","-",
IF(
ROUND(H76,8)=
ROUND(SUMIFS(Calc_TUV_EnvGroup_1[Ausnet],Calc_TUV_EnvGroup_1[[Cost item]:[Cost item]],$D112,Calc_TUV_EnvGroup_1[[Cost element]:[Cost element]],$G112)*($F$58/$F$59),8),
0,1))</f>
        <v>-</v>
      </c>
      <c r="I112" s="68">
        <f>IF(I76="-","-",
IF(
ROUND(I76,8)=
ROUND(SUMIFS(Calc_TUV_EnvGroup_1[Citipower],Calc_TUV_EnvGroup_1[[Cost item]:[Cost item]],$D112,Calc_TUV_EnvGroup_1[[Cost element]:[Cost element]],$G112)*($F$58/$F$59),8),
0,1))</f>
        <v>0</v>
      </c>
      <c r="J112" s="68">
        <f>IF(J76="-","-",
IF(
ROUND(J76,8)=
ROUND(SUMIFS(Calc_TUV_EnvGroup_1[Jemena],Calc_TUV_EnvGroup_1[[Cost item]:[Cost item]],$D112,Calc_TUV_EnvGroup_1[[Cost element]:[Cost element]],$G112)*($F$58/$F$59),8),
0,1))</f>
        <v>0</v>
      </c>
      <c r="K112" s="68">
        <f>IF(K76="-","-",
IF(
ROUND(K76,8)=
ROUND(SUMIFS(Calc_TUV_EnvGroup_1[Powercor],Calc_TUV_EnvGroup_1[[Cost item]:[Cost item]],$D112,Calc_TUV_EnvGroup_1[[Cost element]:[Cost element]],$G112)*($F$58/$F$59),8),
0,1))</f>
        <v>0</v>
      </c>
      <c r="L112" s="68">
        <f>IF(L76="-","-",
IF(
ROUND(L76,8)=
ROUND(SUMIFS(Calc_TUV_EnvGroup_1[United Energy],Calc_TUV_EnvGroup_1[[Cost item]:[Cost item]],$D112,Calc_TUV_EnvGroup_1[[Cost element]:[Cost element]],$G112)*($F$58/$F$59),8),
0,1))</f>
        <v>0</v>
      </c>
    </row>
    <row r="113" spans="3:12" ht="15.75" outlineLevel="1" x14ac:dyDescent="0.25">
      <c r="C113" s="18" t="s">
        <v>68</v>
      </c>
      <c r="D113" s="18" t="s">
        <v>485</v>
      </c>
      <c r="E113" s="42" t="s">
        <v>69</v>
      </c>
      <c r="F113" s="18" t="s">
        <v>66</v>
      </c>
      <c r="G113" s="18" t="s">
        <v>83</v>
      </c>
      <c r="H113" s="68">
        <f>IF(H77="-","-",
IF(
ROUND(H77,8)=
ROUND(SUMIFS(Calc_TUV_EnvGroup_1[Ausnet],Calc_TUV_EnvGroup_1[[Cost item]:[Cost item]],$D113,Calc_TUV_EnvGroup_1[[Cost element]:[Cost element]],$G113)*($F$58/$F$59),8),
0,1))</f>
        <v>0</v>
      </c>
      <c r="I113" s="68" t="str">
        <f>IF(I77="-","-",
IF(
ROUND(I77,8)=
ROUND(SUMIFS(Calc_TUV_EnvGroup_1[Citipower],Calc_TUV_EnvGroup_1[[Cost item]:[Cost item]],$D113,Calc_TUV_EnvGroup_1[[Cost element]:[Cost element]],$G113)*($F$58/$F$59),8),
0,1))</f>
        <v>-</v>
      </c>
      <c r="J113" s="68" t="str">
        <f>IF(J77="-","-",
IF(
ROUND(J77,8)=
ROUND(SUMIFS(Calc_TUV_EnvGroup_1[Jemena],Calc_TUV_EnvGroup_1[[Cost item]:[Cost item]],$D113,Calc_TUV_EnvGroup_1[[Cost element]:[Cost element]],$G113)*($F$58/$F$59),8),
0,1))</f>
        <v>-</v>
      </c>
      <c r="K113" s="68" t="str">
        <f>IF(K77="-","-",
IF(
ROUND(K77,8)=
ROUND(SUMIFS(Calc_TUV_EnvGroup_1[Powercor],Calc_TUV_EnvGroup_1[[Cost item]:[Cost item]],$D113,Calc_TUV_EnvGroup_1[[Cost element]:[Cost element]],$G113)*($F$58/$F$59),8),
0,1))</f>
        <v>-</v>
      </c>
      <c r="L113" s="68" t="str">
        <f>IF(L77="-","-",
IF(
ROUND(L77,8)=
ROUND(SUMIFS(Calc_TUV_EnvGroup_1[United Energy],Calc_TUV_EnvGroup_1[[Cost item]:[Cost item]],$D113,Calc_TUV_EnvGroup_1[[Cost element]:[Cost element]],$G113)*($F$58/$F$59),8),
0,1))</f>
        <v>-</v>
      </c>
    </row>
    <row r="114" spans="3:12" ht="15.75" outlineLevel="1" x14ac:dyDescent="0.25">
      <c r="C114" s="18" t="s">
        <v>70</v>
      </c>
      <c r="D114" s="18" t="s">
        <v>485</v>
      </c>
      <c r="E114" s="42" t="s">
        <v>69</v>
      </c>
      <c r="F114" s="18" t="s">
        <v>66</v>
      </c>
      <c r="G114" s="18" t="s">
        <v>83</v>
      </c>
      <c r="H114" s="68">
        <f>IF(H78="-","-",
IF(
ROUND(H78,8)=
ROUND(SUMIFS(Calc_TUV_EnvGroup_1[Ausnet],Calc_TUV_EnvGroup_1[[Cost item]:[Cost item]],$D114,Calc_TUV_EnvGroup_1[[Cost element]:[Cost element]],$G114)*($F$58/$F$59),8),
0,1))</f>
        <v>0</v>
      </c>
      <c r="I114" s="68" t="str">
        <f>IF(I78="-","-",
IF(
ROUND(I78,8)=
ROUND(SUMIFS(Calc_TUV_EnvGroup_1[Citipower],Calc_TUV_EnvGroup_1[[Cost item]:[Cost item]],$D114,Calc_TUV_EnvGroup_1[[Cost element]:[Cost element]],$G114)*($F$58/$F$59),8),
0,1))</f>
        <v>-</v>
      </c>
      <c r="J114" s="68" t="str">
        <f>IF(J78="-","-",
IF(
ROUND(J78,8)=
ROUND(SUMIFS(Calc_TUV_EnvGroup_1[Jemena],Calc_TUV_EnvGroup_1[[Cost item]:[Cost item]],$D114,Calc_TUV_EnvGroup_1[[Cost element]:[Cost element]],$G114)*($F$58/$F$59),8),
0,1))</f>
        <v>-</v>
      </c>
      <c r="K114" s="68" t="str">
        <f>IF(K78="-","-",
IF(
ROUND(K78,8)=
ROUND(SUMIFS(Calc_TUV_EnvGroup_1[Powercor],Calc_TUV_EnvGroup_1[[Cost item]:[Cost item]],$D114,Calc_TUV_EnvGroup_1[[Cost element]:[Cost element]],$G114)*($F$58/$F$59),8),
0,1))</f>
        <v>-</v>
      </c>
      <c r="L114" s="68" t="str">
        <f>IF(L78="-","-",
IF(
ROUND(L78,8)=
ROUND(SUMIFS(Calc_TUV_EnvGroup_1[United Energy],Calc_TUV_EnvGroup_1[[Cost item]:[Cost item]],$D114,Calc_TUV_EnvGroup_1[[Cost element]:[Cost element]],$G114)*($F$58/$F$59),8),
0,1))</f>
        <v>-</v>
      </c>
    </row>
    <row r="115" spans="3:12" ht="15.75" outlineLevel="1" x14ac:dyDescent="0.25">
      <c r="C115" s="18" t="s">
        <v>75</v>
      </c>
      <c r="D115" s="18" t="s">
        <v>485</v>
      </c>
      <c r="E115" s="42" t="s">
        <v>69</v>
      </c>
      <c r="F115" s="18" t="s">
        <v>66</v>
      </c>
      <c r="G115" s="18" t="s">
        <v>83</v>
      </c>
      <c r="H115" s="68">
        <f>IF(H79="-","-",
IF(
ROUND(H79,8)=
ROUND(SUMIFS(Calc_TUV_EnvGroup_1[Ausnet],Calc_TUV_EnvGroup_1[[Cost item]:[Cost item]],$D115,Calc_TUV_EnvGroup_1[[Cost element]:[Cost element]],$G115)*($F$58/$F$59),8),
0,1))</f>
        <v>0</v>
      </c>
      <c r="I115" s="68">
        <f>IF(I79="-","-",
IF(
ROUND(I79,8)=
ROUND(SUMIFS(Calc_TUV_EnvGroup_1[Citipower],Calc_TUV_EnvGroup_1[[Cost item]:[Cost item]],$D115,Calc_TUV_EnvGroup_1[[Cost element]:[Cost element]],$G115)*($F$58/$F$59),8),
0,1))</f>
        <v>0</v>
      </c>
      <c r="J115" s="68">
        <f>IF(J79="-","-",
IF(
ROUND(J79,8)=
ROUND(SUMIFS(Calc_TUV_EnvGroup_1[Jemena],Calc_TUV_EnvGroup_1[[Cost item]:[Cost item]],$D115,Calc_TUV_EnvGroup_1[[Cost element]:[Cost element]],$G115)*($F$58/$F$59),8),
0,1))</f>
        <v>0</v>
      </c>
      <c r="K115" s="68">
        <f>IF(K79="-","-",
IF(
ROUND(K79,8)=
ROUND(SUMIFS(Calc_TUV_EnvGroup_1[Powercor],Calc_TUV_EnvGroup_1[[Cost item]:[Cost item]],$D115,Calc_TUV_EnvGroup_1[[Cost element]:[Cost element]],$G115)*($F$58/$F$59),8),
0,1))</f>
        <v>0</v>
      </c>
      <c r="L115" s="68">
        <f>IF(L79="-","-",
IF(
ROUND(L79,8)=
ROUND(SUMIFS(Calc_TUV_EnvGroup_1[United Energy],Calc_TUV_EnvGroup_1[[Cost item]:[Cost item]],$D115,Calc_TUV_EnvGroup_1[[Cost element]:[Cost element]],$G115)*($F$58/$F$59),8),
0,1))</f>
        <v>0</v>
      </c>
    </row>
    <row r="116" spans="3:12" ht="15.75" outlineLevel="1" x14ac:dyDescent="0.25">
      <c r="C116" s="18" t="s">
        <v>73</v>
      </c>
      <c r="D116" s="18" t="s">
        <v>485</v>
      </c>
      <c r="E116" s="42" t="s">
        <v>69</v>
      </c>
      <c r="F116" s="18" t="s">
        <v>66</v>
      </c>
      <c r="G116" s="18" t="s">
        <v>83</v>
      </c>
      <c r="H116" s="68">
        <f>IF(H80="-","-",
IF(
ROUND(H80,8)=
ROUND(SUMIFS(Calc_TUV_EnvGroup_1[Ausnet],Calc_TUV_EnvGroup_1[[Cost item]:[Cost item]],$D116,Calc_TUV_EnvGroup_1[[Cost element]:[Cost element]],$G116)*($F$58/$F$59),8),
0,1))</f>
        <v>0</v>
      </c>
      <c r="I116" s="68">
        <f>IF(I80="-","-",
IF(
ROUND(I80,8)=
ROUND(SUMIFS(Calc_TUV_EnvGroup_1[Citipower],Calc_TUV_EnvGroup_1[[Cost item]:[Cost item]],$D116,Calc_TUV_EnvGroup_1[[Cost element]:[Cost element]],$G116)*($F$58/$F$59),8),
0,1))</f>
        <v>0</v>
      </c>
      <c r="J116" s="68">
        <f>IF(J80="-","-",
IF(
ROUND(J80,8)=
ROUND(SUMIFS(Calc_TUV_EnvGroup_1[Jemena],Calc_TUV_EnvGroup_1[[Cost item]:[Cost item]],$D116,Calc_TUV_EnvGroup_1[[Cost element]:[Cost element]],$G116)*($F$58/$F$59),8),
0,1))</f>
        <v>0</v>
      </c>
      <c r="K116" s="68">
        <f>IF(K80="-","-",
IF(
ROUND(K80,8)=
ROUND(SUMIFS(Calc_TUV_EnvGroup_1[Powercor],Calc_TUV_EnvGroup_1[[Cost item]:[Cost item]],$D116,Calc_TUV_EnvGroup_1[[Cost element]:[Cost element]],$G116)*($F$58/$F$59),8),
0,1))</f>
        <v>0</v>
      </c>
      <c r="L116" s="68">
        <f>IF(L80="-","-",
IF(
ROUND(L80,8)=
ROUND(SUMIFS(Calc_TUV_EnvGroup_1[United Energy],Calc_TUV_EnvGroup_1[[Cost item]:[Cost item]],$D116,Calc_TUV_EnvGroup_1[[Cost element]:[Cost element]],$G116)*($F$58/$F$59),8),
0,1))</f>
        <v>0</v>
      </c>
    </row>
    <row r="117" spans="3:12" ht="15.75" outlineLevel="1" x14ac:dyDescent="0.25">
      <c r="C117" s="18" t="s">
        <v>74</v>
      </c>
      <c r="D117" s="18" t="s">
        <v>485</v>
      </c>
      <c r="E117" s="42" t="s">
        <v>69</v>
      </c>
      <c r="F117" s="18" t="s">
        <v>66</v>
      </c>
      <c r="G117" s="18" t="s">
        <v>83</v>
      </c>
      <c r="H117" s="68">
        <f>IF(H81="-","-",
IF(
ROUND(H81,8)=
ROUND(SUMIFS(Calc_TUV_EnvGroup_1[Ausnet],Calc_TUV_EnvGroup_1[[Cost item]:[Cost item]],$D117,Calc_TUV_EnvGroup_1[[Cost element]:[Cost element]],$G117)*($F$58/$F$59),8),
0,1))</f>
        <v>0</v>
      </c>
      <c r="I117" s="68">
        <f>IF(I81="-","-",
IF(
ROUND(I81,8)=
ROUND(SUMIFS(Calc_TUV_EnvGroup_1[Citipower],Calc_TUV_EnvGroup_1[[Cost item]:[Cost item]],$D117,Calc_TUV_EnvGroup_1[[Cost element]:[Cost element]],$G117)*($F$58/$F$59),8),
0,1))</f>
        <v>0</v>
      </c>
      <c r="J117" s="68">
        <f>IF(J81="-","-",
IF(
ROUND(J81,8)=
ROUND(SUMIFS(Calc_TUV_EnvGroup_1[Jemena],Calc_TUV_EnvGroup_1[[Cost item]:[Cost item]],$D117,Calc_TUV_EnvGroup_1[[Cost element]:[Cost element]],$G117)*($F$58/$F$59),8),
0,1))</f>
        <v>0</v>
      </c>
      <c r="K117" s="68">
        <f>IF(K81="-","-",
IF(
ROUND(K81,8)=
ROUND(SUMIFS(Calc_TUV_EnvGroup_1[Powercor],Calc_TUV_EnvGroup_1[[Cost item]:[Cost item]],$D117,Calc_TUV_EnvGroup_1[[Cost element]:[Cost element]],$G117)*($F$58/$F$59),8),
0,1))</f>
        <v>0</v>
      </c>
      <c r="L117" s="68">
        <f>IF(L81="-","-",
IF(
ROUND(L81,8)=
ROUND(SUMIFS(Calc_TUV_EnvGroup_1[United Energy],Calc_TUV_EnvGroup_1[[Cost item]:[Cost item]],$D117,Calc_TUV_EnvGroup_1[[Cost element]:[Cost element]],$G117)*($F$58/$F$59),8),
0,1))</f>
        <v>0</v>
      </c>
    </row>
    <row r="118" spans="3:12" ht="15.75" outlineLevel="1" x14ac:dyDescent="0.25">
      <c r="C118" s="18" t="s">
        <v>71</v>
      </c>
      <c r="D118" s="18" t="s">
        <v>483</v>
      </c>
      <c r="E118" s="42" t="s">
        <v>69</v>
      </c>
      <c r="F118" s="18" t="s">
        <v>67</v>
      </c>
      <c r="G118" s="18" t="s">
        <v>83</v>
      </c>
      <c r="H118" s="68" t="str">
        <f>IF(H82="-","-",
IF(
ROUND(H82,8)=
ROUND(SUMIFS(Calc_TUV_EnvGroup_1[Ausnet],Calc_TUV_EnvGroup_1[[Cost item]:[Cost item]],$D118,Calc_TUV_EnvGroup_1[[Cost element]:[Cost element]],$G118)*($F$58/$F$59),8),
0,1))</f>
        <v>-</v>
      </c>
      <c r="I118" s="68">
        <f>IF(I82="-","-",
IF(
ROUND(I82,8)=
ROUND(SUMIFS(Calc_TUV_EnvGroup_1[Citipower],Calc_TUV_EnvGroup_1[[Cost item]:[Cost item]],$D118,Calc_TUV_EnvGroup_1[[Cost element]:[Cost element]],$G118)*($F$58/$F$59),8),
0,1))</f>
        <v>0</v>
      </c>
      <c r="J118" s="68">
        <f>IF(J82="-","-",
IF(
ROUND(J82,8)=
ROUND(SUMIFS(Calc_TUV_EnvGroup_1[Jemena],Calc_TUV_EnvGroup_1[[Cost item]:[Cost item]],$D118,Calc_TUV_EnvGroup_1[[Cost element]:[Cost element]],$G118)*($F$58/$F$59),8),
0,1))</f>
        <v>0</v>
      </c>
      <c r="K118" s="68">
        <f>IF(K82="-","-",
IF(
ROUND(K82,8)=
ROUND(SUMIFS(Calc_TUV_EnvGroup_1[Powercor],Calc_TUV_EnvGroup_1[[Cost item]:[Cost item]],$D118,Calc_TUV_EnvGroup_1[[Cost element]:[Cost element]],$G118)*($F$58/$F$59),8),
0,1))</f>
        <v>0</v>
      </c>
      <c r="L118" s="68">
        <f>IF(L82="-","-",
IF(
ROUND(L82,8)=
ROUND(SUMIFS(Calc_TUV_EnvGroup_1[United Energy],Calc_TUV_EnvGroup_1[[Cost item]:[Cost item]],$D118,Calc_TUV_EnvGroup_1[[Cost element]:[Cost element]],$G118)*($F$58/$F$59),8),
0,1))</f>
        <v>0</v>
      </c>
    </row>
    <row r="119" spans="3:12" ht="15.75" outlineLevel="1" x14ac:dyDescent="0.25">
      <c r="C119" s="18" t="s">
        <v>68</v>
      </c>
      <c r="D119" s="18" t="s">
        <v>483</v>
      </c>
      <c r="E119" s="42" t="s">
        <v>69</v>
      </c>
      <c r="F119" s="18" t="s">
        <v>67</v>
      </c>
      <c r="G119" s="18" t="s">
        <v>83</v>
      </c>
      <c r="H119" s="68">
        <f>IF(H83="-","-",
IF(
ROUND(H83,8)=
ROUND(SUMIFS(Calc_TUV_EnvGroup_1[Ausnet],Calc_TUV_EnvGroup_1[[Cost item]:[Cost item]],$D119,Calc_TUV_EnvGroup_1[[Cost element]:[Cost element]],$G119)*($F$58/$F$59),8),
0,1))</f>
        <v>0</v>
      </c>
      <c r="I119" s="68" t="str">
        <f>IF(I83="-","-",
IF(
ROUND(I83,8)=
ROUND(SUMIFS(Calc_TUV_EnvGroup_1[Citipower],Calc_TUV_EnvGroup_1[[Cost item]:[Cost item]],$D119,Calc_TUV_EnvGroup_1[[Cost element]:[Cost element]],$G119)*($F$58/$F$59),8),
0,1))</f>
        <v>-</v>
      </c>
      <c r="J119" s="68" t="str">
        <f>IF(J83="-","-",
IF(
ROUND(J83,8)=
ROUND(SUMIFS(Calc_TUV_EnvGroup_1[Jemena],Calc_TUV_EnvGroup_1[[Cost item]:[Cost item]],$D119,Calc_TUV_EnvGroup_1[[Cost element]:[Cost element]],$G119)*($F$58/$F$59),8),
0,1))</f>
        <v>-</v>
      </c>
      <c r="K119" s="68" t="str">
        <f>IF(K83="-","-",
IF(
ROUND(K83,8)=
ROUND(SUMIFS(Calc_TUV_EnvGroup_1[Powercor],Calc_TUV_EnvGroup_1[[Cost item]:[Cost item]],$D119,Calc_TUV_EnvGroup_1[[Cost element]:[Cost element]],$G119)*($F$58/$F$59),8),
0,1))</f>
        <v>-</v>
      </c>
      <c r="L119" s="68" t="str">
        <f>IF(L83="-","-",
IF(
ROUND(L83,8)=
ROUND(SUMIFS(Calc_TUV_EnvGroup_1[United Energy],Calc_TUV_EnvGroup_1[[Cost item]:[Cost item]],$D119,Calc_TUV_EnvGroup_1[[Cost element]:[Cost element]],$G119)*($F$58/$F$59),8),
0,1))</f>
        <v>-</v>
      </c>
    </row>
    <row r="120" spans="3:12" ht="15.75" outlineLevel="1" x14ac:dyDescent="0.25">
      <c r="C120" s="18" t="s">
        <v>70</v>
      </c>
      <c r="D120" s="18" t="s">
        <v>483</v>
      </c>
      <c r="E120" s="42" t="s">
        <v>69</v>
      </c>
      <c r="F120" s="18" t="s">
        <v>67</v>
      </c>
      <c r="G120" s="18" t="s">
        <v>83</v>
      </c>
      <c r="H120" s="68">
        <f>IF(H84="-","-",
IF(
ROUND(H84,8)=
ROUND(SUMIFS(Calc_TUV_EnvGroup_1[Ausnet],Calc_TUV_EnvGroup_1[[Cost item]:[Cost item]],$D120,Calc_TUV_EnvGroup_1[[Cost element]:[Cost element]],$G120)*($F$58/$F$59),8),
0,1))</f>
        <v>0</v>
      </c>
      <c r="I120" s="68" t="str">
        <f>IF(I84="-","-",
IF(
ROUND(I84,8)=
ROUND(SUMIFS(Calc_TUV_EnvGroup_1[Citipower],Calc_TUV_EnvGroup_1[[Cost item]:[Cost item]],$D120,Calc_TUV_EnvGroup_1[[Cost element]:[Cost element]],$G120)*($F$58/$F$59),8),
0,1))</f>
        <v>-</v>
      </c>
      <c r="J120" s="68" t="str">
        <f>IF(J84="-","-",
IF(
ROUND(J84,8)=
ROUND(SUMIFS(Calc_TUV_EnvGroup_1[Jemena],Calc_TUV_EnvGroup_1[[Cost item]:[Cost item]],$D120,Calc_TUV_EnvGroup_1[[Cost element]:[Cost element]],$G120)*($F$58/$F$59),8),
0,1))</f>
        <v>-</v>
      </c>
      <c r="K120" s="68" t="str">
        <f>IF(K84="-","-",
IF(
ROUND(K84,8)=
ROUND(SUMIFS(Calc_TUV_EnvGroup_1[Powercor],Calc_TUV_EnvGroup_1[[Cost item]:[Cost item]],$D120,Calc_TUV_EnvGroup_1[[Cost element]:[Cost element]],$G120)*($F$58/$F$59),8),
0,1))</f>
        <v>-</v>
      </c>
      <c r="L120" s="68" t="str">
        <f>IF(L84="-","-",
IF(
ROUND(L84,8)=
ROUND(SUMIFS(Calc_TUV_EnvGroup_1[United Energy],Calc_TUV_EnvGroup_1[[Cost item]:[Cost item]],$D120,Calc_TUV_EnvGroup_1[[Cost element]:[Cost element]],$G120)*($F$58/$F$59),8),
0,1))</f>
        <v>-</v>
      </c>
    </row>
    <row r="121" spans="3:12" ht="15.75" outlineLevel="1" x14ac:dyDescent="0.25">
      <c r="C121" s="18" t="s">
        <v>73</v>
      </c>
      <c r="D121" s="18" t="s">
        <v>483</v>
      </c>
      <c r="E121" s="42" t="s">
        <v>69</v>
      </c>
      <c r="F121" s="18" t="s">
        <v>67</v>
      </c>
      <c r="G121" s="18" t="s">
        <v>83</v>
      </c>
      <c r="H121" s="68">
        <f>IF(H85="-","-",
IF(
ROUND(H85,8)=
ROUND(SUMIFS(Calc_TUV_EnvGroup_1[Ausnet],Calc_TUV_EnvGroup_1[[Cost item]:[Cost item]],$D121,Calc_TUV_EnvGroup_1[[Cost element]:[Cost element]],$G121)*($F$58/$F$59),8),
0,1))</f>
        <v>0</v>
      </c>
      <c r="I121" s="68">
        <f>IF(I85="-","-",
IF(
ROUND(I85,8)=
ROUND(SUMIFS(Calc_TUV_EnvGroup_1[Citipower],Calc_TUV_EnvGroup_1[[Cost item]:[Cost item]],$D121,Calc_TUV_EnvGroup_1[[Cost element]:[Cost element]],$G121)*($F$58/$F$59),8),
0,1))</f>
        <v>0</v>
      </c>
      <c r="J121" s="68">
        <f>IF(J85="-","-",
IF(
ROUND(J85,8)=
ROUND(SUMIFS(Calc_TUV_EnvGroup_1[Jemena],Calc_TUV_EnvGroup_1[[Cost item]:[Cost item]],$D121,Calc_TUV_EnvGroup_1[[Cost element]:[Cost element]],$G121)*($F$58/$F$59),8),
0,1))</f>
        <v>0</v>
      </c>
      <c r="K121" s="68">
        <f>IF(K85="-","-",
IF(
ROUND(K85,8)=
ROUND(SUMIFS(Calc_TUV_EnvGroup_1[Powercor],Calc_TUV_EnvGroup_1[[Cost item]:[Cost item]],$D121,Calc_TUV_EnvGroup_1[[Cost element]:[Cost element]],$G121)*($F$58/$F$59),8),
0,1))</f>
        <v>0</v>
      </c>
      <c r="L121" s="68">
        <f>IF(L85="-","-",
IF(
ROUND(L85,8)=
ROUND(SUMIFS(Calc_TUV_EnvGroup_1[United Energy],Calc_TUV_EnvGroup_1[[Cost item]:[Cost item]],$D121,Calc_TUV_EnvGroup_1[[Cost element]:[Cost element]],$G121)*($F$58/$F$59),8),
0,1))</f>
        <v>0</v>
      </c>
    </row>
    <row r="122" spans="3:12" ht="15.75" outlineLevel="1" x14ac:dyDescent="0.25">
      <c r="C122" s="18" t="s">
        <v>74</v>
      </c>
      <c r="D122" s="18" t="s">
        <v>483</v>
      </c>
      <c r="E122" s="42" t="s">
        <v>69</v>
      </c>
      <c r="F122" s="18" t="s">
        <v>67</v>
      </c>
      <c r="G122" s="18" t="s">
        <v>83</v>
      </c>
      <c r="H122" s="68">
        <f>IF(H86="-","-",
IF(
ROUND(H86,8)=
ROUND(SUMIFS(Calc_TUV_EnvGroup_1[Ausnet],Calc_TUV_EnvGroup_1[[Cost item]:[Cost item]],$D122,Calc_TUV_EnvGroup_1[[Cost element]:[Cost element]],$G122)*($F$58/$F$59),8),
0,1))</f>
        <v>0</v>
      </c>
      <c r="I122" s="68">
        <f>IF(I86="-","-",
IF(
ROUND(I86,8)=
ROUND(SUMIFS(Calc_TUV_EnvGroup_1[Citipower],Calc_TUV_EnvGroup_1[[Cost item]:[Cost item]],$D122,Calc_TUV_EnvGroup_1[[Cost element]:[Cost element]],$G122)*($F$58/$F$59),8),
0,1))</f>
        <v>0</v>
      </c>
      <c r="J122" s="68">
        <f>IF(J86="-","-",
IF(
ROUND(J86,8)=
ROUND(SUMIFS(Calc_TUV_EnvGroup_1[Jemena],Calc_TUV_EnvGroup_1[[Cost item]:[Cost item]],$D122,Calc_TUV_EnvGroup_1[[Cost element]:[Cost element]],$G122)*($F$58/$F$59),8),
0,1))</f>
        <v>0</v>
      </c>
      <c r="K122" s="68">
        <f>IF(K86="-","-",
IF(
ROUND(K86,8)=
ROUND(SUMIFS(Calc_TUV_EnvGroup_1[Powercor],Calc_TUV_EnvGroup_1[[Cost item]:[Cost item]],$D122,Calc_TUV_EnvGroup_1[[Cost element]:[Cost element]],$G122)*($F$58/$F$59),8),
0,1))</f>
        <v>0</v>
      </c>
      <c r="L122" s="68">
        <f>IF(L86="-","-",
IF(
ROUND(L86,8)=
ROUND(SUMIFS(Calc_TUV_EnvGroup_1[United Energy],Calc_TUV_EnvGroup_1[[Cost item]:[Cost item]],$D122,Calc_TUV_EnvGroup_1[[Cost element]:[Cost element]],$G122)*($F$58/$F$59),8),
0,1))</f>
        <v>0</v>
      </c>
    </row>
    <row r="123" spans="3:12" ht="15.75" outlineLevel="1" x14ac:dyDescent="0.25">
      <c r="C123" s="18" t="s">
        <v>71</v>
      </c>
      <c r="D123" s="18" t="s">
        <v>484</v>
      </c>
      <c r="E123" s="42" t="s">
        <v>69</v>
      </c>
      <c r="F123" s="18" t="s">
        <v>67</v>
      </c>
      <c r="G123" s="18" t="s">
        <v>83</v>
      </c>
      <c r="H123" s="68" t="str">
        <f>IF(H87="-","-",
IF(
ROUND(H87,8)=
ROUND(SUMIFS(Calc_TUV_EnvGroup_1[Ausnet],Calc_TUV_EnvGroup_1[[Cost item]:[Cost item]],$D123,Calc_TUV_EnvGroup_1[[Cost element]:[Cost element]],$G123)*($F$58/$F$59),8),
0,1))</f>
        <v>-</v>
      </c>
      <c r="I123" s="68">
        <f>IF(I87="-","-",
IF(
ROUND(I87,8)=
ROUND(SUMIFS(Calc_TUV_EnvGroup_1[Citipower],Calc_TUV_EnvGroup_1[[Cost item]:[Cost item]],$D123,Calc_TUV_EnvGroup_1[[Cost element]:[Cost element]],$G123)*($F$58/$F$59),8),
0,1))</f>
        <v>0</v>
      </c>
      <c r="J123" s="68">
        <f>IF(J87="-","-",
IF(
ROUND(J87,8)=
ROUND(SUMIFS(Calc_TUV_EnvGroup_1[Jemena],Calc_TUV_EnvGroup_1[[Cost item]:[Cost item]],$D123,Calc_TUV_EnvGroup_1[[Cost element]:[Cost element]],$G123)*($F$58/$F$59),8),
0,1))</f>
        <v>0</v>
      </c>
      <c r="K123" s="68">
        <f>IF(K87="-","-",
IF(
ROUND(K87,8)=
ROUND(SUMIFS(Calc_TUV_EnvGroup_1[Powercor],Calc_TUV_EnvGroup_1[[Cost item]:[Cost item]],$D123,Calc_TUV_EnvGroup_1[[Cost element]:[Cost element]],$G123)*($F$58/$F$59),8),
0,1))</f>
        <v>0</v>
      </c>
      <c r="L123" s="68">
        <f>IF(L87="-","-",
IF(
ROUND(L87,8)=
ROUND(SUMIFS(Calc_TUV_EnvGroup_1[United Energy],Calc_TUV_EnvGroup_1[[Cost item]:[Cost item]],$D123,Calc_TUV_EnvGroup_1[[Cost element]:[Cost element]],$G123)*($F$58/$F$59),8),
0,1))</f>
        <v>0</v>
      </c>
    </row>
    <row r="124" spans="3:12" ht="15.75" outlineLevel="1" x14ac:dyDescent="0.25">
      <c r="C124" s="18" t="s">
        <v>68</v>
      </c>
      <c r="D124" s="18" t="s">
        <v>484</v>
      </c>
      <c r="E124" s="42" t="s">
        <v>69</v>
      </c>
      <c r="F124" s="18" t="s">
        <v>67</v>
      </c>
      <c r="G124" s="18" t="s">
        <v>83</v>
      </c>
      <c r="H124" s="68">
        <f>IF(H88="-","-",
IF(
ROUND(H88,8)=
ROUND(SUMIFS(Calc_TUV_EnvGroup_1[Ausnet],Calc_TUV_EnvGroup_1[[Cost item]:[Cost item]],$D124,Calc_TUV_EnvGroup_1[[Cost element]:[Cost element]],$G124)*($F$58/$F$59),8),
0,1))</f>
        <v>0</v>
      </c>
      <c r="I124" s="68" t="str">
        <f>IF(I88="-","-",
IF(
ROUND(I88,8)=
ROUND(SUMIFS(Calc_TUV_EnvGroup_1[Citipower],Calc_TUV_EnvGroup_1[[Cost item]:[Cost item]],$D124,Calc_TUV_EnvGroup_1[[Cost element]:[Cost element]],$G124)*($F$58/$F$59),8),
0,1))</f>
        <v>-</v>
      </c>
      <c r="J124" s="68" t="str">
        <f>IF(J88="-","-",
IF(
ROUND(J88,8)=
ROUND(SUMIFS(Calc_TUV_EnvGroup_1[Jemena],Calc_TUV_EnvGroup_1[[Cost item]:[Cost item]],$D124,Calc_TUV_EnvGroup_1[[Cost element]:[Cost element]],$G124)*($F$58/$F$59),8),
0,1))</f>
        <v>-</v>
      </c>
      <c r="K124" s="68" t="str">
        <f>IF(K88="-","-",
IF(
ROUND(K88,8)=
ROUND(SUMIFS(Calc_TUV_EnvGroup_1[Powercor],Calc_TUV_EnvGroup_1[[Cost item]:[Cost item]],$D124,Calc_TUV_EnvGroup_1[[Cost element]:[Cost element]],$G124)*($F$58/$F$59),8),
0,1))</f>
        <v>-</v>
      </c>
      <c r="L124" s="68" t="str">
        <f>IF(L88="-","-",
IF(
ROUND(L88,8)=
ROUND(SUMIFS(Calc_TUV_EnvGroup_1[United Energy],Calc_TUV_EnvGroup_1[[Cost item]:[Cost item]],$D124,Calc_TUV_EnvGroup_1[[Cost element]:[Cost element]],$G124)*($F$58/$F$59),8),
0,1))</f>
        <v>-</v>
      </c>
    </row>
    <row r="125" spans="3:12" ht="15.75" outlineLevel="1" x14ac:dyDescent="0.25">
      <c r="C125" s="18" t="s">
        <v>70</v>
      </c>
      <c r="D125" s="18" t="s">
        <v>484</v>
      </c>
      <c r="E125" s="42" t="s">
        <v>69</v>
      </c>
      <c r="F125" s="18" t="s">
        <v>67</v>
      </c>
      <c r="G125" s="18" t="s">
        <v>83</v>
      </c>
      <c r="H125" s="68">
        <f>IF(H89="-","-",
IF(
ROUND(H89,8)=
ROUND(SUMIFS(Calc_TUV_EnvGroup_1[Ausnet],Calc_TUV_EnvGroup_1[[Cost item]:[Cost item]],$D125,Calc_TUV_EnvGroup_1[[Cost element]:[Cost element]],$G125)*($F$58/$F$59),8),
0,1))</f>
        <v>0</v>
      </c>
      <c r="I125" s="68" t="str">
        <f>IF(I89="-","-",
IF(
ROUND(I89,8)=
ROUND(SUMIFS(Calc_TUV_EnvGroup_1[Citipower],Calc_TUV_EnvGroup_1[[Cost item]:[Cost item]],$D125,Calc_TUV_EnvGroup_1[[Cost element]:[Cost element]],$G125)*($F$58/$F$59),8),
0,1))</f>
        <v>-</v>
      </c>
      <c r="J125" s="68" t="str">
        <f>IF(J89="-","-",
IF(
ROUND(J89,8)=
ROUND(SUMIFS(Calc_TUV_EnvGroup_1[Jemena],Calc_TUV_EnvGroup_1[[Cost item]:[Cost item]],$D125,Calc_TUV_EnvGroup_1[[Cost element]:[Cost element]],$G125)*($F$58/$F$59),8),
0,1))</f>
        <v>-</v>
      </c>
      <c r="K125" s="68" t="str">
        <f>IF(K89="-","-",
IF(
ROUND(K89,8)=
ROUND(SUMIFS(Calc_TUV_EnvGroup_1[Powercor],Calc_TUV_EnvGroup_1[[Cost item]:[Cost item]],$D125,Calc_TUV_EnvGroup_1[[Cost element]:[Cost element]],$G125)*($F$58/$F$59),8),
0,1))</f>
        <v>-</v>
      </c>
      <c r="L125" s="68" t="str">
        <f>IF(L89="-","-",
IF(
ROUND(L89,8)=
ROUND(SUMIFS(Calc_TUV_EnvGroup_1[United Energy],Calc_TUV_EnvGroup_1[[Cost item]:[Cost item]],$D125,Calc_TUV_EnvGroup_1[[Cost element]:[Cost element]],$G125)*($F$58/$F$59),8),
0,1))</f>
        <v>-</v>
      </c>
    </row>
    <row r="126" spans="3:12" ht="15.75" outlineLevel="1" x14ac:dyDescent="0.25">
      <c r="C126" s="18" t="s">
        <v>73</v>
      </c>
      <c r="D126" s="18" t="s">
        <v>484</v>
      </c>
      <c r="E126" s="42" t="s">
        <v>69</v>
      </c>
      <c r="F126" s="18" t="s">
        <v>67</v>
      </c>
      <c r="G126" s="18" t="s">
        <v>83</v>
      </c>
      <c r="H126" s="68">
        <f>IF(H90="-","-",
IF(
ROUND(H90,8)=
ROUND(SUMIFS(Calc_TUV_EnvGroup_1[Ausnet],Calc_TUV_EnvGroup_1[[Cost item]:[Cost item]],$D126,Calc_TUV_EnvGroup_1[[Cost element]:[Cost element]],$G126)*($F$58/$F$59),8),
0,1))</f>
        <v>0</v>
      </c>
      <c r="I126" s="68">
        <f>IF(I90="-","-",
IF(
ROUND(I90,8)=
ROUND(SUMIFS(Calc_TUV_EnvGroup_1[Citipower],Calc_TUV_EnvGroup_1[[Cost item]:[Cost item]],$D126,Calc_TUV_EnvGroup_1[[Cost element]:[Cost element]],$G126)*($F$58/$F$59),8),
0,1))</f>
        <v>0</v>
      </c>
      <c r="J126" s="68">
        <f>IF(J90="-","-",
IF(
ROUND(J90,8)=
ROUND(SUMIFS(Calc_TUV_EnvGroup_1[Jemena],Calc_TUV_EnvGroup_1[[Cost item]:[Cost item]],$D126,Calc_TUV_EnvGroup_1[[Cost element]:[Cost element]],$G126)*($F$58/$F$59),8),
0,1))</f>
        <v>0</v>
      </c>
      <c r="K126" s="68">
        <f>IF(K90="-","-",
IF(
ROUND(K90,8)=
ROUND(SUMIFS(Calc_TUV_EnvGroup_1[Powercor],Calc_TUV_EnvGroup_1[[Cost item]:[Cost item]],$D126,Calc_TUV_EnvGroup_1[[Cost element]:[Cost element]],$G126)*($F$58/$F$59),8),
0,1))</f>
        <v>0</v>
      </c>
      <c r="L126" s="68">
        <f>IF(L90="-","-",
IF(
ROUND(L90,8)=
ROUND(SUMIFS(Calc_TUV_EnvGroup_1[United Energy],Calc_TUV_EnvGroup_1[[Cost item]:[Cost item]],$D126,Calc_TUV_EnvGroup_1[[Cost element]:[Cost element]],$G126)*($F$58/$F$59),8),
0,1))</f>
        <v>0</v>
      </c>
    </row>
    <row r="127" spans="3:12" ht="15.75" outlineLevel="1" x14ac:dyDescent="0.25">
      <c r="C127" s="18" t="s">
        <v>74</v>
      </c>
      <c r="D127" s="18" t="s">
        <v>484</v>
      </c>
      <c r="E127" s="42" t="s">
        <v>69</v>
      </c>
      <c r="F127" s="18" t="s">
        <v>67</v>
      </c>
      <c r="G127" s="18" t="s">
        <v>83</v>
      </c>
      <c r="H127" s="68">
        <f>IF(H91="-","-",
IF(
ROUND(H91,8)=
ROUND(SUMIFS(Calc_TUV_EnvGroup_1[Ausnet],Calc_TUV_EnvGroup_1[[Cost item]:[Cost item]],$D127,Calc_TUV_EnvGroup_1[[Cost element]:[Cost element]],$G127)*($F$58/$F$59),8),
0,1))</f>
        <v>0</v>
      </c>
      <c r="I127" s="68">
        <f>IF(I91="-","-",
IF(
ROUND(I91,8)=
ROUND(SUMIFS(Calc_TUV_EnvGroup_1[Citipower],Calc_TUV_EnvGroup_1[[Cost item]:[Cost item]],$D127,Calc_TUV_EnvGroup_1[[Cost element]:[Cost element]],$G127)*($F$58/$F$59),8),
0,1))</f>
        <v>0</v>
      </c>
      <c r="J127" s="68">
        <f>IF(J91="-","-",
IF(
ROUND(J91,8)=
ROUND(SUMIFS(Calc_TUV_EnvGroup_1[Jemena],Calc_TUV_EnvGroup_1[[Cost item]:[Cost item]],$D127,Calc_TUV_EnvGroup_1[[Cost element]:[Cost element]],$G127)*($F$58/$F$59),8),
0,1))</f>
        <v>0</v>
      </c>
      <c r="K127" s="68">
        <f>IF(K91="-","-",
IF(
ROUND(K91,8)=
ROUND(SUMIFS(Calc_TUV_EnvGroup_1[Powercor],Calc_TUV_EnvGroup_1[[Cost item]:[Cost item]],$D127,Calc_TUV_EnvGroup_1[[Cost element]:[Cost element]],$G127)*($F$58/$F$59),8),
0,1))</f>
        <v>0</v>
      </c>
      <c r="L127" s="68">
        <f>IF(L91="-","-",
IF(
ROUND(L91,8)=
ROUND(SUMIFS(Calc_TUV_EnvGroup_1[United Energy],Calc_TUV_EnvGroup_1[[Cost item]:[Cost item]],$D127,Calc_TUV_EnvGroup_1[[Cost element]:[Cost element]],$G127)*($F$58/$F$59),8),
0,1))</f>
        <v>0</v>
      </c>
    </row>
    <row r="128" spans="3:12" ht="15.75" outlineLevel="1" x14ac:dyDescent="0.25">
      <c r="C128" s="18" t="s">
        <v>71</v>
      </c>
      <c r="D128" s="18" t="s">
        <v>485</v>
      </c>
      <c r="E128" s="42" t="s">
        <v>69</v>
      </c>
      <c r="F128" s="18" t="s">
        <v>67</v>
      </c>
      <c r="G128" s="18" t="s">
        <v>83</v>
      </c>
      <c r="H128" s="68" t="str">
        <f>IF(H92="-","-",
IF(
ROUND(H92,8)=
ROUND(SUMIFS(Calc_TUV_EnvGroup_1[Ausnet],Calc_TUV_EnvGroup_1[[Cost item]:[Cost item]],$D128,Calc_TUV_EnvGroup_1[[Cost element]:[Cost element]],$G128)*($F$58/$F$59),8),
0,1))</f>
        <v>-</v>
      </c>
      <c r="I128" s="68">
        <f>IF(I92="-","-",
IF(
ROUND(I92,8)=
ROUND(SUMIFS(Calc_TUV_EnvGroup_1[Citipower],Calc_TUV_EnvGroup_1[[Cost item]:[Cost item]],$D128,Calc_TUV_EnvGroup_1[[Cost element]:[Cost element]],$G128)*($F$58/$F$59),8),
0,1))</f>
        <v>0</v>
      </c>
      <c r="J128" s="68">
        <f>IF(J92="-","-",
IF(
ROUND(J92,8)=
ROUND(SUMIFS(Calc_TUV_EnvGroup_1[Jemena],Calc_TUV_EnvGroup_1[[Cost item]:[Cost item]],$D128,Calc_TUV_EnvGroup_1[[Cost element]:[Cost element]],$G128)*($F$58/$F$59),8),
0,1))</f>
        <v>0</v>
      </c>
      <c r="K128" s="68">
        <f>IF(K92="-","-",
IF(
ROUND(K92,8)=
ROUND(SUMIFS(Calc_TUV_EnvGroup_1[Powercor],Calc_TUV_EnvGroup_1[[Cost item]:[Cost item]],$D128,Calc_TUV_EnvGroup_1[[Cost element]:[Cost element]],$G128)*($F$58/$F$59),8),
0,1))</f>
        <v>0</v>
      </c>
      <c r="L128" s="68">
        <f>IF(L92="-","-",
IF(
ROUND(L92,8)=
ROUND(SUMIFS(Calc_TUV_EnvGroup_1[United Energy],Calc_TUV_EnvGroup_1[[Cost item]:[Cost item]],$D128,Calc_TUV_EnvGroup_1[[Cost element]:[Cost element]],$G128)*($F$58/$F$59),8),
0,1))</f>
        <v>0</v>
      </c>
    </row>
    <row r="129" spans="2:22" ht="15.75" outlineLevel="1" x14ac:dyDescent="0.25">
      <c r="C129" s="18" t="s">
        <v>68</v>
      </c>
      <c r="D129" s="18" t="s">
        <v>485</v>
      </c>
      <c r="E129" s="42" t="s">
        <v>69</v>
      </c>
      <c r="F129" s="18" t="s">
        <v>67</v>
      </c>
      <c r="G129" s="18" t="s">
        <v>83</v>
      </c>
      <c r="H129" s="68">
        <f>IF(H93="-","-",
IF(
ROUND(H93,8)=
ROUND(SUMIFS(Calc_TUV_EnvGroup_1[Ausnet],Calc_TUV_EnvGroup_1[[Cost item]:[Cost item]],$D129,Calc_TUV_EnvGroup_1[[Cost element]:[Cost element]],$G129)*($F$58/$F$59),8),
0,1))</f>
        <v>0</v>
      </c>
      <c r="I129" s="68" t="str">
        <f>IF(I93="-","-",
IF(
ROUND(I93,8)=
ROUND(SUMIFS(Calc_TUV_EnvGroup_1[Citipower],Calc_TUV_EnvGroup_1[[Cost item]:[Cost item]],$D129,Calc_TUV_EnvGroup_1[[Cost element]:[Cost element]],$G129)*($F$58/$F$59),8),
0,1))</f>
        <v>-</v>
      </c>
      <c r="J129" s="68" t="str">
        <f>IF(J93="-","-",
IF(
ROUND(J93,8)=
ROUND(SUMIFS(Calc_TUV_EnvGroup_1[Jemena],Calc_TUV_EnvGroup_1[[Cost item]:[Cost item]],$D129,Calc_TUV_EnvGroup_1[[Cost element]:[Cost element]],$G129)*($F$58/$F$59),8),
0,1))</f>
        <v>-</v>
      </c>
      <c r="K129" s="68" t="str">
        <f>IF(K93="-","-",
IF(
ROUND(K93,8)=
ROUND(SUMIFS(Calc_TUV_EnvGroup_1[Powercor],Calc_TUV_EnvGroup_1[[Cost item]:[Cost item]],$D129,Calc_TUV_EnvGroup_1[[Cost element]:[Cost element]],$G129)*($F$58/$F$59),8),
0,1))</f>
        <v>-</v>
      </c>
      <c r="L129" s="68" t="str">
        <f>IF(L93="-","-",
IF(
ROUND(L93,8)=
ROUND(SUMIFS(Calc_TUV_EnvGroup_1[United Energy],Calc_TUV_EnvGroup_1[[Cost item]:[Cost item]],$D129,Calc_TUV_EnvGroup_1[[Cost element]:[Cost element]],$G129)*($F$58/$F$59),8),
0,1))</f>
        <v>-</v>
      </c>
    </row>
    <row r="130" spans="2:22" ht="15.75" outlineLevel="1" x14ac:dyDescent="0.25">
      <c r="C130" s="18" t="s">
        <v>70</v>
      </c>
      <c r="D130" s="18" t="s">
        <v>485</v>
      </c>
      <c r="E130" s="42" t="s">
        <v>69</v>
      </c>
      <c r="F130" s="18" t="s">
        <v>67</v>
      </c>
      <c r="G130" s="18" t="s">
        <v>83</v>
      </c>
      <c r="H130" s="68">
        <f>IF(H94="-","-",
IF(
ROUND(H94,8)=
ROUND(SUMIFS(Calc_TUV_EnvGroup_1[Ausnet],Calc_TUV_EnvGroup_1[[Cost item]:[Cost item]],$D130,Calc_TUV_EnvGroup_1[[Cost element]:[Cost element]],$G130)*($F$58/$F$59),8),
0,1))</f>
        <v>0</v>
      </c>
      <c r="I130" s="68" t="str">
        <f>IF(I94="-","-",
IF(
ROUND(I94,8)=
ROUND(SUMIFS(Calc_TUV_EnvGroup_1[Citipower],Calc_TUV_EnvGroup_1[[Cost item]:[Cost item]],$D130,Calc_TUV_EnvGroup_1[[Cost element]:[Cost element]],$G130)*($F$58/$F$59),8),
0,1))</f>
        <v>-</v>
      </c>
      <c r="J130" s="68" t="str">
        <f>IF(J94="-","-",
IF(
ROUND(J94,8)=
ROUND(SUMIFS(Calc_TUV_EnvGroup_1[Jemena],Calc_TUV_EnvGroup_1[[Cost item]:[Cost item]],$D130,Calc_TUV_EnvGroup_1[[Cost element]:[Cost element]],$G130)*($F$58/$F$59),8),
0,1))</f>
        <v>-</v>
      </c>
      <c r="K130" s="68" t="str">
        <f>IF(K94="-","-",
IF(
ROUND(K94,8)=
ROUND(SUMIFS(Calc_TUV_EnvGroup_1[Powercor],Calc_TUV_EnvGroup_1[[Cost item]:[Cost item]],$D130,Calc_TUV_EnvGroup_1[[Cost element]:[Cost element]],$G130)*($F$58/$F$59),8),
0,1))</f>
        <v>-</v>
      </c>
      <c r="L130" s="68" t="str">
        <f>IF(L94="-","-",
IF(
ROUND(L94,8)=
ROUND(SUMIFS(Calc_TUV_EnvGroup_1[United Energy],Calc_TUV_EnvGroup_1[[Cost item]:[Cost item]],$D130,Calc_TUV_EnvGroup_1[[Cost element]:[Cost element]],$G130)*($F$58/$F$59),8),
0,1))</f>
        <v>-</v>
      </c>
    </row>
    <row r="131" spans="2:22" ht="15.75" outlineLevel="1" x14ac:dyDescent="0.25">
      <c r="C131" s="18" t="s">
        <v>73</v>
      </c>
      <c r="D131" s="18" t="s">
        <v>485</v>
      </c>
      <c r="E131" s="42" t="s">
        <v>69</v>
      </c>
      <c r="F131" s="18" t="s">
        <v>67</v>
      </c>
      <c r="G131" s="18" t="s">
        <v>83</v>
      </c>
      <c r="H131" s="68">
        <f>IF(H95="-","-",
IF(
ROUND(H95,8)=
ROUND(SUMIFS(Calc_TUV_EnvGroup_1[Ausnet],Calc_TUV_EnvGroup_1[[Cost item]:[Cost item]],$D131,Calc_TUV_EnvGroup_1[[Cost element]:[Cost element]],$G131)*($F$58/$F$59),8),
0,1))</f>
        <v>0</v>
      </c>
      <c r="I131" s="68">
        <f>IF(I95="-","-",
IF(
ROUND(I95,8)=
ROUND(SUMIFS(Calc_TUV_EnvGroup_1[Citipower],Calc_TUV_EnvGroup_1[[Cost item]:[Cost item]],$D131,Calc_TUV_EnvGroup_1[[Cost element]:[Cost element]],$G131)*($F$58/$F$59),8),
0,1))</f>
        <v>0</v>
      </c>
      <c r="J131" s="68">
        <f>IF(J95="-","-",
IF(
ROUND(J95,8)=
ROUND(SUMIFS(Calc_TUV_EnvGroup_1[Jemena],Calc_TUV_EnvGroup_1[[Cost item]:[Cost item]],$D131,Calc_TUV_EnvGroup_1[[Cost element]:[Cost element]],$G131)*($F$58/$F$59),8),
0,1))</f>
        <v>0</v>
      </c>
      <c r="K131" s="68">
        <f>IF(K95="-","-",
IF(
ROUND(K95,8)=
ROUND(SUMIFS(Calc_TUV_EnvGroup_1[Powercor],Calc_TUV_EnvGroup_1[[Cost item]:[Cost item]],$D131,Calc_TUV_EnvGroup_1[[Cost element]:[Cost element]],$G131)*($F$58/$F$59),8),
0,1))</f>
        <v>0</v>
      </c>
      <c r="L131" s="68">
        <f>IF(L95="-","-",
IF(
ROUND(L95,8)=
ROUND(SUMIFS(Calc_TUV_EnvGroup_1[United Energy],Calc_TUV_EnvGroup_1[[Cost item]:[Cost item]],$D131,Calc_TUV_EnvGroup_1[[Cost element]:[Cost element]],$G131)*($F$58/$F$59),8),
0,1))</f>
        <v>0</v>
      </c>
    </row>
    <row r="132" spans="2:22" ht="15.75" outlineLevel="1" x14ac:dyDescent="0.25">
      <c r="C132" s="42" t="s">
        <v>74</v>
      </c>
      <c r="D132" s="42" t="s">
        <v>485</v>
      </c>
      <c r="E132" s="42" t="s">
        <v>69</v>
      </c>
      <c r="F132" s="42" t="s">
        <v>67</v>
      </c>
      <c r="G132" s="42" t="s">
        <v>83</v>
      </c>
      <c r="H132" s="68">
        <f>IF(H96="-","-",
IF(
ROUND(H96,8)=
ROUND(SUMIFS(Calc_TUV_EnvGroup_1[Ausnet],Calc_TUV_EnvGroup_1[[Cost item]:[Cost item]],$D132,Calc_TUV_EnvGroup_1[[Cost element]:[Cost element]],$G132)*($F$58/$F$59),8),
0,1))</f>
        <v>0</v>
      </c>
      <c r="I132" s="68">
        <f>IF(I96="-","-",
IF(
ROUND(I96,8)=
ROUND(SUMIFS(Calc_TUV_EnvGroup_1[Citipower],Calc_TUV_EnvGroup_1[[Cost item]:[Cost item]],$D132,Calc_TUV_EnvGroup_1[[Cost element]:[Cost element]],$G132)*($F$58/$F$59),8),
0,1))</f>
        <v>0</v>
      </c>
      <c r="J132" s="68">
        <f>IF(J96="-","-",
IF(
ROUND(J96,8)=
ROUND(SUMIFS(Calc_TUV_EnvGroup_1[Jemena],Calc_TUV_EnvGroup_1[[Cost item]:[Cost item]],$D132,Calc_TUV_EnvGroup_1[[Cost element]:[Cost element]],$G132)*($F$58/$F$59),8),
0,1))</f>
        <v>0</v>
      </c>
      <c r="K132" s="68">
        <f>IF(K96="-","-",
IF(
ROUND(K96,8)=
ROUND(SUMIFS(Calc_TUV_EnvGroup_1[Powercor],Calc_TUV_EnvGroup_1[[Cost item]:[Cost item]],$D132,Calc_TUV_EnvGroup_1[[Cost element]:[Cost element]],$G132)*($F$58/$F$59),8),
0,1))</f>
        <v>0</v>
      </c>
      <c r="L132" s="68">
        <f>IF(L96="-","-",
IF(
ROUND(L96,8)=
ROUND(SUMIFS(Calc_TUV_EnvGroup_1[United Energy],Calc_TUV_EnvGroup_1[[Cost item]:[Cost item]],$D132,Calc_TUV_EnvGroup_1[[Cost element]:[Cost element]],$G132)*($F$58/$F$59),8),
0,1))</f>
        <v>0</v>
      </c>
    </row>
    <row r="135" spans="2:22" ht="15.75" x14ac:dyDescent="0.25">
      <c r="B135"/>
      <c r="C135" s="39" t="s">
        <v>47</v>
      </c>
      <c r="D135" s="30" t="str">
        <f>Calc_Rates!$D$266</f>
        <v>VDO 2023-24 - Final</v>
      </c>
      <c r="H135" s="62"/>
      <c r="I135" s="62"/>
      <c r="J135" s="62"/>
      <c r="K135" s="62"/>
      <c r="L135" s="62"/>
    </row>
    <row r="136" spans="2:22" x14ac:dyDescent="0.25">
      <c r="B136"/>
    </row>
    <row r="137" spans="2:22" ht="16.5" collapsed="1" thickBot="1" x14ac:dyDescent="0.3">
      <c r="B137" s="161">
        <f ca="1">MAX(B$3:B136)+0.01</f>
        <v>10.029999999999999</v>
      </c>
      <c r="C137" s="23" t="s">
        <v>467</v>
      </c>
      <c r="D137" s="23"/>
      <c r="E137" s="23"/>
      <c r="F137" s="23"/>
      <c r="G137" s="23"/>
      <c r="H137" s="23"/>
      <c r="I137" s="23"/>
      <c r="J137" s="23"/>
      <c r="K137" s="23"/>
      <c r="L137" s="23"/>
    </row>
    <row r="138" spans="2:22" hidden="1" outlineLevel="1" x14ac:dyDescent="0.25"/>
    <row r="139" spans="2:22" ht="15.75" hidden="1" outlineLevel="1" x14ac:dyDescent="0.25">
      <c r="C139" s="24" t="s">
        <v>486</v>
      </c>
    </row>
    <row r="140" spans="2:22" ht="15.75" hidden="1" outlineLevel="1" x14ac:dyDescent="0.25">
      <c r="C140" s="94" t="s">
        <v>49</v>
      </c>
      <c r="D140" s="94" t="s">
        <v>108</v>
      </c>
      <c r="E140" s="94" t="s">
        <v>56</v>
      </c>
      <c r="F140" s="94" t="s">
        <v>57</v>
      </c>
      <c r="G140" s="94" t="s">
        <v>48</v>
      </c>
      <c r="H140" s="43" t="s">
        <v>59</v>
      </c>
      <c r="I140" s="43" t="s">
        <v>60</v>
      </c>
      <c r="J140" s="43" t="s">
        <v>61</v>
      </c>
      <c r="K140" s="43" t="s">
        <v>62</v>
      </c>
      <c r="L140" s="43" t="s">
        <v>63</v>
      </c>
    </row>
    <row r="141" spans="2:22" hidden="1" outlineLevel="1" x14ac:dyDescent="0.25">
      <c r="C141" s="18" t="str">
        <f>IF(COUNTIFS(Calc_TUV_Net_2[Pass through (Yes/No)],"Yes",Calc_TUV_Net_2[Cost item],"Anytime - "&amp;Calc_TUV_NetGroup_2[[#This Row],[Customer type]])=1,"Anytime - supply","-")</f>
        <v>-</v>
      </c>
      <c r="D141" s="18" t="s">
        <v>132</v>
      </c>
      <c r="E141" s="42" t="s">
        <v>65</v>
      </c>
      <c r="F141" s="18" t="s">
        <v>66</v>
      </c>
      <c r="G141" s="18" t="s">
        <v>81</v>
      </c>
      <c r="H141" s="102">
        <f>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1" s="102" cm="1">
        <f t="array" ref="I141">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1" s="102" cm="1">
        <f t="array" ref="J141">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1" s="102" cm="1">
        <f t="array" ref="K141">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1" s="102" cm="1">
        <f t="array" ref="L14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c r="O141" s="139"/>
      <c r="P141" s="139"/>
      <c r="Q141" s="139"/>
      <c r="R141" s="139"/>
      <c r="S141" s="139"/>
      <c r="T141" s="139"/>
      <c r="U141" s="139"/>
      <c r="V141" s="139"/>
    </row>
    <row r="142" spans="2:22" hidden="1" outlineLevel="1" x14ac:dyDescent="0.25">
      <c r="C142" s="18" t="str">
        <f>IF(COUNTIFS(Calc_TUV_Net_2[Pass through (Yes/No)],"Yes",Calc_TUV_Net_2[Cost item],"Anytime - "&amp;Calc_TUV_NetGroup_2[[#This Row],[Customer type]])=1,"Anytime - usage","-")</f>
        <v>-</v>
      </c>
      <c r="D142" s="18" t="s">
        <v>178</v>
      </c>
      <c r="E142" s="42" t="s">
        <v>65</v>
      </c>
      <c r="F142" s="18" t="s">
        <v>66</v>
      </c>
      <c r="G142" s="18" t="s">
        <v>81</v>
      </c>
      <c r="H142" s="102" cm="1">
        <f t="array" ref="H142">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2" s="102" cm="1">
        <f t="array" ref="I142">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2" s="102" cm="1">
        <f t="array" ref="J142">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2" s="102" cm="1">
        <f t="array" ref="K142">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2" s="102" cm="1">
        <f t="array" ref="L142">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3" spans="2:22" hidden="1" outlineLevel="1" x14ac:dyDescent="0.25">
      <c r="C143" s="18" t="str">
        <f>IF(COUNTIFS(Calc_TUV_Net_2[Pass through (Yes/No)],"Yes",Calc_TUV_Net_2[Cost item],"Anytime - "&amp;Calc_TUV_NetGroup_2[[#This Row],[Customer type]])=1,"Anytime - supply","-")</f>
        <v>-</v>
      </c>
      <c r="D143" s="18" t="s">
        <v>132</v>
      </c>
      <c r="E143" s="42" t="s">
        <v>65</v>
      </c>
      <c r="F143" s="18" t="s">
        <v>67</v>
      </c>
      <c r="G143" s="18" t="s">
        <v>81</v>
      </c>
      <c r="H143" s="102">
        <f>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3" s="102" cm="1">
        <f t="array" ref="I143">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3" s="102" cm="1">
        <f t="array" ref="J143">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3" s="102" cm="1">
        <f t="array" ref="K143">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3" s="102" cm="1">
        <f t="array" ref="L143">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4" spans="2:22" hidden="1" outlineLevel="1" x14ac:dyDescent="0.25">
      <c r="C144" s="18" t="str">
        <f>IF(COUNTIFS(Calc_TUV_Net_2[Pass through (Yes/No)],"Yes",Calc_TUV_Net_2[Cost item],"Anytime - "&amp;Calc_TUV_NetGroup_2[[#This Row],[Customer type]])=1,"Anytime - usage","-")</f>
        <v>-</v>
      </c>
      <c r="D144" s="18" t="s">
        <v>178</v>
      </c>
      <c r="E144" s="42" t="s">
        <v>65</v>
      </c>
      <c r="F144" s="18" t="s">
        <v>67</v>
      </c>
      <c r="G144" s="18" t="s">
        <v>81</v>
      </c>
      <c r="H144" s="102" cm="1">
        <f t="array" ref="H144">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4" s="102" cm="1">
        <f t="array" ref="I144">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4" s="102" cm="1">
        <f t="array" ref="J144">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4" s="102" cm="1">
        <f t="array" ref="K144">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4" s="102" cm="1">
        <f t="array" ref="L144">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5" spans="3:15" hidden="1" outlineLevel="1" x14ac:dyDescent="0.25">
      <c r="C145" s="18" t="str">
        <f>IF(COUNTIFS(Calc_TUV_Net_2[Pass through (Yes/No)],"Yes",Calc_TUV_Net_2[Cost item],"Controlled load cost - "&amp;Calc_TUV_NetGroup_2[[#This Row],[Customer type]])=1,"Controlled load - usage","-")</f>
        <v>-</v>
      </c>
      <c r="D145" s="18" t="s">
        <v>178</v>
      </c>
      <c r="E145" s="42" t="s">
        <v>65</v>
      </c>
      <c r="F145" s="18" t="s">
        <v>66</v>
      </c>
      <c r="G145" s="18" t="s">
        <v>81</v>
      </c>
      <c r="H145" s="102" cm="1">
        <f t="array" ref="H145">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5" s="102" cm="1">
        <f t="array" ref="I145">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5" s="102" cm="1">
        <f t="array" ref="J145">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5" s="102" cm="1">
        <f t="array" ref="K145">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5" s="102">
        <f>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6" spans="3:15" hidden="1" outlineLevel="1" x14ac:dyDescent="0.25">
      <c r="C146" s="18" t="str">
        <f>IF(COUNTIFS(Calc_TUV_Net_2[Pass through (Yes/No)],"Yes",Calc_TUV_Net_2[Cost item],"TOU - "&amp;Calc_TUV_NetGroup_2[[#This Row],[Customer type]])=1,"TOU - supply","-")</f>
        <v>-</v>
      </c>
      <c r="D146" s="18" t="s">
        <v>132</v>
      </c>
      <c r="E146" s="42" t="s">
        <v>65</v>
      </c>
      <c r="F146" s="18" t="s">
        <v>66</v>
      </c>
      <c r="G146" s="18" t="s">
        <v>81</v>
      </c>
      <c r="H146" s="102" cm="1">
        <f t="array" ref="H146">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6" s="102" cm="1">
        <f t="array" ref="I146">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6" s="102" cm="1">
        <f t="array" ref="J146">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6" s="102" cm="1">
        <f t="array" ref="K146">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6" s="102" cm="1">
        <f t="array" ref="L146">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7" spans="3:15" hidden="1" outlineLevel="1" x14ac:dyDescent="0.25">
      <c r="C147" s="18" t="str">
        <f>IF(COUNTIFS(Calc_TUV_Net_2[Pass through (Yes/No)],"Yes",Calc_TUV_Net_2[Cost item],"TOU - "&amp;Calc_TUV_NetGroup_2[[#This Row],[Customer type]])=1,"TOU - usage","-")</f>
        <v>-</v>
      </c>
      <c r="D147" s="18" t="s">
        <v>178</v>
      </c>
      <c r="E147" s="42" t="s">
        <v>65</v>
      </c>
      <c r="F147" s="18" t="s">
        <v>66</v>
      </c>
      <c r="G147" s="18" t="s">
        <v>81</v>
      </c>
      <c r="H147" s="102" cm="1">
        <f t="array" ref="H147">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7" s="102" cm="1">
        <f t="array" ref="I147">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7" s="102" cm="1">
        <f t="array" ref="J147">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7" s="102" cm="1">
        <f t="array" ref="K147">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7" s="102" cm="1">
        <f t="array" ref="L147">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8" spans="3:15" hidden="1" outlineLevel="1" x14ac:dyDescent="0.25">
      <c r="C148" s="18" t="str">
        <f>IF(COUNTIFS(Calc_TUV_Net_2[Pass through (Yes/No)],"Yes",Calc_TUV_Net_2[Cost item],"TOU - "&amp;Calc_TUV_NetGroup_2[[#This Row],[Customer type]])=1,"TOU - supply","-")</f>
        <v>-</v>
      </c>
      <c r="D148" s="18" t="s">
        <v>132</v>
      </c>
      <c r="E148" s="42" t="s">
        <v>65</v>
      </c>
      <c r="F148" s="18" t="s">
        <v>67</v>
      </c>
      <c r="G148" s="18" t="s">
        <v>81</v>
      </c>
      <c r="H148" s="102" cm="1">
        <f t="array" ref="H148">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8" s="102" cm="1">
        <f t="array" ref="I148">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8" s="102" cm="1">
        <f t="array" ref="J148">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8" s="102" cm="1">
        <f t="array" ref="K148">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8" s="102" cm="1">
        <f t="array" ref="L148">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9" spans="3:15" hidden="1" outlineLevel="1" x14ac:dyDescent="0.25">
      <c r="C149" s="18" t="str">
        <f>IF(COUNTIFS(Calc_TUV_Net_2[Pass through (Yes/No)],"Yes",Calc_TUV_Net_2[Cost item],"TOU - "&amp;Calc_TUV_NetGroup_2[[#This Row],[Customer type]])=1,"TOU - usage","-")</f>
        <v>-</v>
      </c>
      <c r="D149" s="18" t="s">
        <v>178</v>
      </c>
      <c r="E149" s="42" t="s">
        <v>65</v>
      </c>
      <c r="F149" s="18" t="s">
        <v>67</v>
      </c>
      <c r="G149" s="18" t="s">
        <v>81</v>
      </c>
      <c r="H149" s="102" cm="1">
        <f t="array" ref="H149">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9" s="102" cm="1">
        <f t="array" ref="I149">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9" s="102" cm="1">
        <f t="array" ref="J149">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9" s="102" cm="1">
        <f t="array" ref="K149">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9" s="102" cm="1">
        <f t="array" ref="L149">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c r="O149" s="62"/>
    </row>
    <row r="150" spans="3:15" hidden="1" outlineLevel="1" x14ac:dyDescent="0.25">
      <c r="O150" s="57"/>
    </row>
    <row r="151" spans="3:15" ht="15.75" hidden="1" outlineLevel="1" x14ac:dyDescent="0.25">
      <c r="C151" s="39" t="s">
        <v>469</v>
      </c>
      <c r="D151" s="60" t="str">
        <f>INDEX(Inputs!$C$17:$Y$17,1,MATCH($D$135,Inputs!$C$15:$Y$15,0))</f>
        <v>F-CurrentVDO_Input</v>
      </c>
      <c r="E151" s="127" t="str">
        <f>IFERROR(INDEX(#REF!,MATCH(Calc_TU_rates!C151,#REF!,0),MATCH(D151,#REF!,0)),"-")</f>
        <v>-</v>
      </c>
      <c r="H151" s="139"/>
      <c r="I151" s="139"/>
      <c r="J151" s="139"/>
      <c r="K151" s="139"/>
      <c r="L151" s="139"/>
    </row>
    <row r="152" spans="3:15" ht="15.75" hidden="1" outlineLevel="1" x14ac:dyDescent="0.25">
      <c r="C152" s="39" t="s">
        <v>470</v>
      </c>
      <c r="D152" s="60" t="str">
        <f>INDEX(Inputs!$C$17:$Y$17,1,MATCH($D$135,Inputs!$C$15:$Y$15,0))</f>
        <v>F-CurrentVDO_Input</v>
      </c>
      <c r="E152" s="127" t="str">
        <f>IFERROR(INDEX(#REF!,MATCH(Calc_TU_rates!C152,#REF!,0),MATCH(D152,#REF!,0)),"-")</f>
        <v>-</v>
      </c>
      <c r="H152" s="144"/>
      <c r="I152" s="144"/>
      <c r="J152" s="144"/>
      <c r="K152" s="144"/>
      <c r="L152" s="144"/>
    </row>
    <row r="153" spans="3:15" ht="15.75" hidden="1" outlineLevel="1" x14ac:dyDescent="0.25">
      <c r="C153" s="24"/>
      <c r="H153" s="62"/>
      <c r="I153" s="62"/>
      <c r="J153" s="62"/>
      <c r="K153" s="62"/>
      <c r="L153" s="62"/>
    </row>
    <row r="154" spans="3:15" ht="15.75" hidden="1" outlineLevel="1" x14ac:dyDescent="0.25">
      <c r="C154" s="39" t="s">
        <v>422</v>
      </c>
      <c r="E154" s="135" t="str">
        <f>IFERROR(_xlfn.DAYS(E152,E151)+1,"-")</f>
        <v>-</v>
      </c>
    </row>
    <row r="155" spans="3:15" hidden="1" outlineLevel="1" x14ac:dyDescent="0.25">
      <c r="H155" s="62"/>
    </row>
    <row r="156" spans="3:15" ht="15.75" hidden="1" outlineLevel="1" x14ac:dyDescent="0.25">
      <c r="C156" s="24" t="s">
        <v>487</v>
      </c>
    </row>
    <row r="157" spans="3:15" ht="15.75" hidden="1" outlineLevel="1" x14ac:dyDescent="0.25">
      <c r="C157" s="32" t="s">
        <v>472</v>
      </c>
      <c r="D157" s="94" t="s">
        <v>108</v>
      </c>
      <c r="E157" s="94" t="s">
        <v>56</v>
      </c>
      <c r="F157" s="94" t="s">
        <v>57</v>
      </c>
      <c r="G157" s="94" t="s">
        <v>48</v>
      </c>
      <c r="H157" s="43" t="s">
        <v>59</v>
      </c>
      <c r="I157" s="43" t="s">
        <v>60</v>
      </c>
      <c r="J157" s="43" t="s">
        <v>61</v>
      </c>
      <c r="K157" s="43" t="s">
        <v>62</v>
      </c>
      <c r="L157" s="43" t="s">
        <v>63</v>
      </c>
    </row>
    <row r="158" spans="3:15" hidden="1" outlineLevel="1" collapsed="1" x14ac:dyDescent="0.25">
      <c r="C158" s="18" t="s">
        <v>80</v>
      </c>
      <c r="D158" s="18" t="s">
        <v>132</v>
      </c>
      <c r="E158" s="42" t="s">
        <v>65</v>
      </c>
      <c r="F158" s="18" t="s">
        <v>66</v>
      </c>
      <c r="G158" s="18" t="s">
        <v>81</v>
      </c>
      <c r="H158" s="103" t="str" cm="1">
        <f t="array" ref="H158">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58" s="103" t="str" cm="1">
        <f t="array" ref="I158">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58" s="103" t="str" cm="1">
        <f t="array" ref="J158">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58" s="103" t="str" cm="1">
        <f t="array" ref="K158">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58" s="103" t="str" cm="1">
        <f t="array" ref="L158">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O158" s="56"/>
    </row>
    <row r="159" spans="3:15" hidden="1" outlineLevel="1" x14ac:dyDescent="0.25">
      <c r="C159" s="18" t="s">
        <v>80</v>
      </c>
      <c r="D159" s="18" t="s">
        <v>132</v>
      </c>
      <c r="E159" s="42" t="s">
        <v>65</v>
      </c>
      <c r="F159" s="18" t="s">
        <v>67</v>
      </c>
      <c r="G159" s="18" t="s">
        <v>81</v>
      </c>
      <c r="H159" s="103" t="str" cm="1">
        <f t="array" ref="H159">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59" s="103" t="str" cm="1">
        <f t="array" ref="I159">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59" s="103" t="str" cm="1">
        <f t="array" ref="J159">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59" s="103" t="str" cm="1">
        <f t="array" ref="K159">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59" s="103" t="str" cm="1">
        <f t="array" ref="L159">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row>
    <row r="160" spans="3:15" hidden="1" outlineLevel="1" x14ac:dyDescent="0.25">
      <c r="C160" s="18" t="s">
        <v>82</v>
      </c>
      <c r="D160" s="18" t="s">
        <v>132</v>
      </c>
      <c r="E160" s="42" t="s">
        <v>65</v>
      </c>
      <c r="F160" s="18" t="s">
        <v>66</v>
      </c>
      <c r="G160" s="18" t="s">
        <v>81</v>
      </c>
      <c r="H160" s="103" t="str" cm="1">
        <f t="array" ref="H160">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60" s="103" t="str" cm="1">
        <f t="array" ref="I160">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60" s="103" t="str" cm="1">
        <f t="array" ref="J160">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60" s="103" t="str" cm="1">
        <f t="array" ref="K160">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60" s="103" t="str" cm="1">
        <f t="array" ref="L160">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row>
    <row r="161" spans="2:12" hidden="1" outlineLevel="1" x14ac:dyDescent="0.25">
      <c r="C161" s="18" t="s">
        <v>82</v>
      </c>
      <c r="D161" s="18" t="s">
        <v>132</v>
      </c>
      <c r="E161" s="42" t="s">
        <v>65</v>
      </c>
      <c r="F161" s="18" t="s">
        <v>67</v>
      </c>
      <c r="G161" s="18" t="s">
        <v>81</v>
      </c>
      <c r="H161" s="103" t="str" cm="1">
        <f t="array" ref="H161">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61" s="103" t="str" cm="1">
        <f t="array" ref="I161">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61" s="103" t="str" cm="1">
        <f t="array" ref="J161">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61" s="103" t="str" cm="1">
        <f t="array" ref="K161">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61" s="103" t="str" cm="1">
        <f t="array" ref="L161">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row>
    <row r="162" spans="2:12" hidden="1" outlineLevel="1" x14ac:dyDescent="0.25">
      <c r="B162"/>
    </row>
    <row r="163" spans="2:12" ht="15.75" hidden="1" outlineLevel="1" x14ac:dyDescent="0.25">
      <c r="B163"/>
      <c r="C163" s="39" t="s">
        <v>473</v>
      </c>
      <c r="E163" s="106" t="str">
        <f>IFERROR((_xlfn.DAYS(E152,E151)+1)/DiPY,"-")</f>
        <v>-</v>
      </c>
    </row>
    <row r="164" spans="2:12" ht="15.75" hidden="1" outlineLevel="1" x14ac:dyDescent="0.25">
      <c r="B164"/>
      <c r="C164" s="39" t="s">
        <v>474</v>
      </c>
      <c r="E164" s="140" t="str">
        <f>IFERROR(
INDEX(Input_Usage[[F-PreviousVDO_Input]:[F-PreviousVDO_Input2]],MATCH("Residential - medium - Controlled load",Input_Usage[Ref],0),MATCH(Calc_TU_rates!$D$135,Inputs!$I$147:$Q$147,0))*E163,"-")</f>
        <v>-</v>
      </c>
    </row>
    <row r="165" spans="2:12" ht="15.75" hidden="1" outlineLevel="1" x14ac:dyDescent="0.25">
      <c r="B165"/>
      <c r="C165" s="39" t="s">
        <v>475</v>
      </c>
      <c r="D165" s="60" t="str">
        <f>INDEX(Inputs!$C$17:$Y$17,1,MATCH($D$135,Inputs!$C$15:$Y$15,0))</f>
        <v>F-CurrentVDO_Input</v>
      </c>
      <c r="E165" s="106" t="str" cm="1">
        <f t="array" ref="E165">IFERROR(INDEX(#REF!,MATCH(1,(#REF!="Total usage - Controlled Load")*(#REF!="Residential")*(#REF!="January 2021 to June 2021"),0),MATCH($D$165,#REF!,0))
/INDEX(#REF!,MATCH(1,(#REF!="Total usage - Controlled Load")*(#REF!="Residential")*(#REF!="July 2020 to June 2021"),0),MATCH($D$165,#REF!,0)),"-")</f>
        <v>-</v>
      </c>
    </row>
    <row r="166" spans="2:12" ht="15.75" hidden="1" outlineLevel="1" x14ac:dyDescent="0.25">
      <c r="B166"/>
      <c r="C166" s="39" t="s">
        <v>476</v>
      </c>
      <c r="E166" s="140" t="str">
        <f>IFERROR(
INDEX(Input_Usage[[F-PreviousVDO_Input]:[F-PreviousVDO_Input2]],MATCH("Residential - medium - Controlled load",Input_Usage[Ref],0),MATCH(Calc_TU_rates!$D$135,Inputs!$I$147:$Q$147,0))*E165,"-")</f>
        <v>-</v>
      </c>
    </row>
    <row r="167" spans="2:12" hidden="1" outlineLevel="1" x14ac:dyDescent="0.25">
      <c r="B167"/>
    </row>
    <row r="168" spans="2:12" ht="15.75" hidden="1" outlineLevel="1" x14ac:dyDescent="0.25">
      <c r="B168"/>
      <c r="C168" s="24" t="s">
        <v>477</v>
      </c>
    </row>
    <row r="169" spans="2:12" ht="15.75" hidden="1" outlineLevel="1" x14ac:dyDescent="0.25">
      <c r="B169"/>
      <c r="C169" s="32" t="s">
        <v>472</v>
      </c>
      <c r="D169" s="94" t="s">
        <v>108</v>
      </c>
      <c r="E169" s="94" t="s">
        <v>56</v>
      </c>
      <c r="F169" s="94" t="s">
        <v>57</v>
      </c>
      <c r="G169" s="94" t="s">
        <v>48</v>
      </c>
      <c r="H169" s="43" t="s">
        <v>59</v>
      </c>
      <c r="I169" s="43" t="s">
        <v>60</v>
      </c>
      <c r="J169" s="43" t="s">
        <v>61</v>
      </c>
      <c r="K169" s="43" t="s">
        <v>62</v>
      </c>
      <c r="L169" s="43" t="s">
        <v>63</v>
      </c>
    </row>
    <row r="170" spans="2:12" hidden="1" outlineLevel="1" x14ac:dyDescent="0.25">
      <c r="B170"/>
      <c r="C170" s="18" t="s">
        <v>75</v>
      </c>
      <c r="D170" s="18" t="s">
        <v>178</v>
      </c>
      <c r="E170" s="42" t="s">
        <v>65</v>
      </c>
      <c r="F170" s="18" t="s">
        <v>66</v>
      </c>
      <c r="G170" s="18" t="s">
        <v>81</v>
      </c>
      <c r="H170" s="103" t="str" cm="1">
        <f t="array" ref="H170">IFERROR(
(SUMIFS(Calc_TUV_NetGroup_2[Ausnet],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SUMIFS(Calc_TUV_NetGroup_2[Ausnet],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I170" s="103" t="str" cm="1">
        <f t="array" ref="I170">IFERROR(
(SUMIFS(Calc_TUV_NetGroup_2[Citipower],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SUMIFS(Calc_TUV_NetGroup_2[Citipower],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J170" s="103" t="str" cm="1">
        <f t="array" ref="J170">IFERROR(
(SUMIFS(Calc_TUV_NetGroup_2[Jemena],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SUMIFS(Calc_TUV_NetGroup_2[Jemena],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K170" s="103" t="str" cm="1">
        <f t="array" ref="K170">IFERROR(
(SUMIFS(Calc_TUV_NetGroup_2[Powercor],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SUMIFS(Calc_TUV_NetGroup_2[Powercor],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L170" s="103" t="str" cm="1">
        <f t="array" ref="L170">IFERROR(
(SUMIFS(Calc_TUV_NetGroup_2[United Energy],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SUMIFS(Calc_TUV_NetGroup_2[United Energy],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row>
    <row r="171" spans="2:12" hidden="1" outlineLevel="1" x14ac:dyDescent="0.25">
      <c r="B171"/>
    </row>
    <row r="172" spans="2:12" ht="15.75" hidden="1" outlineLevel="1" x14ac:dyDescent="0.25">
      <c r="B172"/>
      <c r="C172" s="24" t="s">
        <v>488</v>
      </c>
    </row>
    <row r="173" spans="2:12" ht="15.75" hidden="1" outlineLevel="1" x14ac:dyDescent="0.25">
      <c r="B173"/>
      <c r="C173" s="93" t="s">
        <v>472</v>
      </c>
      <c r="D173" s="93" t="s">
        <v>108</v>
      </c>
      <c r="E173" s="93" t="s">
        <v>56</v>
      </c>
      <c r="F173" s="93" t="s">
        <v>57</v>
      </c>
      <c r="G173" s="108" t="s">
        <v>48</v>
      </c>
      <c r="H173" s="35" t="s">
        <v>59</v>
      </c>
      <c r="I173" s="35" t="s">
        <v>60</v>
      </c>
      <c r="J173" s="35" t="s">
        <v>61</v>
      </c>
      <c r="K173" s="35" t="s">
        <v>62</v>
      </c>
      <c r="L173" s="35" t="s">
        <v>63</v>
      </c>
    </row>
    <row r="174" spans="2:12" ht="15.75" hidden="1" outlineLevel="1" x14ac:dyDescent="0.25">
      <c r="B174"/>
      <c r="C174" s="18" t="s">
        <v>80</v>
      </c>
      <c r="D174" s="18" t="s">
        <v>132</v>
      </c>
      <c r="E174" s="18" t="s">
        <v>65</v>
      </c>
      <c r="F174" s="18" t="s">
        <v>66</v>
      </c>
      <c r="G174" s="42" t="s">
        <v>81</v>
      </c>
      <c r="H174" s="68" t="str">
        <f>IFERROR(
IF(
(SUMIFS(Calc_TUV_NetGroup_2[Ausnet],Calc_TUV_NetGroup_2[[Customer type]:[Customer type]],$F174,Calc_TUV_NetGroup_2[[Cost item]:[Cost item]],$C174&amp;" - supply")+
SUMIFS(Calc_TUV_NetGroup_2[Ausnet],Calc_TUV_NetGroup_2[[Customer type]:[Customer type]],$F174,Calc_TUV_NetGroup_2[[Cost item]:[Cost item]],$C174&amp;" - usage"))/
IF($C174&lt;&gt;"Controlled load",$E$154,$E$164)=H158,
0,1),"-")</f>
        <v>-</v>
      </c>
      <c r="I174" s="68" t="str">
        <f>IFERROR(
IF(
(SUMIFS(Calc_TUV_NetGroup_2[Citipower],Calc_TUV_NetGroup_2[[Customer type]:[Customer type]],$F174,Calc_TUV_NetGroup_2[[Cost item]:[Cost item]],$C174&amp;" - supply")+
SUMIFS(Calc_TUV_NetGroup_2[Citipower],Calc_TUV_NetGroup_2[[Customer type]:[Customer type]],$F174,Calc_TUV_NetGroup_2[[Cost item]:[Cost item]],$C174&amp;" - usage"))/
IF($C174&lt;&gt;"Controlled load",$E$154,$E$164)=I158,
0,1),"-")</f>
        <v>-</v>
      </c>
      <c r="J174" s="68" t="str">
        <f>IFERROR(
IF(
(SUMIFS(Calc_TUV_NetGroup_2[Jemena],Calc_TUV_NetGroup_2[[Customer type]:[Customer type]],$F174,Calc_TUV_NetGroup_2[[Cost item]:[Cost item]],$C174&amp;" - supply")+
SUMIFS(Calc_TUV_NetGroup_2[Jemena],Calc_TUV_NetGroup_2[[Customer type]:[Customer type]],$F174,Calc_TUV_NetGroup_2[[Cost item]:[Cost item]],$C174&amp;" - usage"))/
IF($C174&lt;&gt;"Controlled load",$E$154,$E$164)=J158,
0,1),"-")</f>
        <v>-</v>
      </c>
      <c r="K174" s="68" t="str">
        <f>IFERROR(
IF(
(SUMIFS(Calc_TUV_NetGroup_2[Powercor],Calc_TUV_NetGroup_2[[Customer type]:[Customer type]],$F174,Calc_TUV_NetGroup_2[[Cost item]:[Cost item]],$C174&amp;" - supply")+
SUMIFS(Calc_TUV_NetGroup_2[Powercor],Calc_TUV_NetGroup_2[[Customer type]:[Customer type]],$F174,Calc_TUV_NetGroup_2[[Cost item]:[Cost item]],$C174&amp;" - usage"))/
IF($C174&lt;&gt;"Controlled load",$E$154,$E$164)=K158,
0,1),"-")</f>
        <v>-</v>
      </c>
      <c r="L174" s="68" t="str">
        <f>IFERROR(
IF(
(SUMIFS(Calc_TUV_NetGroup_2[United Energy],Calc_TUV_NetGroup_2[[Customer type]:[Customer type]],$F174,Calc_TUV_NetGroup_2[[Cost item]:[Cost item]],$C174&amp;" - supply")+
SUMIFS(Calc_TUV_NetGroup_2[United Energy],Calc_TUV_NetGroup_2[[Customer type]:[Customer type]],$F174,Calc_TUV_NetGroup_2[[Cost item]:[Cost item]],$C174&amp;" - usage"))/
IF($C174&lt;&gt;"Controlled load",$E$154,$E$164)=L158,
0,1),"-")</f>
        <v>-</v>
      </c>
    </row>
    <row r="175" spans="2:12" ht="15.75" hidden="1" outlineLevel="1" x14ac:dyDescent="0.25">
      <c r="B175"/>
      <c r="C175" s="18" t="s">
        <v>80</v>
      </c>
      <c r="D175" s="18" t="s">
        <v>132</v>
      </c>
      <c r="E175" s="42" t="s">
        <v>65</v>
      </c>
      <c r="F175" s="18" t="s">
        <v>67</v>
      </c>
      <c r="G175" s="42" t="s">
        <v>81</v>
      </c>
      <c r="H175" s="68" t="str">
        <f>IFERROR(
IF(
(SUMIFS(Calc_TUV_NetGroup_2[Ausnet],Calc_TUV_NetGroup_2[[Customer type]:[Customer type]],$F175,Calc_TUV_NetGroup_2[[Cost item]:[Cost item]],$C175&amp;" - supply")+
SUMIFS(Calc_TUV_NetGroup_2[Ausnet],Calc_TUV_NetGroup_2[[Customer type]:[Customer type]],$F175,Calc_TUV_NetGroup_2[[Cost item]:[Cost item]],$C175&amp;" - usage"))/
IF($C175&lt;&gt;"Controlled load",$E$154,$E$164)=H159,
0,1),"-")</f>
        <v>-</v>
      </c>
      <c r="I175" s="68" t="str">
        <f>IFERROR(
IF(
(SUMIFS(Calc_TUV_NetGroup_2[Citipower],Calc_TUV_NetGroup_2[[Customer type]:[Customer type]],$F175,Calc_TUV_NetGroup_2[[Cost item]:[Cost item]],$C175&amp;" - supply")+
SUMIFS(Calc_TUV_NetGroup_2[Citipower],Calc_TUV_NetGroup_2[[Customer type]:[Customer type]],$F175,Calc_TUV_NetGroup_2[[Cost item]:[Cost item]],$C175&amp;" - usage"))/
IF($C175&lt;&gt;"Controlled load",$E$154,$E$164)=I159,
0,1),"-")</f>
        <v>-</v>
      </c>
      <c r="J175" s="68" t="str">
        <f>IFERROR(
IF(
(SUMIFS(Calc_TUV_NetGroup_2[Jemena],Calc_TUV_NetGroup_2[[Customer type]:[Customer type]],$F175,Calc_TUV_NetGroup_2[[Cost item]:[Cost item]],$C175&amp;" - supply")+
SUMIFS(Calc_TUV_NetGroup_2[Jemena],Calc_TUV_NetGroup_2[[Customer type]:[Customer type]],$F175,Calc_TUV_NetGroup_2[[Cost item]:[Cost item]],$C175&amp;" - usage"))/
IF($C175&lt;&gt;"Controlled load",$E$154,$E$164)=J159,
0,1),"-")</f>
        <v>-</v>
      </c>
      <c r="K175" s="68" t="str">
        <f>IFERROR(
IF(
(SUMIFS(Calc_TUV_NetGroup_2[Powercor],Calc_TUV_NetGroup_2[[Customer type]:[Customer type]],$F175,Calc_TUV_NetGroup_2[[Cost item]:[Cost item]],$C175&amp;" - supply")+
SUMIFS(Calc_TUV_NetGroup_2[Powercor],Calc_TUV_NetGroup_2[[Customer type]:[Customer type]],$F175,Calc_TUV_NetGroup_2[[Cost item]:[Cost item]],$C175&amp;" - usage"))/
IF($C175&lt;&gt;"Controlled load",$E$154,$E$164)=K159,
0,1),"-")</f>
        <v>-</v>
      </c>
      <c r="L175" s="68" t="str">
        <f>IFERROR(
IF(
(SUMIFS(Calc_TUV_NetGroup_2[United Energy],Calc_TUV_NetGroup_2[[Customer type]:[Customer type]],$F175,Calc_TUV_NetGroup_2[[Cost item]:[Cost item]],$C175&amp;" - supply")+
SUMIFS(Calc_TUV_NetGroup_2[United Energy],Calc_TUV_NetGroup_2[[Customer type]:[Customer type]],$F175,Calc_TUV_NetGroup_2[[Cost item]:[Cost item]],$C175&amp;" - usage"))/
IF($C175&lt;&gt;"Controlled load",$E$154,$E$164)=L159,
0,1),"-")</f>
        <v>-</v>
      </c>
    </row>
    <row r="176" spans="2:12" ht="15.75" hidden="1" outlineLevel="1" x14ac:dyDescent="0.25">
      <c r="B176"/>
      <c r="C176" s="18" t="s">
        <v>82</v>
      </c>
      <c r="D176" s="18" t="s">
        <v>132</v>
      </c>
      <c r="E176" s="42" t="s">
        <v>65</v>
      </c>
      <c r="F176" s="18" t="s">
        <v>66</v>
      </c>
      <c r="G176" s="42" t="s">
        <v>81</v>
      </c>
      <c r="H176" s="68" t="str">
        <f>IFERROR(
IF(
(SUMIFS(Calc_TUV_NetGroup_2[Ausnet],Calc_TUV_NetGroup_2[[Customer type]:[Customer type]],$F176,Calc_TUV_NetGroup_2[[Cost item]:[Cost item]],$C176&amp;" - supply")+
SUMIFS(Calc_TUV_NetGroup_2[Ausnet],Calc_TUV_NetGroup_2[[Customer type]:[Customer type]],$F176,Calc_TUV_NetGroup_2[[Cost item]:[Cost item]],$C176&amp;" - usage"))/
IF($C176&lt;&gt;"Controlled load",$E$154,$E$164)=H160,
0,1),"-")</f>
        <v>-</v>
      </c>
      <c r="I176" s="68" t="str">
        <f>IFERROR(
IF(
(SUMIFS(Calc_TUV_NetGroup_2[Citipower],Calc_TUV_NetGroup_2[[Customer type]:[Customer type]],$F176,Calc_TUV_NetGroup_2[[Cost item]:[Cost item]],$C176&amp;" - supply")+
SUMIFS(Calc_TUV_NetGroup_2[Citipower],Calc_TUV_NetGroup_2[[Customer type]:[Customer type]],$F176,Calc_TUV_NetGroup_2[[Cost item]:[Cost item]],$C176&amp;" - usage"))/
IF($C176&lt;&gt;"Controlled load",$E$154,$E$164)=I160,
0,1),"-")</f>
        <v>-</v>
      </c>
      <c r="J176" s="68" t="str">
        <f>IFERROR(
IF(
(SUMIFS(Calc_TUV_NetGroup_2[Jemena],Calc_TUV_NetGroup_2[[Customer type]:[Customer type]],$F176,Calc_TUV_NetGroup_2[[Cost item]:[Cost item]],$C176&amp;" - supply")+
SUMIFS(Calc_TUV_NetGroup_2[Jemena],Calc_TUV_NetGroup_2[[Customer type]:[Customer type]],$F176,Calc_TUV_NetGroup_2[[Cost item]:[Cost item]],$C176&amp;" - usage"))/
IF($C176&lt;&gt;"Controlled load",$E$154,$E$164)=J160,
0,1),"-")</f>
        <v>-</v>
      </c>
      <c r="K176" s="68" t="str">
        <f>IFERROR(
IF(
(SUMIFS(Calc_TUV_NetGroup_2[Powercor],Calc_TUV_NetGroup_2[[Customer type]:[Customer type]],$F176,Calc_TUV_NetGroup_2[[Cost item]:[Cost item]],$C176&amp;" - supply")+
SUMIFS(Calc_TUV_NetGroup_2[Powercor],Calc_TUV_NetGroup_2[[Customer type]:[Customer type]],$F176,Calc_TUV_NetGroup_2[[Cost item]:[Cost item]],$C176&amp;" - usage"))/
IF($C176&lt;&gt;"Controlled load",$E$154,$E$164)=K160,
0,1),"-")</f>
        <v>-</v>
      </c>
      <c r="L176" s="68" t="str">
        <f>IFERROR(
IF(
(SUMIFS(Calc_TUV_NetGroup_2[United Energy],Calc_TUV_NetGroup_2[[Customer type]:[Customer type]],$F176,Calc_TUV_NetGroup_2[[Cost item]:[Cost item]],$C176&amp;" - supply")+
SUMIFS(Calc_TUV_NetGroup_2[United Energy],Calc_TUV_NetGroup_2[[Customer type]:[Customer type]],$F176,Calc_TUV_NetGroup_2[[Cost item]:[Cost item]],$C176&amp;" - usage"))/
IF($C176&lt;&gt;"Controlled load",$E$154,$E$164)=L160,
0,1),"-")</f>
        <v>-</v>
      </c>
    </row>
    <row r="177" spans="2:12" ht="15.75" hidden="1" outlineLevel="1" x14ac:dyDescent="0.25">
      <c r="B177"/>
      <c r="C177" s="18" t="s">
        <v>82</v>
      </c>
      <c r="D177" s="18" t="s">
        <v>132</v>
      </c>
      <c r="E177" s="42" t="s">
        <v>65</v>
      </c>
      <c r="F177" s="18" t="s">
        <v>67</v>
      </c>
      <c r="G177" s="42" t="s">
        <v>81</v>
      </c>
      <c r="H177" s="68" t="str">
        <f>IFERROR(
IF(
(SUMIFS(Calc_TUV_NetGroup_2[Ausnet],Calc_TUV_NetGroup_2[[Customer type]:[Customer type]],$F177,Calc_TUV_NetGroup_2[[Cost item]:[Cost item]],$C177&amp;" - supply")+
SUMIFS(Calc_TUV_NetGroup_2[Ausnet],Calc_TUV_NetGroup_2[[Customer type]:[Customer type]],$F177,Calc_TUV_NetGroup_2[[Cost item]:[Cost item]],$C177&amp;" - usage"))/
IF($C177&lt;&gt;"Controlled load",$E$154,$E$164)=H161,
0,1),"-")</f>
        <v>-</v>
      </c>
      <c r="I177" s="68" t="str">
        <f>IFERROR(
IF(
(SUMIFS(Calc_TUV_NetGroup_2[Citipower],Calc_TUV_NetGroup_2[[Customer type]:[Customer type]],$F177,Calc_TUV_NetGroup_2[[Cost item]:[Cost item]],$C177&amp;" - supply")+
SUMIFS(Calc_TUV_NetGroup_2[Citipower],Calc_TUV_NetGroup_2[[Customer type]:[Customer type]],$F177,Calc_TUV_NetGroup_2[[Cost item]:[Cost item]],$C177&amp;" - usage"))/
IF($C177&lt;&gt;"Controlled load",$E$154,$E$164)=I161,
0,1),"-")</f>
        <v>-</v>
      </c>
      <c r="J177" s="68" t="str">
        <f>IFERROR(
IF(
(SUMIFS(Calc_TUV_NetGroup_2[Jemena],Calc_TUV_NetGroup_2[[Customer type]:[Customer type]],$F177,Calc_TUV_NetGroup_2[[Cost item]:[Cost item]],$C177&amp;" - supply")+
SUMIFS(Calc_TUV_NetGroup_2[Jemena],Calc_TUV_NetGroup_2[[Customer type]:[Customer type]],$F177,Calc_TUV_NetGroup_2[[Cost item]:[Cost item]],$C177&amp;" - usage"))/
IF($C177&lt;&gt;"Controlled load",$E$154,$E$164)=J161,
0,1),"-")</f>
        <v>-</v>
      </c>
      <c r="K177" s="68" t="str">
        <f>IFERROR(
IF(
(SUMIFS(Calc_TUV_NetGroup_2[Powercor],Calc_TUV_NetGroup_2[[Customer type]:[Customer type]],$F177,Calc_TUV_NetGroup_2[[Cost item]:[Cost item]],$C177&amp;" - supply")+
SUMIFS(Calc_TUV_NetGroup_2[Powercor],Calc_TUV_NetGroup_2[[Customer type]:[Customer type]],$F177,Calc_TUV_NetGroup_2[[Cost item]:[Cost item]],$C177&amp;" - usage"))/
IF($C177&lt;&gt;"Controlled load",$E$154,$E$164)=K161,
0,1),"-")</f>
        <v>-</v>
      </c>
      <c r="L177" s="68" t="str">
        <f>IFERROR(
IF(
(SUMIFS(Calc_TUV_NetGroup_2[United Energy],Calc_TUV_NetGroup_2[[Customer type]:[Customer type]],$F177,Calc_TUV_NetGroup_2[[Cost item]:[Cost item]],$C177&amp;" - supply")+
SUMIFS(Calc_TUV_NetGroup_2[United Energy],Calc_TUV_NetGroup_2[[Customer type]:[Customer type]],$F177,Calc_TUV_NetGroup_2[[Cost item]:[Cost item]],$C177&amp;" - usage"))/
IF($C177&lt;&gt;"Controlled load",$E$154,$E$164)=L161,
0,1),"-")</f>
        <v>-</v>
      </c>
    </row>
    <row r="178" spans="2:12" ht="15.75" hidden="1" outlineLevel="1" x14ac:dyDescent="0.25">
      <c r="B178"/>
      <c r="C178" s="18" t="s">
        <v>75</v>
      </c>
      <c r="D178" s="18" t="s">
        <v>178</v>
      </c>
      <c r="E178" s="42" t="s">
        <v>65</v>
      </c>
      <c r="F178" s="18" t="s">
        <v>66</v>
      </c>
      <c r="G178" s="42" t="s">
        <v>81</v>
      </c>
      <c r="H178" s="68" t="str">
        <f>IFERROR(
IF(
(SUMIFS(Calc_TUV_NetGroup_2[Ausnet],Calc_TUV_NetGroup_2[[Customer type]:[Customer type]],$F178,Calc_TUV_NetGroup_2[[Cost item]:[Cost item]],$C178&amp;" - supply")+
SUMIFS(Calc_TUV_NetGroup_2[Ausnet],Calc_TUV_NetGroup_2[[Customer type]:[Customer type]],$F178,Calc_TUV_NetGroup_2[[Cost item]:[Cost item]],$C178&amp;" - usage"))/
IF($C178&lt;&gt;"Controlled load",$E$154,$E$166)=H170,
0,1),"-")</f>
        <v>-</v>
      </c>
      <c r="I178" s="68" t="str">
        <f>IFERROR(
IF(
(SUMIFS(Calc_TUV_NetGroup_2[Citipower],Calc_TUV_NetGroup_2[[Customer type]:[Customer type]],$F178,Calc_TUV_NetGroup_2[[Cost item]:[Cost item]],$C178&amp;" - supply")+
SUMIFS(Calc_TUV_NetGroup_2[Citipower],Calc_TUV_NetGroup_2[[Customer type]:[Customer type]],$F178,Calc_TUV_NetGroup_2[[Cost item]:[Cost item]],$C178&amp;" - usage"))/
IF($C178&lt;&gt;"Controlled load",$E$154,$E$166)=I170,
0,1),"-")</f>
        <v>-</v>
      </c>
      <c r="J178" s="68" t="str">
        <f>IFERROR(
IF(
(SUMIFS(Calc_TUV_NetGroup_2[Jemena],Calc_TUV_NetGroup_2[[Customer type]:[Customer type]],$F178,Calc_TUV_NetGroup_2[[Cost item]:[Cost item]],$C178&amp;" - supply")+
SUMIFS(Calc_TUV_NetGroup_2[Jemena],Calc_TUV_NetGroup_2[[Customer type]:[Customer type]],$F178,Calc_TUV_NetGroup_2[[Cost item]:[Cost item]],$C178&amp;" - usage"))/
IF($C178&lt;&gt;"Controlled load",$E$154,$E$166)=J170,
0,1),"-")</f>
        <v>-</v>
      </c>
      <c r="K178" s="68" t="str">
        <f>IFERROR(
IF(
(SUMIFS(Calc_TUV_NetGroup_2[Powercor],Calc_TUV_NetGroup_2[[Customer type]:[Customer type]],$F178,Calc_TUV_NetGroup_2[[Cost item]:[Cost item]],$C178&amp;" - supply")+
SUMIFS(Calc_TUV_NetGroup_2[Powercor],Calc_TUV_NetGroup_2[[Customer type]:[Customer type]],$F178,Calc_TUV_NetGroup_2[[Cost item]:[Cost item]],$C178&amp;" - usage"))/
IF($C178&lt;&gt;"Controlled load",$E$154,$E$166)=K170,
0,1),"-")</f>
        <v>-</v>
      </c>
      <c r="L178" s="68" t="str">
        <f>IFERROR(
IF(
(SUMIFS(Calc_TUV_NetGroup_2[United Energy],Calc_TUV_NetGroup_2[[Customer type]:[Customer type]],$F178,Calc_TUV_NetGroup_2[[Cost item]:[Cost item]],$C178&amp;" - supply")+
SUMIFS(Calc_TUV_NetGroup_2[United Energy],Calc_TUV_NetGroup_2[[Customer type]:[Customer type]],$F178,Calc_TUV_NetGroup_2[[Cost item]:[Cost item]],$C178&amp;" - usage"))/
IF($C178&lt;&gt;"Controlled load",$E$154,$E$166)=L170,
0,1),"-")</f>
        <v>-</v>
      </c>
    </row>
    <row r="179" spans="2:12" x14ac:dyDescent="0.25">
      <c r="B179"/>
    </row>
    <row r="180" spans="2:12" ht="16.5" collapsed="1" thickBot="1" x14ac:dyDescent="0.3">
      <c r="B180" s="161">
        <f ca="1">MAX(B$3:B179)+0.01</f>
        <v>10.039999999999999</v>
      </c>
      <c r="C180" s="23" t="s">
        <v>478</v>
      </c>
      <c r="D180" s="23"/>
      <c r="E180" s="23"/>
      <c r="F180" s="23"/>
      <c r="G180" s="23"/>
      <c r="H180" s="23"/>
      <c r="I180" s="23"/>
      <c r="J180" s="23"/>
      <c r="K180" s="23"/>
      <c r="L180" s="23"/>
    </row>
    <row r="181" spans="2:12" hidden="1" outlineLevel="1" x14ac:dyDescent="0.25"/>
    <row r="182" spans="2:12" ht="15.75" hidden="1" outlineLevel="1" x14ac:dyDescent="0.25">
      <c r="C182" s="24" t="s">
        <v>489</v>
      </c>
    </row>
    <row r="183" spans="2:12" ht="15.75" hidden="1" outlineLevel="1" x14ac:dyDescent="0.25">
      <c r="C183" s="32" t="s">
        <v>49</v>
      </c>
      <c r="D183" s="32" t="s">
        <v>108</v>
      </c>
      <c r="E183" s="32" t="s">
        <v>56</v>
      </c>
      <c r="F183" s="32" t="s">
        <v>57</v>
      </c>
      <c r="G183" s="32" t="s">
        <v>48</v>
      </c>
      <c r="H183" s="43" t="s">
        <v>59</v>
      </c>
      <c r="I183" s="43" t="s">
        <v>60</v>
      </c>
      <c r="J183" s="43" t="s">
        <v>61</v>
      </c>
      <c r="K183" s="43" t="s">
        <v>62</v>
      </c>
      <c r="L183" s="43" t="s">
        <v>63</v>
      </c>
    </row>
    <row r="184" spans="2:12" hidden="1" outlineLevel="1" x14ac:dyDescent="0.25">
      <c r="C184" s="42" t="str">
        <f>IF(COUNTIFS(Calc_TUV_Env_2[Pass through (Yes/No)],"Yes",Calc_TUV_Env_2[Cost item],"Large-scale renewable energy target (LRET)")=1,"LRET True Up","-")</f>
        <v>LRET True Up</v>
      </c>
      <c r="D184" s="42" t="s">
        <v>178</v>
      </c>
      <c r="E184" s="42" t="s">
        <v>69</v>
      </c>
      <c r="F184" s="42" t="s">
        <v>133</v>
      </c>
      <c r="G184" s="42" t="s">
        <v>83</v>
      </c>
      <c r="H184" s="109" cm="1">
        <f t="array" ref="H184">IFERROR(SUMIFS(INDEX(Calc_TUV_Env_2[[Ausnet]:[United Energy]],0,MATCH(Calc_TUV_ENVGroup_2[[#Headers],[Ausnet]],Calc_TUV_Env_2[[#Headers],[Ausnet]:[United Energy]],0)),
Calc_TUV_Env_2[Cost item],Calc_TUV_ENVGroup_2[[#This Row],[Cost item]],
Calc_TUV_Env_2[Customer type],Calc_TUV_ENVGroup_2[[#This Row],[Customer type]]),"-")</f>
        <v>7.1411889574377822E-5</v>
      </c>
      <c r="I184" s="109">
        <f>IFERROR(SUMIFS(INDEX(Calc_TUV_Env_2[[Ausnet]:[United Energy]],0,MATCH(Calc_TUV_ENVGroup_2[[#Headers],[Citipower]],Calc_TUV_Env_2[[#Headers],[Ausnet]:[United Energy]],0)),
Calc_TUV_Env_2[Cost item],Calc_TUV_ENVGroup_2[[#This Row],[Cost item]],
Calc_TUV_Env_2[Customer type],Calc_TUV_ENVGroup_2[[#This Row],[Customer type]]),"-")</f>
        <v>6.9262229545457419E-5</v>
      </c>
      <c r="J184" s="109" cm="1">
        <f t="array" ref="J184">IFERROR(SUMIFS(INDEX(Calc_TUV_Env_2[[Ausnet]:[United Energy]],0,MATCH(Calc_TUV_ENVGroup_2[[#Headers],[Jemena]],Calc_TUV_Env_2[[#Headers],[Ausnet]:[United Energy]],0)),
Calc_TUV_Env_2[Cost item],Calc_TUV_ENVGroup_2[[#This Row],[Cost item]],
Calc_TUV_Env_2[Customer type],Calc_TUV_ENVGroup_2[[#This Row],[Customer type]]),"-")</f>
        <v>6.8672733182471396E-5</v>
      </c>
      <c r="K184" s="109" cm="1">
        <f t="array" ref="K184">IFERROR(SUMIFS(INDEX(Calc_TUV_Env_2[[Ausnet]:[United Energy]],0,MATCH(Calc_TUV_ENVGroup_2[[#Headers],[Powercor]],Calc_TUV_Env_2[[#Headers],[Ausnet]:[United Energy]],0)),
Calc_TUV_Env_2[Cost item],Calc_TUV_ENVGroup_2[[#This Row],[Cost item]],
Calc_TUV_Env_2[Customer type],Calc_TUV_ENVGroup_2[[#This Row],[Customer type]]),"-")</f>
        <v>7.0779916457632067E-5</v>
      </c>
      <c r="L184" s="109" cm="1">
        <f t="array" ref="L184">IFERROR(SUMIFS(INDEX(Calc_TUV_Env_2[[Ausnet]:[United Energy]],0,MATCH(Calc_TUV_ENVGroup_2[[#Headers],[United Energy]],Calc_TUV_Env_2[[#Headers],[Ausnet]:[United Energy]],0)),
Calc_TUV_Env_2[Cost item],Calc_TUV_ENVGroup_2[[#This Row],[Cost item]],
Calc_TUV_Env_2[Customer type],Calc_TUV_ENVGroup_2[[#This Row],[Customer type]]),"-")</f>
        <v>6.9073799593706765E-5</v>
      </c>
    </row>
    <row r="185" spans="2:12" hidden="1" outlineLevel="1" x14ac:dyDescent="0.25">
      <c r="C185" s="42" t="str">
        <f>IF(COUNTIFS(Calc_TUV_Env_2[Pass through (Yes/No)],"Yes",Calc_TUV_Env_2[Cost item],"Small-scale renewable energy scheme (SRES)")=1,"SRES True Up","-")</f>
        <v>SRES True Up</v>
      </c>
      <c r="D185" s="42" t="s">
        <v>178</v>
      </c>
      <c r="E185" s="42" t="s">
        <v>69</v>
      </c>
      <c r="F185" s="42" t="s">
        <v>133</v>
      </c>
      <c r="G185" s="42" t="s">
        <v>83</v>
      </c>
      <c r="H185" s="109" cm="1">
        <f t="array" ref="H185">IFERROR(SUMIFS(INDEX(Calc_TUV_Env_2[[Ausnet]:[United Energy]],0,MATCH(Calc_TUV_ENVGroup_2[[#Headers],[Ausnet]],Calc_TUV_Env_2[[#Headers],[Ausnet]:[United Energy]],0)),
Calc_TUV_Env_2[Cost item],Calc_TUV_ENVGroup_2[[#This Row],[Cost item]],
Calc_TUV_Env_2[Customer type],Calc_TUV_ENVGroup_2[[#This Row],[Customer type]]),"-")</f>
        <v>-1.5204731141753008E-3</v>
      </c>
      <c r="I185" s="109" cm="1">
        <f t="array" ref="I185">IFERROR(SUMIFS(INDEX(Calc_TUV_Env_2[[Ausnet]:[United Energy]],0,MATCH(Calc_TUV_ENVGroup_2[[#Headers],[Citipower]],Calc_TUV_Env_2[[#Headers],[Ausnet]:[United Energy]],0)),
Calc_TUV_Env_2[Cost item],Calc_TUV_ENVGroup_2[[#This Row],[Cost item]],
Calc_TUV_Env_2[Customer type],Calc_TUV_ENVGroup_2[[#This Row],[Customer type]]),"-")</f>
        <v>-1.4747034209481452E-3</v>
      </c>
      <c r="J185" s="109" cm="1">
        <f t="array" ref="J185">IFERROR(SUMIFS(INDEX(Calc_TUV_Env_2[[Ausnet]:[United Energy]],0,MATCH(Calc_TUV_ENVGroup_2[[#Headers],[Jemena]],Calc_TUV_Env_2[[#Headers],[Ausnet]:[United Energy]],0)),
Calc_TUV_Env_2[Cost item],Calc_TUV_ENVGroup_2[[#This Row],[Cost item]],
Calc_TUV_Env_2[Customer type],Calc_TUV_ENVGroup_2[[#This Row],[Customer type]]),"-")</f>
        <v>-1.4621521024468919E-3</v>
      </c>
      <c r="K185" s="109" cm="1">
        <f t="array" ref="K185">IFERROR(SUMIFS(INDEX(Calc_TUV_Env_2[[Ausnet]:[United Energy]],0,MATCH(Calc_TUV_ENVGroup_2[[#Headers],[Powercor]],Calc_TUV_Env_2[[#Headers],[Ausnet]:[United Energy]],0)),
Calc_TUV_Env_2[Cost item],Calc_TUV_ENVGroup_2[[#This Row],[Cost item]],
Calc_TUV_Env_2[Customer type],Calc_TUV_ENVGroup_2[[#This Row],[Customer type]]),"-")</f>
        <v>-1.5070173977866077E-3</v>
      </c>
      <c r="L185" s="109" cm="1">
        <f t="array" ref="L185">IFERROR(SUMIFS(INDEX(Calc_TUV_Env_2[[Ausnet]:[United Energy]],0,MATCH(Calc_TUV_ENVGroup_2[[#Headers],[United Energy]],Calc_TUV_Env_2[[#Headers],[Ausnet]:[United Energy]],0)),
Calc_TUV_Env_2[Cost item],Calc_TUV_ENVGroup_2[[#This Row],[Cost item]],
Calc_TUV_Env_2[Customer type],Calc_TUV_ENVGroup_2[[#This Row],[Customer type]]),"-")</f>
        <v>-1.470691446510138E-3</v>
      </c>
    </row>
    <row r="186" spans="2:12" hidden="1" outlineLevel="1" x14ac:dyDescent="0.25">
      <c r="C186" s="42" t="str">
        <f>IF(COUNTIFS(Calc_TUV_Env_2[Pass through (Yes/No)],"Yes",Calc_TUV_Env_2[Cost item],"Victorian energy upgrades (VEU)")=1,"VEU True Up","-")</f>
        <v>-</v>
      </c>
      <c r="D186" s="42" t="s">
        <v>178</v>
      </c>
      <c r="E186" s="42" t="s">
        <v>69</v>
      </c>
      <c r="F186" s="42" t="s">
        <v>133</v>
      </c>
      <c r="G186" s="42" t="s">
        <v>83</v>
      </c>
      <c r="H186" s="109" cm="1">
        <f t="array" ref="H186">IFERROR(SUMIFS(INDEX(Calc_TUV_Env_2[[Ausnet]:[United Energy]],0,MATCH(Calc_TUV_ENVGroup_2[[#Headers],[Ausnet]],Calc_TUV_Env_2[[#Headers],[Ausnet]:[United Energy]],0)),
Calc_TUV_Env_2[Cost item],Calc_TUV_ENVGroup_2[[#This Row],[Cost item]],
Calc_TUV_Env_2[Customer type],Calc_TUV_ENVGroup_2[[#This Row],[Customer type]]),"-")</f>
        <v>0</v>
      </c>
      <c r="I186" s="109" cm="1">
        <f t="array" ref="I186">IFERROR(SUMIFS(INDEX(Calc_TUV_Env_2[[Ausnet]:[United Energy]],0,MATCH(Calc_TUV_ENVGroup_2[[#Headers],[Citipower]],Calc_TUV_Env_2[[#Headers],[Ausnet]:[United Energy]],0)),
Calc_TUV_Env_2[Cost item],Calc_TUV_ENVGroup_2[[#This Row],[Cost item]],
Calc_TUV_Env_2[Customer type],Calc_TUV_ENVGroup_2[[#This Row],[Customer type]]),"-")</f>
        <v>0</v>
      </c>
      <c r="J186" s="109" cm="1">
        <f t="array" ref="J186">IFERROR(SUMIFS(INDEX(Calc_TUV_Env_2[[Ausnet]:[United Energy]],0,MATCH(Calc_TUV_ENVGroup_2[[#Headers],[Jemena]],Calc_TUV_Env_2[[#Headers],[Ausnet]:[United Energy]],0)),
Calc_TUV_Env_2[Cost item],Calc_TUV_ENVGroup_2[[#This Row],[Cost item]],
Calc_TUV_Env_2[Customer type],Calc_TUV_ENVGroup_2[[#This Row],[Customer type]]),"-")</f>
        <v>0</v>
      </c>
      <c r="K186" s="109" cm="1">
        <f t="array" ref="K186">IFERROR(SUMIFS(INDEX(Calc_TUV_Env_2[[Ausnet]:[United Energy]],0,MATCH(Calc_TUV_ENVGroup_2[[#Headers],[Powercor]],Calc_TUV_Env_2[[#Headers],[Ausnet]:[United Energy]],0)),
Calc_TUV_Env_2[Cost item],Calc_TUV_ENVGroup_2[[#This Row],[Cost item]],
Calc_TUV_Env_2[Customer type],Calc_TUV_ENVGroup_2[[#This Row],[Customer type]]),"-")</f>
        <v>0</v>
      </c>
      <c r="L186" s="109" cm="1">
        <f t="array" ref="L186">IFERROR(SUMIFS(INDEX(Calc_TUV_Env_2[[Ausnet]:[United Energy]],0,MATCH(Calc_TUV_ENVGroup_2[[#Headers],[United Energy]],Calc_TUV_Env_2[[#Headers],[Ausnet]:[United Energy]],0)),
Calc_TUV_Env_2[Cost item],Calc_TUV_ENVGroup_2[[#This Row],[Cost item]],
Calc_TUV_Env_2[Customer type],Calc_TUV_ENVGroup_2[[#This Row],[Customer type]]),"-")</f>
        <v>0</v>
      </c>
    </row>
    <row r="187" spans="2:12" hidden="1" outlineLevel="1" x14ac:dyDescent="0.25"/>
    <row r="188" spans="2:12" ht="15.75" hidden="1" outlineLevel="1" x14ac:dyDescent="0.25">
      <c r="C188" s="39" t="s">
        <v>480</v>
      </c>
      <c r="D188" t="s">
        <v>96</v>
      </c>
      <c r="E188" s="60" t="str">
        <f>INDEX(Input_DecisionActual[Decision],MATCH(Calc_TU_rates!E189,Input_DecisionActual[Actual],0),1)</f>
        <v>VDO 2022-23 - Final</v>
      </c>
      <c r="F188" s="54">
        <f>INDEX(Input_TU_Periods[],2,MATCH($E188,Inputs!$C$203:$BM$203,0))</f>
        <v>365</v>
      </c>
      <c r="H188" s="62"/>
      <c r="I188" s="62"/>
      <c r="J188" s="62"/>
      <c r="K188" s="62"/>
      <c r="L188" s="62"/>
    </row>
    <row r="189" spans="2:12" ht="15.75" hidden="1" outlineLevel="1" x14ac:dyDescent="0.25">
      <c r="C189" s="39" t="s">
        <v>480</v>
      </c>
      <c r="D189" t="s">
        <v>316</v>
      </c>
      <c r="E189" s="60" t="str">
        <f>D135</f>
        <v>VDO 2023-24 - Final</v>
      </c>
      <c r="F189" s="54">
        <f>INDEX(Input_TU_Periods[],2,MATCH($E189,Inputs!$C$203:$BM$203,0))</f>
        <v>366</v>
      </c>
      <c r="H189" s="62"/>
      <c r="I189" s="62"/>
      <c r="J189" s="62"/>
      <c r="K189" s="62"/>
      <c r="L189" s="62"/>
    </row>
    <row r="190" spans="2:12" ht="15.75" hidden="1" outlineLevel="1" x14ac:dyDescent="0.25">
      <c r="C190" s="39" t="s">
        <v>481</v>
      </c>
      <c r="F190" s="141">
        <f>F188/F189</f>
        <v>0.99726775956284153</v>
      </c>
    </row>
    <row r="191" spans="2:12" hidden="1" outlineLevel="1" x14ac:dyDescent="0.25"/>
    <row r="192" spans="2:12" ht="15.75" hidden="1" outlineLevel="1" x14ac:dyDescent="0.25">
      <c r="C192" s="24" t="s">
        <v>490</v>
      </c>
    </row>
    <row r="193" spans="3:12" ht="15.75" hidden="1" outlineLevel="1" x14ac:dyDescent="0.25">
      <c r="C193" s="32" t="s">
        <v>472</v>
      </c>
      <c r="D193" s="32" t="s">
        <v>398</v>
      </c>
      <c r="E193" s="32" t="s">
        <v>56</v>
      </c>
      <c r="F193" s="32" t="s">
        <v>57</v>
      </c>
      <c r="G193" s="32" t="s">
        <v>48</v>
      </c>
      <c r="H193" s="43" t="s">
        <v>59</v>
      </c>
      <c r="I193" s="43" t="s">
        <v>60</v>
      </c>
      <c r="J193" s="43" t="s">
        <v>61</v>
      </c>
      <c r="K193" s="43" t="s">
        <v>62</v>
      </c>
      <c r="L193" s="43" t="s">
        <v>63</v>
      </c>
    </row>
    <row r="194" spans="3:12" hidden="1" outlineLevel="1" x14ac:dyDescent="0.25">
      <c r="C194" s="42" t="s">
        <v>71</v>
      </c>
      <c r="D194" s="42" t="s">
        <v>483</v>
      </c>
      <c r="E194" s="42" t="s">
        <v>69</v>
      </c>
      <c r="F194" s="42" t="s">
        <v>66</v>
      </c>
      <c r="G194" s="42" t="s">
        <v>83</v>
      </c>
      <c r="H194" s="111" t="str" cm="1">
        <f t="array" ref="H19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194" s="111" cm="1">
        <f t="array" ref="I19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194" s="111" cm="1">
        <f t="array" ref="J19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194" s="111" cm="1">
        <f t="array" ref="K19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194" s="111" cm="1">
        <f t="array" ref="L19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195" spans="3:12" hidden="1" outlineLevel="1" x14ac:dyDescent="0.25">
      <c r="C195" s="42" t="s">
        <v>71</v>
      </c>
      <c r="D195" s="42" t="s">
        <v>483</v>
      </c>
      <c r="E195" s="42" t="s">
        <v>69</v>
      </c>
      <c r="F195" s="42" t="s">
        <v>67</v>
      </c>
      <c r="G195" s="42" t="s">
        <v>83</v>
      </c>
      <c r="H195" s="111" t="str" cm="1">
        <f t="array" ref="H19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195" s="111" cm="1">
        <f t="array" ref="I19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195" s="111" cm="1">
        <f t="array" ref="J19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195" s="111" cm="1">
        <f t="array" ref="K19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195" s="111" cm="1">
        <f t="array" ref="L19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196" spans="3:12" hidden="1" outlineLevel="1" x14ac:dyDescent="0.25">
      <c r="C196" s="42" t="s">
        <v>68</v>
      </c>
      <c r="D196" s="42" t="s">
        <v>483</v>
      </c>
      <c r="E196" s="42" t="s">
        <v>69</v>
      </c>
      <c r="F196" s="42" t="s">
        <v>66</v>
      </c>
      <c r="G196" s="42" t="s">
        <v>83</v>
      </c>
      <c r="H196" s="111" cm="1">
        <f t="array" ref="H19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196" s="111" t="str" cm="1">
        <f t="array" ref="I19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6" s="111" t="str" cm="1">
        <f t="array" ref="J19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6" s="111" t="str" cm="1">
        <f t="array" ref="K19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6" s="111" t="str" cm="1">
        <f t="array" ref="L19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7" spans="3:12" hidden="1" outlineLevel="1" x14ac:dyDescent="0.25">
      <c r="C197" s="42" t="s">
        <v>68</v>
      </c>
      <c r="D197" s="42" t="s">
        <v>483</v>
      </c>
      <c r="E197" s="42" t="s">
        <v>69</v>
      </c>
      <c r="F197" s="42" t="s">
        <v>67</v>
      </c>
      <c r="G197" s="42" t="s">
        <v>83</v>
      </c>
      <c r="H197" s="111" cm="1">
        <f t="array" ref="H19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197" s="111" t="str" cm="1">
        <f t="array" ref="I19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7" s="111" t="str" cm="1">
        <f t="array" ref="J19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7" s="111" t="str" cm="1">
        <f t="array" ref="K19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7" s="111" t="str" cm="1">
        <f t="array" ref="L19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8" spans="3:12" hidden="1" outlineLevel="1" x14ac:dyDescent="0.25">
      <c r="C198" s="42" t="s">
        <v>70</v>
      </c>
      <c r="D198" s="42" t="s">
        <v>483</v>
      </c>
      <c r="E198" s="42" t="s">
        <v>69</v>
      </c>
      <c r="F198" s="42" t="s">
        <v>66</v>
      </c>
      <c r="G198" s="42" t="s">
        <v>83</v>
      </c>
      <c r="H198" s="111" cm="1">
        <f t="array" ref="H19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198" s="111" t="str" cm="1">
        <f t="array" ref="I19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8" s="111" t="str" cm="1">
        <f t="array" ref="J19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8" s="111" t="str" cm="1">
        <f t="array" ref="K19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8" s="111" t="str" cm="1">
        <f t="array" ref="L19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9" spans="3:12" hidden="1" outlineLevel="1" x14ac:dyDescent="0.25">
      <c r="C199" s="42" t="s">
        <v>70</v>
      </c>
      <c r="D199" s="42" t="s">
        <v>483</v>
      </c>
      <c r="E199" s="42" t="s">
        <v>69</v>
      </c>
      <c r="F199" s="42" t="s">
        <v>67</v>
      </c>
      <c r="G199" s="42" t="s">
        <v>83</v>
      </c>
      <c r="H199" s="111" cm="1">
        <f t="array" ref="H19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199" s="111" t="str" cm="1">
        <f t="array" ref="I19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9" s="111" t="str" cm="1">
        <f t="array" ref="J19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9" s="111" t="str" cm="1">
        <f t="array" ref="K19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9" s="111" t="str" cm="1">
        <f t="array" ref="L19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0" spans="3:12" hidden="1" outlineLevel="1" x14ac:dyDescent="0.25">
      <c r="C200" s="42" t="s">
        <v>75</v>
      </c>
      <c r="D200" s="42" t="s">
        <v>483</v>
      </c>
      <c r="E200" s="42" t="s">
        <v>69</v>
      </c>
      <c r="F200" s="42" t="s">
        <v>66</v>
      </c>
      <c r="G200" s="42" t="s">
        <v>83</v>
      </c>
      <c r="H200" s="111" cm="1">
        <f t="array" ref="H20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200" s="111" cm="1">
        <f t="array" ref="I20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200" s="111" cm="1">
        <f t="array" ref="J20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200" s="111" cm="1">
        <f t="array" ref="K20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200" s="111" cm="1">
        <f t="array" ref="L20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201" spans="3:12" hidden="1" outlineLevel="1" x14ac:dyDescent="0.25">
      <c r="C201" s="42" t="s">
        <v>73</v>
      </c>
      <c r="D201" s="42" t="s">
        <v>483</v>
      </c>
      <c r="E201" s="42" t="s">
        <v>69</v>
      </c>
      <c r="F201" s="42" t="s">
        <v>66</v>
      </c>
      <c r="G201" s="42" t="s">
        <v>83</v>
      </c>
      <c r="H201" s="111" cm="1">
        <f t="array" ref="H20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201" s="111" cm="1">
        <f t="array" ref="I20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201" s="111" cm="1">
        <f t="array" ref="J20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201" s="111" cm="1">
        <f t="array" ref="K20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201" s="111" cm="1">
        <f t="array" ref="L20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202" spans="3:12" hidden="1" outlineLevel="1" x14ac:dyDescent="0.25">
      <c r="C202" s="42" t="s">
        <v>73</v>
      </c>
      <c r="D202" s="42" t="s">
        <v>483</v>
      </c>
      <c r="E202" s="42" t="s">
        <v>69</v>
      </c>
      <c r="F202" s="42" t="s">
        <v>67</v>
      </c>
      <c r="G202" s="42" t="s">
        <v>83</v>
      </c>
      <c r="H202" s="111" cm="1">
        <f t="array" ref="H20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202" s="111" cm="1">
        <f t="array" ref="I20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202" s="111" cm="1">
        <f t="array" ref="J20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202" s="111" cm="1">
        <f t="array" ref="K20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202" s="111" cm="1">
        <f t="array" ref="L20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203" spans="3:12" hidden="1" outlineLevel="1" x14ac:dyDescent="0.25">
      <c r="C203" s="42" t="s">
        <v>74</v>
      </c>
      <c r="D203" s="42" t="s">
        <v>483</v>
      </c>
      <c r="E203" s="42" t="s">
        <v>69</v>
      </c>
      <c r="F203" s="42" t="s">
        <v>66</v>
      </c>
      <c r="G203" s="42" t="s">
        <v>83</v>
      </c>
      <c r="H203" s="111" cm="1">
        <f t="array" ref="H20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203" s="111" cm="1">
        <f t="array" ref="I20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203" s="111" cm="1">
        <f t="array" ref="J20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203" s="111" cm="1">
        <f t="array" ref="K20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203" s="111" cm="1">
        <f t="array" ref="L20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204" spans="3:12" hidden="1" outlineLevel="1" x14ac:dyDescent="0.25">
      <c r="C204" s="42" t="s">
        <v>74</v>
      </c>
      <c r="D204" s="42" t="s">
        <v>483</v>
      </c>
      <c r="E204" s="42" t="s">
        <v>69</v>
      </c>
      <c r="F204" s="42" t="s">
        <v>67</v>
      </c>
      <c r="G204" s="42" t="s">
        <v>83</v>
      </c>
      <c r="H204" s="111" cm="1">
        <f t="array" ref="H20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204" s="111" cm="1">
        <f t="array" ref="I20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204" s="111" cm="1">
        <f t="array" ref="J20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204" s="111" cm="1">
        <f t="array" ref="K20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204" s="111" cm="1">
        <f t="array" ref="L20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205" spans="3:12" hidden="1" outlineLevel="1" x14ac:dyDescent="0.25">
      <c r="C205" s="42" t="s">
        <v>71</v>
      </c>
      <c r="D205" s="42" t="s">
        <v>484</v>
      </c>
      <c r="E205" s="42" t="s">
        <v>69</v>
      </c>
      <c r="F205" s="42" t="s">
        <v>66</v>
      </c>
      <c r="G205" s="42" t="s">
        <v>83</v>
      </c>
      <c r="H205" s="111" t="str" cm="1">
        <f t="array" ref="H20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05" s="111" cm="1">
        <f t="array" ref="I20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05" s="111" cm="1">
        <f t="array" ref="J20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05" s="111" cm="1">
        <f t="array" ref="K20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05" s="111" cm="1">
        <f t="array" ref="L20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06" spans="3:12" hidden="1" outlineLevel="1" x14ac:dyDescent="0.25">
      <c r="C206" s="42" t="s">
        <v>71</v>
      </c>
      <c r="D206" s="42" t="s">
        <v>484</v>
      </c>
      <c r="E206" s="42" t="s">
        <v>69</v>
      </c>
      <c r="F206" s="42" t="s">
        <v>67</v>
      </c>
      <c r="G206" s="42" t="s">
        <v>83</v>
      </c>
      <c r="H206" s="111" t="str" cm="1">
        <f t="array" ref="H20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06" s="111" cm="1">
        <f t="array" ref="I20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06" s="111" cm="1">
        <f t="array" ref="J20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06" s="111" cm="1">
        <f t="array" ref="K20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06" s="111" cm="1">
        <f t="array" ref="L20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07" spans="3:12" hidden="1" outlineLevel="1" x14ac:dyDescent="0.25">
      <c r="C207" s="42" t="s">
        <v>68</v>
      </c>
      <c r="D207" s="42" t="s">
        <v>484</v>
      </c>
      <c r="E207" s="42" t="s">
        <v>69</v>
      </c>
      <c r="F207" s="42" t="s">
        <v>66</v>
      </c>
      <c r="G207" s="42" t="s">
        <v>83</v>
      </c>
      <c r="H207" s="111" cm="1">
        <f t="array" ref="H20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07" s="111" t="str" cm="1">
        <f t="array" ref="I20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7" s="111" t="str" cm="1">
        <f t="array" ref="J20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7" s="111" t="str" cm="1">
        <f t="array" ref="K20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7" s="111" t="str" cm="1">
        <f t="array" ref="L20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8" spans="3:12" hidden="1" outlineLevel="1" x14ac:dyDescent="0.25">
      <c r="C208" s="42" t="s">
        <v>68</v>
      </c>
      <c r="D208" s="42" t="s">
        <v>484</v>
      </c>
      <c r="E208" s="42" t="s">
        <v>69</v>
      </c>
      <c r="F208" s="42" t="s">
        <v>67</v>
      </c>
      <c r="G208" s="42" t="s">
        <v>83</v>
      </c>
      <c r="H208" s="111" cm="1">
        <f t="array" ref="H20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08" s="111" t="str" cm="1">
        <f t="array" ref="I20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8" s="111" t="str" cm="1">
        <f t="array" ref="J20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8" s="111" t="str" cm="1">
        <f t="array" ref="K20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8" s="111" t="str" cm="1">
        <f t="array" ref="L20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9" spans="3:18" hidden="1" outlineLevel="1" x14ac:dyDescent="0.25">
      <c r="C209" s="42" t="s">
        <v>70</v>
      </c>
      <c r="D209" s="42" t="s">
        <v>484</v>
      </c>
      <c r="E209" s="42" t="s">
        <v>69</v>
      </c>
      <c r="F209" s="42" t="s">
        <v>66</v>
      </c>
      <c r="G209" s="42" t="s">
        <v>83</v>
      </c>
      <c r="H209" s="111" cm="1">
        <f t="array" ref="H20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09" s="111" t="str" cm="1">
        <f t="array" ref="I20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9" s="111" t="str" cm="1">
        <f t="array" ref="J20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9" s="111" t="str" cm="1">
        <f t="array" ref="K20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9" s="111" t="str" cm="1">
        <f t="array" ref="L20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10" spans="3:18" hidden="1" outlineLevel="1" x14ac:dyDescent="0.25">
      <c r="C210" s="42" t="s">
        <v>70</v>
      </c>
      <c r="D210" s="42" t="s">
        <v>484</v>
      </c>
      <c r="E210" s="42" t="s">
        <v>69</v>
      </c>
      <c r="F210" s="42" t="s">
        <v>67</v>
      </c>
      <c r="G210" s="42" t="s">
        <v>83</v>
      </c>
      <c r="H210" s="111" cm="1">
        <f t="array" ref="H21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10" s="111" t="str" cm="1">
        <f t="array" ref="I21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0" s="111" t="str" cm="1">
        <f t="array" ref="J21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0" s="111" t="str" cm="1">
        <f t="array" ref="K21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0" s="111" t="str" cm="1">
        <f t="array" ref="L21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c r="R210" s="62"/>
    </row>
    <row r="211" spans="3:18" hidden="1" outlineLevel="1" x14ac:dyDescent="0.25">
      <c r="C211" s="42" t="s">
        <v>75</v>
      </c>
      <c r="D211" s="42" t="s">
        <v>484</v>
      </c>
      <c r="E211" s="42" t="s">
        <v>69</v>
      </c>
      <c r="F211" s="42" t="s">
        <v>66</v>
      </c>
      <c r="G211" s="42" t="s">
        <v>83</v>
      </c>
      <c r="H211" s="111" cm="1">
        <f t="array" ref="H21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11" s="111" cm="1">
        <f t="array" ref="I21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11" s="111" cm="1">
        <f t="array" ref="J21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11" s="111" cm="1">
        <f t="array" ref="K21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11" s="111" cm="1">
        <f t="array" ref="L21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12" spans="3:18" hidden="1" outlineLevel="1" x14ac:dyDescent="0.25">
      <c r="C212" s="42" t="s">
        <v>73</v>
      </c>
      <c r="D212" s="42" t="s">
        <v>484</v>
      </c>
      <c r="E212" s="42" t="s">
        <v>69</v>
      </c>
      <c r="F212" s="42" t="s">
        <v>66</v>
      </c>
      <c r="G212" s="42" t="s">
        <v>83</v>
      </c>
      <c r="H212" s="111" cm="1">
        <f t="array" ref="H21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12" s="111" cm="1">
        <f t="array" ref="I21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12" s="111" cm="1">
        <f t="array" ref="J21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12" s="111" cm="1">
        <f t="array" ref="K21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12" s="111" cm="1">
        <f t="array" ref="L21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13" spans="3:18" hidden="1" outlineLevel="1" x14ac:dyDescent="0.25">
      <c r="C213" s="42" t="s">
        <v>73</v>
      </c>
      <c r="D213" s="42" t="s">
        <v>484</v>
      </c>
      <c r="E213" s="42" t="s">
        <v>69</v>
      </c>
      <c r="F213" s="42" t="s">
        <v>67</v>
      </c>
      <c r="G213" s="42" t="s">
        <v>83</v>
      </c>
      <c r="H213" s="111" cm="1">
        <f t="array" ref="H21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13" s="111" cm="1">
        <f t="array" ref="I21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13" s="111" cm="1">
        <f t="array" ref="J21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13" s="111" cm="1">
        <f t="array" ref="K21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13" s="111" cm="1">
        <f t="array" ref="L21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14" spans="3:18" hidden="1" outlineLevel="1" x14ac:dyDescent="0.25">
      <c r="C214" s="42" t="s">
        <v>74</v>
      </c>
      <c r="D214" s="42" t="s">
        <v>484</v>
      </c>
      <c r="E214" s="42" t="s">
        <v>69</v>
      </c>
      <c r="F214" s="42" t="s">
        <v>66</v>
      </c>
      <c r="G214" s="42" t="s">
        <v>83</v>
      </c>
      <c r="H214" s="111" cm="1">
        <f t="array" ref="H21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14" s="111" cm="1">
        <f t="array" ref="I21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14" s="111" cm="1">
        <f t="array" ref="J21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14" s="111" cm="1">
        <f t="array" ref="K21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14" s="111" cm="1">
        <f t="array" ref="L21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15" spans="3:18" hidden="1" outlineLevel="1" x14ac:dyDescent="0.25">
      <c r="C215" s="42" t="s">
        <v>74</v>
      </c>
      <c r="D215" s="42" t="s">
        <v>484</v>
      </c>
      <c r="E215" s="42" t="s">
        <v>69</v>
      </c>
      <c r="F215" s="42" t="s">
        <v>67</v>
      </c>
      <c r="G215" s="42" t="s">
        <v>83</v>
      </c>
      <c r="H215" s="111" cm="1">
        <f t="array" ref="H21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15" s="111" cm="1">
        <f t="array" ref="I21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15" s="111" cm="1">
        <f t="array" ref="J21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15" s="111" cm="1">
        <f t="array" ref="K21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15" s="111" cm="1">
        <f t="array" ref="L21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16" spans="3:18" hidden="1" outlineLevel="1" x14ac:dyDescent="0.25">
      <c r="C216" s="42" t="s">
        <v>71</v>
      </c>
      <c r="D216" s="42" t="s">
        <v>485</v>
      </c>
      <c r="E216" s="42" t="s">
        <v>69</v>
      </c>
      <c r="F216" s="42" t="s">
        <v>66</v>
      </c>
      <c r="G216" s="42" t="s">
        <v>83</v>
      </c>
      <c r="H216" s="111" t="str" cm="1">
        <f t="array" ref="H21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16" s="111" cm="1">
        <f t="array" ref="I21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16" s="111" cm="1">
        <f t="array" ref="J21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16" s="111" cm="1">
        <f t="array" ref="K21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16" s="111" cm="1">
        <f t="array" ref="L21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17" spans="3:18" hidden="1" outlineLevel="1" x14ac:dyDescent="0.25">
      <c r="C217" s="42" t="s">
        <v>71</v>
      </c>
      <c r="D217" s="42" t="s">
        <v>485</v>
      </c>
      <c r="E217" s="42" t="s">
        <v>69</v>
      </c>
      <c r="F217" s="42" t="s">
        <v>67</v>
      </c>
      <c r="G217" s="42" t="s">
        <v>83</v>
      </c>
      <c r="H217" s="111" t="str" cm="1">
        <f t="array" ref="H21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17" s="111" cm="1">
        <f t="array" ref="I21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17" s="111" cm="1">
        <f t="array" ref="J21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17" s="111" cm="1">
        <f t="array" ref="K21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17" s="111" cm="1">
        <f t="array" ref="L21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18" spans="3:18" hidden="1" outlineLevel="1" x14ac:dyDescent="0.25">
      <c r="C218" s="42" t="s">
        <v>68</v>
      </c>
      <c r="D218" s="42" t="s">
        <v>485</v>
      </c>
      <c r="E218" s="42" t="s">
        <v>69</v>
      </c>
      <c r="F218" s="42" t="s">
        <v>66</v>
      </c>
      <c r="G218" s="42" t="s">
        <v>83</v>
      </c>
      <c r="H218" s="111" cm="1">
        <f t="array" ref="H21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18" s="111" t="str" cm="1">
        <f t="array" ref="I21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8" s="111" t="str" cm="1">
        <f t="array" ref="J21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8" s="111" t="str" cm="1">
        <f t="array" ref="K21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8" s="111" t="str" cm="1">
        <f t="array" ref="L21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19" spans="3:18" hidden="1" outlineLevel="1" x14ac:dyDescent="0.25">
      <c r="C219" s="42" t="s">
        <v>68</v>
      </c>
      <c r="D219" s="42" t="s">
        <v>485</v>
      </c>
      <c r="E219" s="42" t="s">
        <v>69</v>
      </c>
      <c r="F219" s="42" t="s">
        <v>67</v>
      </c>
      <c r="G219" s="42" t="s">
        <v>83</v>
      </c>
      <c r="H219" s="111" cm="1">
        <f t="array" ref="H21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19" s="111" t="str" cm="1">
        <f t="array" ref="I21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9" s="111" t="str" cm="1">
        <f t="array" ref="J21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9" s="111" t="str" cm="1">
        <f t="array" ref="K21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9" s="111" t="str" cm="1">
        <f t="array" ref="L21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0" spans="3:18" hidden="1" outlineLevel="1" x14ac:dyDescent="0.25">
      <c r="C220" s="42" t="s">
        <v>75</v>
      </c>
      <c r="D220" s="42" t="s">
        <v>485</v>
      </c>
      <c r="E220" s="42" t="s">
        <v>69</v>
      </c>
      <c r="F220" s="42" t="s">
        <v>66</v>
      </c>
      <c r="G220" s="42" t="s">
        <v>83</v>
      </c>
      <c r="H220" s="111" cm="1">
        <f t="array" ref="H22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0" s="111" cm="1">
        <f t="array" ref="I22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0" s="111" cm="1">
        <f t="array" ref="J22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0" s="111" cm="1">
        <f t="array" ref="K22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0" s="111" cm="1">
        <f t="array" ref="L22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1" spans="3:18" hidden="1" outlineLevel="1" x14ac:dyDescent="0.25">
      <c r="C221" s="42" t="s">
        <v>70</v>
      </c>
      <c r="D221" s="42" t="s">
        <v>485</v>
      </c>
      <c r="E221" s="42" t="s">
        <v>69</v>
      </c>
      <c r="F221" s="42" t="s">
        <v>66</v>
      </c>
      <c r="G221" s="42" t="s">
        <v>83</v>
      </c>
      <c r="H221" s="111" cm="1">
        <f t="array" ref="H22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1" s="111" t="str" cm="1">
        <f t="array" ref="I22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21" s="111" t="str" cm="1">
        <f t="array" ref="J22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21" s="111" t="str" cm="1">
        <f t="array" ref="K22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21" s="111" t="str" cm="1">
        <f t="array" ref="L22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2" spans="3:18" hidden="1" outlineLevel="1" x14ac:dyDescent="0.25">
      <c r="C222" s="42" t="s">
        <v>70</v>
      </c>
      <c r="D222" s="42" t="s">
        <v>485</v>
      </c>
      <c r="E222" s="42" t="s">
        <v>69</v>
      </c>
      <c r="F222" s="42" t="s">
        <v>67</v>
      </c>
      <c r="G222" s="42" t="s">
        <v>83</v>
      </c>
      <c r="H222" s="111" cm="1">
        <f t="array" ref="H22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2" s="111" t="str" cm="1">
        <f t="array" ref="I22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22" s="111" t="str" cm="1">
        <f t="array" ref="J22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22" s="111" t="str" cm="1">
        <f t="array" ref="K22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22" s="111" t="str" cm="1">
        <f t="array" ref="L22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3" spans="3:18" hidden="1" outlineLevel="1" x14ac:dyDescent="0.25">
      <c r="C223" s="42" t="s">
        <v>73</v>
      </c>
      <c r="D223" s="42" t="s">
        <v>485</v>
      </c>
      <c r="E223" s="42" t="s">
        <v>69</v>
      </c>
      <c r="F223" s="42" t="s">
        <v>66</v>
      </c>
      <c r="G223" s="42" t="s">
        <v>83</v>
      </c>
      <c r="H223" s="111" cm="1">
        <f t="array" ref="H22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3" s="111" cm="1">
        <f t="array" ref="I22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3" s="111" cm="1">
        <f t="array" ref="J22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3" s="111" cm="1">
        <f t="array" ref="K22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3" s="111" cm="1">
        <f t="array" ref="L22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4" spans="3:18" hidden="1" outlineLevel="1" x14ac:dyDescent="0.25">
      <c r="C224" s="42" t="s">
        <v>73</v>
      </c>
      <c r="D224" s="42" t="s">
        <v>485</v>
      </c>
      <c r="E224" s="42" t="s">
        <v>69</v>
      </c>
      <c r="F224" s="42" t="s">
        <v>67</v>
      </c>
      <c r="G224" s="42" t="s">
        <v>83</v>
      </c>
      <c r="H224" s="111" cm="1">
        <f t="array" ref="H22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4" s="111" cm="1">
        <f t="array" ref="I22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4" s="111" cm="1">
        <f t="array" ref="J22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4" s="111" cm="1">
        <f t="array" ref="K22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4" s="111" cm="1">
        <f t="array" ref="L22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5" spans="3:12" hidden="1" outlineLevel="1" x14ac:dyDescent="0.25">
      <c r="C225" s="42" t="s">
        <v>74</v>
      </c>
      <c r="D225" s="42" t="s">
        <v>485</v>
      </c>
      <c r="E225" s="42" t="s">
        <v>69</v>
      </c>
      <c r="F225" s="42" t="s">
        <v>66</v>
      </c>
      <c r="G225" s="42" t="s">
        <v>83</v>
      </c>
      <c r="H225" s="111" cm="1">
        <f t="array" ref="H22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5" s="111" cm="1">
        <f t="array" ref="I22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5" s="111" cm="1">
        <f t="array" ref="J22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5" s="111" cm="1">
        <f t="array" ref="K22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5" s="111" cm="1">
        <f t="array" ref="L22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6" spans="3:12" hidden="1" outlineLevel="1" x14ac:dyDescent="0.25">
      <c r="C226" s="42" t="s">
        <v>74</v>
      </c>
      <c r="D226" s="42" t="s">
        <v>485</v>
      </c>
      <c r="E226" s="42" t="s">
        <v>69</v>
      </c>
      <c r="F226" s="42" t="s">
        <v>67</v>
      </c>
      <c r="G226" s="42" t="s">
        <v>83</v>
      </c>
      <c r="H226" s="111" cm="1">
        <f t="array" ref="H22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6" s="111" cm="1">
        <f t="array" ref="I22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6" s="111" cm="1">
        <f t="array" ref="J22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6" s="111" cm="1">
        <f t="array" ref="K22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6" s="111" cm="1">
        <f t="array" ref="L22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7" spans="3:12" hidden="1" outlineLevel="1" x14ac:dyDescent="0.25"/>
    <row r="228" spans="3:12" ht="15.75" hidden="1" outlineLevel="1" x14ac:dyDescent="0.25">
      <c r="C228" s="24" t="s">
        <v>491</v>
      </c>
    </row>
    <row r="229" spans="3:12" ht="15.75" hidden="1" outlineLevel="1" x14ac:dyDescent="0.25">
      <c r="C229" s="31" t="s">
        <v>472</v>
      </c>
      <c r="D229" s="31" t="s">
        <v>398</v>
      </c>
      <c r="E229" s="31" t="s">
        <v>56</v>
      </c>
      <c r="F229" s="31" t="s">
        <v>57</v>
      </c>
      <c r="G229" s="31" t="s">
        <v>48</v>
      </c>
      <c r="H229" s="35" t="s">
        <v>59</v>
      </c>
      <c r="I229" s="35" t="s">
        <v>60</v>
      </c>
      <c r="J229" s="35" t="s">
        <v>61</v>
      </c>
      <c r="K229" s="35" t="s">
        <v>62</v>
      </c>
      <c r="L229" s="35" t="s">
        <v>63</v>
      </c>
    </row>
    <row r="230" spans="3:12" ht="15.75" hidden="1" outlineLevel="1" x14ac:dyDescent="0.25">
      <c r="C230" s="42" t="s">
        <v>71</v>
      </c>
      <c r="D230" s="42" t="s">
        <v>483</v>
      </c>
      <c r="E230" s="42" t="s">
        <v>69</v>
      </c>
      <c r="F230" s="42" t="s">
        <v>66</v>
      </c>
      <c r="G230" s="42" t="s">
        <v>83</v>
      </c>
      <c r="H230" s="68" t="str">
        <f>IF(H194="-","-",
IF(
ROUND(H194,8)=
ROUND(SUMIFS(Calc_TUV_ENVGroup_2[Ausnet],Calc_TUV_ENVGroup_2[[Cost item]:[Cost item]],$D230,Calc_TUV_ENVGroup_2[[Cost element]:[Cost element]],$G230)*($F$188/$F$189),8),
0,1))</f>
        <v>-</v>
      </c>
      <c r="I230" s="68">
        <f>IF(I194="-","-",
IF(
ROUND(I194,8)=
ROUND(SUMIFS(Calc_TUV_ENVGroup_2[Citipower],Calc_TUV_ENVGroup_2[[Cost item]:[Cost item]],$D230,Calc_TUV_ENVGroup_2[[Cost element]:[Cost element]],$G230)*($F$188/$F$189),8),
0,1))</f>
        <v>0</v>
      </c>
      <c r="J230" s="68">
        <f>IF(J194="-","-",
IF(
ROUND(J194,8)=
ROUND(SUMIFS(Calc_TUV_ENVGroup_2[Jemena],Calc_TUV_ENVGroup_2[[Cost item]:[Cost item]],$D230,Calc_TUV_ENVGroup_2[[Cost element]:[Cost element]],$G230)*($F$188/$F$189),8),
0,1))</f>
        <v>0</v>
      </c>
      <c r="K230" s="68">
        <f>IF(K194="-","-",
IF(
ROUND(K194,8)=
ROUND(SUMIFS(Calc_TUV_ENVGroup_2[Powercor],Calc_TUV_ENVGroup_2[[Cost item]:[Cost item]],$D230,Calc_TUV_ENVGroup_2[[Cost element]:[Cost element]],$G230)*($F$188/$F$189),8),
0,1))</f>
        <v>0</v>
      </c>
      <c r="L230" s="68">
        <f>IF(L194="-","-",
IF(
ROUND(L194,8)=
ROUND(SUMIFS(Calc_TUV_ENVGroup_2[United Energy],Calc_TUV_ENVGroup_2[[Cost item]:[Cost item]],$D230,Calc_TUV_ENVGroup_2[[Cost element]:[Cost element]],$G230)*($F$188/$F$189),8),
0,1))</f>
        <v>0</v>
      </c>
    </row>
    <row r="231" spans="3:12" ht="15.75" hidden="1" outlineLevel="1" x14ac:dyDescent="0.25">
      <c r="C231" s="42" t="s">
        <v>71</v>
      </c>
      <c r="D231" s="42" t="s">
        <v>483</v>
      </c>
      <c r="E231" s="42" t="s">
        <v>69</v>
      </c>
      <c r="F231" s="42" t="s">
        <v>67</v>
      </c>
      <c r="G231" s="42" t="s">
        <v>83</v>
      </c>
      <c r="H231" s="68" t="str">
        <f>IF(H195="-","-",
IF(
ROUND(H195,8)=
ROUND(SUMIFS(Calc_TUV_ENVGroup_2[Ausnet],Calc_TUV_ENVGroup_2[[Cost item]:[Cost item]],$D231,Calc_TUV_ENVGroup_2[[Cost element]:[Cost element]],$G231)*($F$188/$F$189),8),
0,1))</f>
        <v>-</v>
      </c>
      <c r="I231" s="68">
        <f>IF(I195="-","-",
IF(
ROUND(I195,8)=
ROUND(SUMIFS(Calc_TUV_ENVGroup_2[Citipower],Calc_TUV_ENVGroup_2[[Cost item]:[Cost item]],$D231,Calc_TUV_ENVGroup_2[[Cost element]:[Cost element]],$G231)*($F$188/$F$189),8),
0,1))</f>
        <v>0</v>
      </c>
      <c r="J231" s="68">
        <f>IF(J195="-","-",
IF(
ROUND(J195,8)=
ROUND(SUMIFS(Calc_TUV_ENVGroup_2[Jemena],Calc_TUV_ENVGroup_2[[Cost item]:[Cost item]],$D231,Calc_TUV_ENVGroup_2[[Cost element]:[Cost element]],$G231)*($F$188/$F$189),8),
0,1))</f>
        <v>0</v>
      </c>
      <c r="K231" s="68">
        <f>IF(K195="-","-",
IF(
ROUND(K195,8)=
ROUND(SUMIFS(Calc_TUV_ENVGroup_2[Powercor],Calc_TUV_ENVGroup_2[[Cost item]:[Cost item]],$D231,Calc_TUV_ENVGroup_2[[Cost element]:[Cost element]],$G231)*($F$188/$F$189),8),
0,1))</f>
        <v>0</v>
      </c>
      <c r="L231" s="68">
        <f>IF(L195="-","-",
IF(
ROUND(L195,8)=
ROUND(SUMIFS(Calc_TUV_ENVGroup_2[United Energy],Calc_TUV_ENVGroup_2[[Cost item]:[Cost item]],$D231,Calc_TUV_ENVGroup_2[[Cost element]:[Cost element]],$G231)*($F$188/$F$189),8),
0,1))</f>
        <v>0</v>
      </c>
    </row>
    <row r="232" spans="3:12" ht="15.75" hidden="1" outlineLevel="1" x14ac:dyDescent="0.25">
      <c r="C232" s="42" t="s">
        <v>68</v>
      </c>
      <c r="D232" s="42" t="s">
        <v>483</v>
      </c>
      <c r="E232" s="42" t="s">
        <v>69</v>
      </c>
      <c r="F232" s="42" t="s">
        <v>66</v>
      </c>
      <c r="G232" s="42" t="s">
        <v>83</v>
      </c>
      <c r="H232" s="68">
        <f>IF(H196="-","-",
IF(
ROUND(H196,8)=
ROUND(SUMIFS(Calc_TUV_ENVGroup_2[Ausnet],Calc_TUV_ENVGroup_2[[Cost item]:[Cost item]],$D232,Calc_TUV_ENVGroup_2[[Cost element]:[Cost element]],$G232)*($F$188/$F$189),8),
0,1))</f>
        <v>0</v>
      </c>
      <c r="I232" s="68" t="str">
        <f>IF(I196="-","-",
IF(
ROUND(I196,8)=
ROUND(SUMIFS(Calc_TUV_ENVGroup_2[Citipower],Calc_TUV_ENVGroup_2[[Cost item]:[Cost item]],$D232,Calc_TUV_ENVGroup_2[[Cost element]:[Cost element]],$G232)*($F$188/$F$189),8),
0,1))</f>
        <v>-</v>
      </c>
      <c r="J232" s="68" t="str">
        <f>IF(J196="-","-",
IF(
ROUND(J196,8)=
ROUND(SUMIFS(Calc_TUV_ENVGroup_2[Jemena],Calc_TUV_ENVGroup_2[[Cost item]:[Cost item]],$D232,Calc_TUV_ENVGroup_2[[Cost element]:[Cost element]],$G232)*($F$188/$F$189),8),
0,1))</f>
        <v>-</v>
      </c>
      <c r="K232" s="68" t="str">
        <f>IF(K196="-","-",
IF(
ROUND(K196,8)=
ROUND(SUMIFS(Calc_TUV_ENVGroup_2[Powercor],Calc_TUV_ENVGroup_2[[Cost item]:[Cost item]],$D232,Calc_TUV_ENVGroup_2[[Cost element]:[Cost element]],$G232)*($F$188/$F$189),8),
0,1))</f>
        <v>-</v>
      </c>
      <c r="L232" s="68" t="str">
        <f>IF(L196="-","-",
IF(
ROUND(L196,8)=
ROUND(SUMIFS(Calc_TUV_ENVGroup_2[United Energy],Calc_TUV_ENVGroup_2[[Cost item]:[Cost item]],$D232,Calc_TUV_ENVGroup_2[[Cost element]:[Cost element]],$G232)*($F$188/$F$189),8),
0,1))</f>
        <v>-</v>
      </c>
    </row>
    <row r="233" spans="3:12" ht="15.75" hidden="1" outlineLevel="1" x14ac:dyDescent="0.25">
      <c r="C233" s="42" t="s">
        <v>68</v>
      </c>
      <c r="D233" s="42" t="s">
        <v>483</v>
      </c>
      <c r="E233" s="42" t="s">
        <v>69</v>
      </c>
      <c r="F233" s="42" t="s">
        <v>67</v>
      </c>
      <c r="G233" s="42" t="s">
        <v>83</v>
      </c>
      <c r="H233" s="68">
        <f>IF(H197="-","-",
IF(
ROUND(H197,8)=
ROUND(SUMIFS(Calc_TUV_ENVGroup_2[Ausnet],Calc_TUV_ENVGroup_2[[Cost item]:[Cost item]],$D233,Calc_TUV_ENVGroup_2[[Cost element]:[Cost element]],$G233)*($F$188/$F$189),8),
0,1))</f>
        <v>0</v>
      </c>
      <c r="I233" s="68" t="str">
        <f>IF(I197="-","-",
IF(
ROUND(I197,8)=
ROUND(SUMIFS(Calc_TUV_ENVGroup_2[Citipower],Calc_TUV_ENVGroup_2[[Cost item]:[Cost item]],$D233,Calc_TUV_ENVGroup_2[[Cost element]:[Cost element]],$G233)*($F$188/$F$189),8),
0,1))</f>
        <v>-</v>
      </c>
      <c r="J233" s="68" t="str">
        <f>IF(J197="-","-",
IF(
ROUND(J197,8)=
ROUND(SUMIFS(Calc_TUV_ENVGroup_2[Jemena],Calc_TUV_ENVGroup_2[[Cost item]:[Cost item]],$D233,Calc_TUV_ENVGroup_2[[Cost element]:[Cost element]],$G233)*($F$188/$F$189),8),
0,1))</f>
        <v>-</v>
      </c>
      <c r="K233" s="68" t="str">
        <f>IF(K197="-","-",
IF(
ROUND(K197,8)=
ROUND(SUMIFS(Calc_TUV_ENVGroup_2[Powercor],Calc_TUV_ENVGroup_2[[Cost item]:[Cost item]],$D233,Calc_TUV_ENVGroup_2[[Cost element]:[Cost element]],$G233)*($F$188/$F$189),8),
0,1))</f>
        <v>-</v>
      </c>
      <c r="L233" s="68" t="str">
        <f>IF(L197="-","-",
IF(
ROUND(L197,8)=
ROUND(SUMIFS(Calc_TUV_ENVGroup_2[United Energy],Calc_TUV_ENVGroup_2[[Cost item]:[Cost item]],$D233,Calc_TUV_ENVGroup_2[[Cost element]:[Cost element]],$G233)*($F$188/$F$189),8),
0,1))</f>
        <v>-</v>
      </c>
    </row>
    <row r="234" spans="3:12" ht="15.75" hidden="1" outlineLevel="1" x14ac:dyDescent="0.25">
      <c r="C234" s="42" t="s">
        <v>70</v>
      </c>
      <c r="D234" s="42" t="s">
        <v>483</v>
      </c>
      <c r="E234" s="42" t="s">
        <v>69</v>
      </c>
      <c r="F234" s="42" t="s">
        <v>66</v>
      </c>
      <c r="G234" s="42" t="s">
        <v>83</v>
      </c>
      <c r="H234" s="68">
        <f>IF(H198="-","-",
IF(
ROUND(H198,8)=
ROUND(SUMIFS(Calc_TUV_ENVGroup_2[Ausnet],Calc_TUV_ENVGroup_2[[Cost item]:[Cost item]],$D234,Calc_TUV_ENVGroup_2[[Cost element]:[Cost element]],$G234)*($F$188/$F$189),8),
0,1))</f>
        <v>0</v>
      </c>
      <c r="I234" s="68" t="str">
        <f>IF(I198="-","-",
IF(
ROUND(I198,8)=
ROUND(SUMIFS(Calc_TUV_ENVGroup_2[Citipower],Calc_TUV_ENVGroup_2[[Cost item]:[Cost item]],$D234,Calc_TUV_ENVGroup_2[[Cost element]:[Cost element]],$G234)*($F$188/$F$189),8),
0,1))</f>
        <v>-</v>
      </c>
      <c r="J234" s="68" t="str">
        <f>IF(J198="-","-",
IF(
ROUND(J198,8)=
ROUND(SUMIFS(Calc_TUV_ENVGroup_2[Jemena],Calc_TUV_ENVGroup_2[[Cost item]:[Cost item]],$D234,Calc_TUV_ENVGroup_2[[Cost element]:[Cost element]],$G234)*($F$188/$F$189),8),
0,1))</f>
        <v>-</v>
      </c>
      <c r="K234" s="68" t="str">
        <f>IF(K198="-","-",
IF(
ROUND(K198,8)=
ROUND(SUMIFS(Calc_TUV_ENVGroup_2[Powercor],Calc_TUV_ENVGroup_2[[Cost item]:[Cost item]],$D234,Calc_TUV_ENVGroup_2[[Cost element]:[Cost element]],$G234)*($F$188/$F$189),8),
0,1))</f>
        <v>-</v>
      </c>
      <c r="L234" s="68" t="str">
        <f>IF(L198="-","-",
IF(
ROUND(L198,8)=
ROUND(SUMIFS(Calc_TUV_ENVGroup_2[United Energy],Calc_TUV_ENVGroup_2[[Cost item]:[Cost item]],$D234,Calc_TUV_ENVGroup_2[[Cost element]:[Cost element]],$G234)*($F$188/$F$189),8),
0,1))</f>
        <v>-</v>
      </c>
    </row>
    <row r="235" spans="3:12" ht="15.75" hidden="1" outlineLevel="1" x14ac:dyDescent="0.25">
      <c r="C235" s="42" t="s">
        <v>70</v>
      </c>
      <c r="D235" s="42" t="s">
        <v>483</v>
      </c>
      <c r="E235" s="42" t="s">
        <v>69</v>
      </c>
      <c r="F235" s="42" t="s">
        <v>67</v>
      </c>
      <c r="G235" s="42" t="s">
        <v>83</v>
      </c>
      <c r="H235" s="68">
        <f>IF(H199="-","-",
IF(
ROUND(H199,8)=
ROUND(SUMIFS(Calc_TUV_ENVGroup_2[Ausnet],Calc_TUV_ENVGroup_2[[Cost item]:[Cost item]],$D235,Calc_TUV_ENVGroup_2[[Cost element]:[Cost element]],$G235)*($F$188/$F$189),8),
0,1))</f>
        <v>0</v>
      </c>
      <c r="I235" s="68" t="str">
        <f>IF(I199="-","-",
IF(
ROUND(I199,8)=
ROUND(SUMIFS(Calc_TUV_ENVGroup_2[Citipower],Calc_TUV_ENVGroup_2[[Cost item]:[Cost item]],$D235,Calc_TUV_ENVGroup_2[[Cost element]:[Cost element]],$G235)*($F$188/$F$189),8),
0,1))</f>
        <v>-</v>
      </c>
      <c r="J235" s="68" t="str">
        <f>IF(J199="-","-",
IF(
ROUND(J199,8)=
ROUND(SUMIFS(Calc_TUV_ENVGroup_2[Jemena],Calc_TUV_ENVGroup_2[[Cost item]:[Cost item]],$D235,Calc_TUV_ENVGroup_2[[Cost element]:[Cost element]],$G235)*($F$188/$F$189),8),
0,1))</f>
        <v>-</v>
      </c>
      <c r="K235" s="68" t="str">
        <f>IF(K199="-","-",
IF(
ROUND(K199,8)=
ROUND(SUMIFS(Calc_TUV_ENVGroup_2[Powercor],Calc_TUV_ENVGroup_2[[Cost item]:[Cost item]],$D235,Calc_TUV_ENVGroup_2[[Cost element]:[Cost element]],$G235)*($F$188/$F$189),8),
0,1))</f>
        <v>-</v>
      </c>
      <c r="L235" s="68" t="str">
        <f>IF(L199="-","-",
IF(
ROUND(L199,8)=
ROUND(SUMIFS(Calc_TUV_ENVGroup_2[United Energy],Calc_TUV_ENVGroup_2[[Cost item]:[Cost item]],$D235,Calc_TUV_ENVGroup_2[[Cost element]:[Cost element]],$G235)*($F$188/$F$189),8),
0,1))</f>
        <v>-</v>
      </c>
    </row>
    <row r="236" spans="3:12" ht="15.75" hidden="1" outlineLevel="1" x14ac:dyDescent="0.25">
      <c r="C236" s="42" t="s">
        <v>75</v>
      </c>
      <c r="D236" s="42" t="s">
        <v>483</v>
      </c>
      <c r="E236" s="42" t="s">
        <v>69</v>
      </c>
      <c r="F236" s="42" t="s">
        <v>66</v>
      </c>
      <c r="G236" s="42" t="s">
        <v>83</v>
      </c>
      <c r="H236" s="68">
        <f>IF(H200="-","-",
IF(
ROUND(H200,8)=
ROUND(SUMIFS(Calc_TUV_ENVGroup_2[Ausnet],Calc_TUV_ENVGroup_2[[Cost item]:[Cost item]],$D236,Calc_TUV_ENVGroup_2[[Cost element]:[Cost element]],$G236)*($F$188/$F$189),8),
0,1))</f>
        <v>0</v>
      </c>
      <c r="I236" s="68">
        <f>IF(I200="-","-",
IF(
ROUND(I200,8)=
ROUND(SUMIFS(Calc_TUV_ENVGroup_2[Citipower],Calc_TUV_ENVGroup_2[[Cost item]:[Cost item]],$D236,Calc_TUV_ENVGroup_2[[Cost element]:[Cost element]],$G236)*($F$188/$F$189),8),
0,1))</f>
        <v>0</v>
      </c>
      <c r="J236" s="68">
        <f>IF(J200="-","-",
IF(
ROUND(J200,8)=
ROUND(SUMIFS(Calc_TUV_ENVGroup_2[Jemena],Calc_TUV_ENVGroup_2[[Cost item]:[Cost item]],$D236,Calc_TUV_ENVGroup_2[[Cost element]:[Cost element]],$G236)*($F$188/$F$189),8),
0,1))</f>
        <v>0</v>
      </c>
      <c r="K236" s="68">
        <f>IF(K200="-","-",
IF(
ROUND(K200,8)=
ROUND(SUMIFS(Calc_TUV_ENVGroup_2[Powercor],Calc_TUV_ENVGroup_2[[Cost item]:[Cost item]],$D236,Calc_TUV_ENVGroup_2[[Cost element]:[Cost element]],$G236)*($F$188/$F$189),8),
0,1))</f>
        <v>0</v>
      </c>
      <c r="L236" s="68">
        <f>IF(L200="-","-",
IF(
ROUND(L200,8)=
ROUND(SUMIFS(Calc_TUV_ENVGroup_2[United Energy],Calc_TUV_ENVGroup_2[[Cost item]:[Cost item]],$D236,Calc_TUV_ENVGroup_2[[Cost element]:[Cost element]],$G236)*($F$188/$F$189),8),
0,1))</f>
        <v>0</v>
      </c>
    </row>
    <row r="237" spans="3:12" ht="15.75" hidden="1" outlineLevel="1" x14ac:dyDescent="0.25">
      <c r="C237" s="42" t="s">
        <v>73</v>
      </c>
      <c r="D237" s="42" t="s">
        <v>483</v>
      </c>
      <c r="E237" s="42" t="s">
        <v>69</v>
      </c>
      <c r="F237" s="42" t="s">
        <v>66</v>
      </c>
      <c r="G237" s="42" t="s">
        <v>83</v>
      </c>
      <c r="H237" s="68">
        <f>IF(H201="-","-",
IF(
ROUND(H201,8)=
ROUND(SUMIFS(Calc_TUV_ENVGroup_2[Ausnet],Calc_TUV_ENVGroup_2[[Cost item]:[Cost item]],$D237,Calc_TUV_ENVGroup_2[[Cost element]:[Cost element]],$G237)*($F$188/$F$189),8),
0,1))</f>
        <v>0</v>
      </c>
      <c r="I237" s="68">
        <f>IF(I201="-","-",
IF(
ROUND(I201,8)=
ROUND(SUMIFS(Calc_TUV_ENVGroup_2[Citipower],Calc_TUV_ENVGroup_2[[Cost item]:[Cost item]],$D237,Calc_TUV_ENVGroup_2[[Cost element]:[Cost element]],$G237)*($F$188/$F$189),8),
0,1))</f>
        <v>0</v>
      </c>
      <c r="J237" s="68">
        <f>IF(J201="-","-",
IF(
ROUND(J201,8)=
ROUND(SUMIFS(Calc_TUV_ENVGroup_2[Jemena],Calc_TUV_ENVGroup_2[[Cost item]:[Cost item]],$D237,Calc_TUV_ENVGroup_2[[Cost element]:[Cost element]],$G237)*($F$188/$F$189),8),
0,1))</f>
        <v>0</v>
      </c>
      <c r="K237" s="68">
        <f>IF(K201="-","-",
IF(
ROUND(K201,8)=
ROUND(SUMIFS(Calc_TUV_ENVGroup_2[Powercor],Calc_TUV_ENVGroup_2[[Cost item]:[Cost item]],$D237,Calc_TUV_ENVGroup_2[[Cost element]:[Cost element]],$G237)*($F$188/$F$189),8),
0,1))</f>
        <v>0</v>
      </c>
      <c r="L237" s="68">
        <f>IF(L201="-","-",
IF(
ROUND(L201,8)=
ROUND(SUMIFS(Calc_TUV_ENVGroup_2[United Energy],Calc_TUV_ENVGroup_2[[Cost item]:[Cost item]],$D237,Calc_TUV_ENVGroup_2[[Cost element]:[Cost element]],$G237)*($F$188/$F$189),8),
0,1))</f>
        <v>0</v>
      </c>
    </row>
    <row r="238" spans="3:12" ht="15.75" hidden="1" outlineLevel="1" x14ac:dyDescent="0.25">
      <c r="C238" s="42" t="s">
        <v>73</v>
      </c>
      <c r="D238" s="42" t="s">
        <v>483</v>
      </c>
      <c r="E238" s="42" t="s">
        <v>69</v>
      </c>
      <c r="F238" s="42" t="s">
        <v>67</v>
      </c>
      <c r="G238" s="42" t="s">
        <v>83</v>
      </c>
      <c r="H238" s="68">
        <f>IF(H202="-","-",
IF(
ROUND(H202,8)=
ROUND(SUMIFS(Calc_TUV_ENVGroup_2[Ausnet],Calc_TUV_ENVGroup_2[[Cost item]:[Cost item]],$D238,Calc_TUV_ENVGroup_2[[Cost element]:[Cost element]],$G238)*($F$188/$F$189),8),
0,1))</f>
        <v>0</v>
      </c>
      <c r="I238" s="68">
        <f>IF(I202="-","-",
IF(
ROUND(I202,8)=
ROUND(SUMIFS(Calc_TUV_ENVGroup_2[Citipower],Calc_TUV_ENVGroup_2[[Cost item]:[Cost item]],$D238,Calc_TUV_ENVGroup_2[[Cost element]:[Cost element]],$G238)*($F$188/$F$189),8),
0,1))</f>
        <v>0</v>
      </c>
      <c r="J238" s="68">
        <f>IF(J202="-","-",
IF(
ROUND(J202,8)=
ROUND(SUMIFS(Calc_TUV_ENVGroup_2[Jemena],Calc_TUV_ENVGroup_2[[Cost item]:[Cost item]],$D238,Calc_TUV_ENVGroup_2[[Cost element]:[Cost element]],$G238)*($F$188/$F$189),8),
0,1))</f>
        <v>0</v>
      </c>
      <c r="K238" s="68">
        <f>IF(K202="-","-",
IF(
ROUND(K202,8)=
ROUND(SUMIFS(Calc_TUV_ENVGroup_2[Powercor],Calc_TUV_ENVGroup_2[[Cost item]:[Cost item]],$D238,Calc_TUV_ENVGroup_2[[Cost element]:[Cost element]],$G238)*($F$188/$F$189),8),
0,1))</f>
        <v>0</v>
      </c>
      <c r="L238" s="68">
        <f>IF(L202="-","-",
IF(
ROUND(L202,8)=
ROUND(SUMIFS(Calc_TUV_ENVGroup_2[United Energy],Calc_TUV_ENVGroup_2[[Cost item]:[Cost item]],$D238,Calc_TUV_ENVGroup_2[[Cost element]:[Cost element]],$G238)*($F$188/$F$189),8),
0,1))</f>
        <v>0</v>
      </c>
    </row>
    <row r="239" spans="3:12" ht="15.75" hidden="1" outlineLevel="1" x14ac:dyDescent="0.25">
      <c r="C239" s="42" t="s">
        <v>74</v>
      </c>
      <c r="D239" s="42" t="s">
        <v>483</v>
      </c>
      <c r="E239" s="42" t="s">
        <v>69</v>
      </c>
      <c r="F239" s="42" t="s">
        <v>66</v>
      </c>
      <c r="G239" s="42" t="s">
        <v>83</v>
      </c>
      <c r="H239" s="68">
        <f>IF(H203="-","-",
IF(
ROUND(H203,8)=
ROUND(SUMIFS(Calc_TUV_ENVGroup_2[Ausnet],Calc_TUV_ENVGroup_2[[Cost item]:[Cost item]],$D239,Calc_TUV_ENVGroup_2[[Cost element]:[Cost element]],$G239)*($F$188/$F$189),8),
0,1))</f>
        <v>0</v>
      </c>
      <c r="I239" s="68">
        <f>IF(I203="-","-",
IF(
ROUND(I203,8)=
ROUND(SUMIFS(Calc_TUV_ENVGroup_2[Citipower],Calc_TUV_ENVGroup_2[[Cost item]:[Cost item]],$D239,Calc_TUV_ENVGroup_2[[Cost element]:[Cost element]],$G239)*($F$188/$F$189),8),
0,1))</f>
        <v>0</v>
      </c>
      <c r="J239" s="68">
        <f>IF(J203="-","-",
IF(
ROUND(J203,8)=
ROUND(SUMIFS(Calc_TUV_ENVGroup_2[Jemena],Calc_TUV_ENVGroup_2[[Cost item]:[Cost item]],$D239,Calc_TUV_ENVGroup_2[[Cost element]:[Cost element]],$G239)*($F$188/$F$189),8),
0,1))</f>
        <v>0</v>
      </c>
      <c r="K239" s="68">
        <f>IF(K203="-","-",
IF(
ROUND(K203,8)=
ROUND(SUMIFS(Calc_TUV_ENVGroup_2[Powercor],Calc_TUV_ENVGroup_2[[Cost item]:[Cost item]],$D239,Calc_TUV_ENVGroup_2[[Cost element]:[Cost element]],$G239)*($F$188/$F$189),8),
0,1))</f>
        <v>0</v>
      </c>
      <c r="L239" s="68">
        <f>IF(L203="-","-",
IF(
ROUND(L203,8)=
ROUND(SUMIFS(Calc_TUV_ENVGroup_2[United Energy],Calc_TUV_ENVGroup_2[[Cost item]:[Cost item]],$D239,Calc_TUV_ENVGroup_2[[Cost element]:[Cost element]],$G239)*($F$188/$F$189),8),
0,1))</f>
        <v>0</v>
      </c>
    </row>
    <row r="240" spans="3:12" ht="15.75" hidden="1" outlineLevel="1" x14ac:dyDescent="0.25">
      <c r="C240" s="42" t="s">
        <v>74</v>
      </c>
      <c r="D240" s="42" t="s">
        <v>483</v>
      </c>
      <c r="E240" s="42" t="s">
        <v>69</v>
      </c>
      <c r="F240" s="42" t="s">
        <v>67</v>
      </c>
      <c r="G240" s="42" t="s">
        <v>83</v>
      </c>
      <c r="H240" s="68">
        <f>IF(H204="-","-",
IF(
ROUND(H204,8)=
ROUND(SUMIFS(Calc_TUV_ENVGroup_2[Ausnet],Calc_TUV_ENVGroup_2[[Cost item]:[Cost item]],$D240,Calc_TUV_ENVGroup_2[[Cost element]:[Cost element]],$G240)*($F$188/$F$189),8),
0,1))</f>
        <v>0</v>
      </c>
      <c r="I240" s="68">
        <f>IF(I204="-","-",
IF(
ROUND(I204,8)=
ROUND(SUMIFS(Calc_TUV_ENVGroup_2[Citipower],Calc_TUV_ENVGroup_2[[Cost item]:[Cost item]],$D240,Calc_TUV_ENVGroup_2[[Cost element]:[Cost element]],$G240)*($F$188/$F$189),8),
0,1))</f>
        <v>0</v>
      </c>
      <c r="J240" s="68">
        <f>IF(J204="-","-",
IF(
ROUND(J204,8)=
ROUND(SUMIFS(Calc_TUV_ENVGroup_2[Jemena],Calc_TUV_ENVGroup_2[[Cost item]:[Cost item]],$D240,Calc_TUV_ENVGroup_2[[Cost element]:[Cost element]],$G240)*($F$188/$F$189),8),
0,1))</f>
        <v>0</v>
      </c>
      <c r="K240" s="68">
        <f>IF(K204="-","-",
IF(
ROUND(K204,8)=
ROUND(SUMIFS(Calc_TUV_ENVGroup_2[Powercor],Calc_TUV_ENVGroup_2[[Cost item]:[Cost item]],$D240,Calc_TUV_ENVGroup_2[[Cost element]:[Cost element]],$G240)*($F$188/$F$189),8),
0,1))</f>
        <v>0</v>
      </c>
      <c r="L240" s="68">
        <f>IF(L204="-","-",
IF(
ROUND(L204,8)=
ROUND(SUMIFS(Calc_TUV_ENVGroup_2[United Energy],Calc_TUV_ENVGroup_2[[Cost item]:[Cost item]],$D240,Calc_TUV_ENVGroup_2[[Cost element]:[Cost element]],$G240)*($F$188/$F$189),8),
0,1))</f>
        <v>0</v>
      </c>
    </row>
    <row r="241" spans="3:12" ht="15.75" hidden="1" outlineLevel="1" x14ac:dyDescent="0.25">
      <c r="C241" s="42" t="s">
        <v>71</v>
      </c>
      <c r="D241" s="42" t="s">
        <v>484</v>
      </c>
      <c r="E241" s="42" t="s">
        <v>69</v>
      </c>
      <c r="F241" s="42" t="s">
        <v>66</v>
      </c>
      <c r="G241" s="42" t="s">
        <v>83</v>
      </c>
      <c r="H241" s="68" t="str">
        <f>IF(H205="-","-",
IF(
ROUND(H205,8)=
ROUND(SUMIFS(Calc_TUV_ENVGroup_2[Ausnet],Calc_TUV_ENVGroup_2[[Cost item]:[Cost item]],$D241,Calc_TUV_ENVGroup_2[[Cost element]:[Cost element]],$G241)*($F$188/$F$189),8),
0,1))</f>
        <v>-</v>
      </c>
      <c r="I241" s="68">
        <f>IF(I205="-","-",
IF(
ROUND(I205,8)=
ROUND(SUMIFS(Calc_TUV_ENVGroup_2[Citipower],Calc_TUV_ENVGroup_2[[Cost item]:[Cost item]],$D241,Calc_TUV_ENVGroup_2[[Cost element]:[Cost element]],$G241)*($F$188/$F$189),8),
0,1))</f>
        <v>0</v>
      </c>
      <c r="J241" s="68">
        <f>IF(J205="-","-",
IF(
ROUND(J205,8)=
ROUND(SUMIFS(Calc_TUV_ENVGroup_2[Jemena],Calc_TUV_ENVGroup_2[[Cost item]:[Cost item]],$D241,Calc_TUV_ENVGroup_2[[Cost element]:[Cost element]],$G241)*($F$188/$F$189),8),
0,1))</f>
        <v>0</v>
      </c>
      <c r="K241" s="68">
        <f>IF(K205="-","-",
IF(
ROUND(K205,8)=
ROUND(SUMIFS(Calc_TUV_ENVGroup_2[Powercor],Calc_TUV_ENVGroup_2[[Cost item]:[Cost item]],$D241,Calc_TUV_ENVGroup_2[[Cost element]:[Cost element]],$G241)*($F$188/$F$189),8),
0,1))</f>
        <v>0</v>
      </c>
      <c r="L241" s="68">
        <f>IF(L205="-","-",
IF(
ROUND(L205,8)=
ROUND(SUMIFS(Calc_TUV_ENVGroup_2[United Energy],Calc_TUV_ENVGroup_2[[Cost item]:[Cost item]],$D241,Calc_TUV_ENVGroup_2[[Cost element]:[Cost element]],$G241)*($F$188/$F$189),8),
0,1))</f>
        <v>0</v>
      </c>
    </row>
    <row r="242" spans="3:12" ht="15.75" hidden="1" outlineLevel="1" x14ac:dyDescent="0.25">
      <c r="C242" s="42" t="s">
        <v>71</v>
      </c>
      <c r="D242" s="42" t="s">
        <v>484</v>
      </c>
      <c r="E242" s="42" t="s">
        <v>69</v>
      </c>
      <c r="F242" s="42" t="s">
        <v>67</v>
      </c>
      <c r="G242" s="42" t="s">
        <v>83</v>
      </c>
      <c r="H242" s="68" t="str">
        <f>IF(H206="-","-",
IF(
ROUND(H206,8)=
ROUND(SUMIFS(Calc_TUV_ENVGroup_2[Ausnet],Calc_TUV_ENVGroup_2[[Cost item]:[Cost item]],$D242,Calc_TUV_ENVGroup_2[[Cost element]:[Cost element]],$G242)*($F$188/$F$189),8),
0,1))</f>
        <v>-</v>
      </c>
      <c r="I242" s="68">
        <f>IF(I206="-","-",
IF(
ROUND(I206,8)=
ROUND(SUMIFS(Calc_TUV_ENVGroup_2[Citipower],Calc_TUV_ENVGroup_2[[Cost item]:[Cost item]],$D242,Calc_TUV_ENVGroup_2[[Cost element]:[Cost element]],$G242)*($F$188/$F$189),8),
0,1))</f>
        <v>0</v>
      </c>
      <c r="J242" s="68">
        <f>IF(J206="-","-",
IF(
ROUND(J206,8)=
ROUND(SUMIFS(Calc_TUV_ENVGroup_2[Jemena],Calc_TUV_ENVGroup_2[[Cost item]:[Cost item]],$D242,Calc_TUV_ENVGroup_2[[Cost element]:[Cost element]],$G242)*($F$188/$F$189),8),
0,1))</f>
        <v>0</v>
      </c>
      <c r="K242" s="68">
        <f>IF(K206="-","-",
IF(
ROUND(K206,8)=
ROUND(SUMIFS(Calc_TUV_ENVGroup_2[Powercor],Calc_TUV_ENVGroup_2[[Cost item]:[Cost item]],$D242,Calc_TUV_ENVGroup_2[[Cost element]:[Cost element]],$G242)*($F$188/$F$189),8),
0,1))</f>
        <v>0</v>
      </c>
      <c r="L242" s="68">
        <f>IF(L206="-","-",
IF(
ROUND(L206,8)=
ROUND(SUMIFS(Calc_TUV_ENVGroup_2[United Energy],Calc_TUV_ENVGroup_2[[Cost item]:[Cost item]],$D242,Calc_TUV_ENVGroup_2[[Cost element]:[Cost element]],$G242)*($F$188/$F$189),8),
0,1))</f>
        <v>0</v>
      </c>
    </row>
    <row r="243" spans="3:12" ht="15.75" hidden="1" outlineLevel="1" x14ac:dyDescent="0.25">
      <c r="C243" s="42" t="s">
        <v>68</v>
      </c>
      <c r="D243" s="42" t="s">
        <v>484</v>
      </c>
      <c r="E243" s="42" t="s">
        <v>69</v>
      </c>
      <c r="F243" s="42" t="s">
        <v>66</v>
      </c>
      <c r="G243" s="42" t="s">
        <v>83</v>
      </c>
      <c r="H243" s="68">
        <f>IF(H207="-","-",
IF(
ROUND(H207,8)=
ROUND(SUMIFS(Calc_TUV_ENVGroup_2[Ausnet],Calc_TUV_ENVGroup_2[[Cost item]:[Cost item]],$D243,Calc_TUV_ENVGroup_2[[Cost element]:[Cost element]],$G243)*($F$188/$F$189),8),
0,1))</f>
        <v>0</v>
      </c>
      <c r="I243" s="68" t="str">
        <f>IF(I207="-","-",
IF(
ROUND(I207,8)=
ROUND(SUMIFS(Calc_TUV_ENVGroup_2[Citipower],Calc_TUV_ENVGroup_2[[Cost item]:[Cost item]],$D243,Calc_TUV_ENVGroup_2[[Cost element]:[Cost element]],$G243)*($F$188/$F$189),8),
0,1))</f>
        <v>-</v>
      </c>
      <c r="J243" s="68" t="str">
        <f>IF(J207="-","-",
IF(
ROUND(J207,8)=
ROUND(SUMIFS(Calc_TUV_ENVGroup_2[Jemena],Calc_TUV_ENVGroup_2[[Cost item]:[Cost item]],$D243,Calc_TUV_ENVGroup_2[[Cost element]:[Cost element]],$G243)*($F$188/$F$189),8),
0,1))</f>
        <v>-</v>
      </c>
      <c r="K243" s="68" t="str">
        <f>IF(K207="-","-",
IF(
ROUND(K207,8)=
ROUND(SUMIFS(Calc_TUV_ENVGroup_2[Powercor],Calc_TUV_ENVGroup_2[[Cost item]:[Cost item]],$D243,Calc_TUV_ENVGroup_2[[Cost element]:[Cost element]],$G243)*($F$188/$F$189),8),
0,1))</f>
        <v>-</v>
      </c>
      <c r="L243" s="68" t="str">
        <f>IF(L207="-","-",
IF(
ROUND(L207,8)=
ROUND(SUMIFS(Calc_TUV_ENVGroup_2[United Energy],Calc_TUV_ENVGroup_2[[Cost item]:[Cost item]],$D243,Calc_TUV_ENVGroup_2[[Cost element]:[Cost element]],$G243)*($F$188/$F$189),8),
0,1))</f>
        <v>-</v>
      </c>
    </row>
    <row r="244" spans="3:12" ht="15.75" hidden="1" outlineLevel="1" x14ac:dyDescent="0.25">
      <c r="C244" s="42" t="s">
        <v>68</v>
      </c>
      <c r="D244" s="42" t="s">
        <v>484</v>
      </c>
      <c r="E244" s="42" t="s">
        <v>69</v>
      </c>
      <c r="F244" s="42" t="s">
        <v>67</v>
      </c>
      <c r="G244" s="42" t="s">
        <v>83</v>
      </c>
      <c r="H244" s="68">
        <f>IF(H208="-","-",
IF(
ROUND(H208,8)=
ROUND(SUMIFS(Calc_TUV_ENVGroup_2[Ausnet],Calc_TUV_ENVGroup_2[[Cost item]:[Cost item]],$D244,Calc_TUV_ENVGroup_2[[Cost element]:[Cost element]],$G244)*($F$188/$F$189),8),
0,1))</f>
        <v>0</v>
      </c>
      <c r="I244" s="68" t="str">
        <f>IF(I208="-","-",
IF(
ROUND(I208,8)=
ROUND(SUMIFS(Calc_TUV_ENVGroup_2[Citipower],Calc_TUV_ENVGroup_2[[Cost item]:[Cost item]],$D244,Calc_TUV_ENVGroup_2[[Cost element]:[Cost element]],$G244)*($F$188/$F$189),8),
0,1))</f>
        <v>-</v>
      </c>
      <c r="J244" s="68" t="str">
        <f>IF(J208="-","-",
IF(
ROUND(J208,8)=
ROUND(SUMIFS(Calc_TUV_ENVGroup_2[Jemena],Calc_TUV_ENVGroup_2[[Cost item]:[Cost item]],$D244,Calc_TUV_ENVGroup_2[[Cost element]:[Cost element]],$G244)*($F$188/$F$189),8),
0,1))</f>
        <v>-</v>
      </c>
      <c r="K244" s="68" t="str">
        <f>IF(K208="-","-",
IF(
ROUND(K208,8)=
ROUND(SUMIFS(Calc_TUV_ENVGroup_2[Powercor],Calc_TUV_ENVGroup_2[[Cost item]:[Cost item]],$D244,Calc_TUV_ENVGroup_2[[Cost element]:[Cost element]],$G244)*($F$188/$F$189),8),
0,1))</f>
        <v>-</v>
      </c>
      <c r="L244" s="68" t="str">
        <f>IF(L208="-","-",
IF(
ROUND(L208,8)=
ROUND(SUMIFS(Calc_TUV_ENVGroup_2[United Energy],Calc_TUV_ENVGroup_2[[Cost item]:[Cost item]],$D244,Calc_TUV_ENVGroup_2[[Cost element]:[Cost element]],$G244)*($F$188/$F$189),8),
0,1))</f>
        <v>-</v>
      </c>
    </row>
    <row r="245" spans="3:12" ht="15.75" hidden="1" outlineLevel="1" x14ac:dyDescent="0.25">
      <c r="C245" s="42" t="s">
        <v>70</v>
      </c>
      <c r="D245" s="42" t="s">
        <v>484</v>
      </c>
      <c r="E245" s="42" t="s">
        <v>69</v>
      </c>
      <c r="F245" s="42" t="s">
        <v>66</v>
      </c>
      <c r="G245" s="42" t="s">
        <v>83</v>
      </c>
      <c r="H245" s="68">
        <f>IF(H209="-","-",
IF(
ROUND(H209,8)=
ROUND(SUMIFS(Calc_TUV_ENVGroup_2[Ausnet],Calc_TUV_ENVGroup_2[[Cost item]:[Cost item]],$D245,Calc_TUV_ENVGroup_2[[Cost element]:[Cost element]],$G245)*($F$188/$F$189),8),
0,1))</f>
        <v>0</v>
      </c>
      <c r="I245" s="68" t="str">
        <f>IF(I209="-","-",
IF(
ROUND(I209,8)=
ROUND(SUMIFS(Calc_TUV_ENVGroup_2[Citipower],Calc_TUV_ENVGroup_2[[Cost item]:[Cost item]],$D245,Calc_TUV_ENVGroup_2[[Cost element]:[Cost element]],$G245)*($F$188/$F$189),8),
0,1))</f>
        <v>-</v>
      </c>
      <c r="J245" s="68" t="str">
        <f>IF(J209="-","-",
IF(
ROUND(J209,8)=
ROUND(SUMIFS(Calc_TUV_ENVGroup_2[Jemena],Calc_TUV_ENVGroup_2[[Cost item]:[Cost item]],$D245,Calc_TUV_ENVGroup_2[[Cost element]:[Cost element]],$G245)*($F$188/$F$189),8),
0,1))</f>
        <v>-</v>
      </c>
      <c r="K245" s="68" t="str">
        <f>IF(K209="-","-",
IF(
ROUND(K209,8)=
ROUND(SUMIFS(Calc_TUV_ENVGroup_2[Powercor],Calc_TUV_ENVGroup_2[[Cost item]:[Cost item]],$D245,Calc_TUV_ENVGroup_2[[Cost element]:[Cost element]],$G245)*($F$188/$F$189),8),
0,1))</f>
        <v>-</v>
      </c>
      <c r="L245" s="68" t="str">
        <f>IF(L209="-","-",
IF(
ROUND(L209,8)=
ROUND(SUMIFS(Calc_TUV_ENVGroup_2[United Energy],Calc_TUV_ENVGroup_2[[Cost item]:[Cost item]],$D245,Calc_TUV_ENVGroup_2[[Cost element]:[Cost element]],$G245)*($F$188/$F$189),8),
0,1))</f>
        <v>-</v>
      </c>
    </row>
    <row r="246" spans="3:12" ht="15.75" hidden="1" outlineLevel="1" x14ac:dyDescent="0.25">
      <c r="C246" s="42" t="s">
        <v>70</v>
      </c>
      <c r="D246" s="42" t="s">
        <v>484</v>
      </c>
      <c r="E246" s="42" t="s">
        <v>69</v>
      </c>
      <c r="F246" s="42" t="s">
        <v>67</v>
      </c>
      <c r="G246" s="42" t="s">
        <v>83</v>
      </c>
      <c r="H246" s="68">
        <f>IF(H210="-","-",
IF(
ROUND(H210,8)=
ROUND(SUMIFS(Calc_TUV_ENVGroup_2[Ausnet],Calc_TUV_ENVGroup_2[[Cost item]:[Cost item]],$D246,Calc_TUV_ENVGroup_2[[Cost element]:[Cost element]],$G246)*($F$188/$F$189),8),
0,1))</f>
        <v>0</v>
      </c>
      <c r="I246" s="68" t="str">
        <f>IF(I210="-","-",
IF(
ROUND(I210,8)=
ROUND(SUMIFS(Calc_TUV_ENVGroup_2[Citipower],Calc_TUV_ENVGroup_2[[Cost item]:[Cost item]],$D246,Calc_TUV_ENVGroup_2[[Cost element]:[Cost element]],$G246)*($F$188/$F$189),8),
0,1))</f>
        <v>-</v>
      </c>
      <c r="J246" s="68" t="str">
        <f>IF(J210="-","-",
IF(
ROUND(J210,8)=
ROUND(SUMIFS(Calc_TUV_ENVGroup_2[Jemena],Calc_TUV_ENVGroup_2[[Cost item]:[Cost item]],$D246,Calc_TUV_ENVGroup_2[[Cost element]:[Cost element]],$G246)*($F$188/$F$189),8),
0,1))</f>
        <v>-</v>
      </c>
      <c r="K246" s="68" t="str">
        <f>IF(K210="-","-",
IF(
ROUND(K210,8)=
ROUND(SUMIFS(Calc_TUV_ENVGroup_2[Powercor],Calc_TUV_ENVGroup_2[[Cost item]:[Cost item]],$D246,Calc_TUV_ENVGroup_2[[Cost element]:[Cost element]],$G246)*($F$188/$F$189),8),
0,1))</f>
        <v>-</v>
      </c>
      <c r="L246" s="68" t="str">
        <f>IF(L210="-","-",
IF(
ROUND(L210,8)=
ROUND(SUMIFS(Calc_TUV_ENVGroup_2[United Energy],Calc_TUV_ENVGroup_2[[Cost item]:[Cost item]],$D246,Calc_TUV_ENVGroup_2[[Cost element]:[Cost element]],$G246)*($F$188/$F$189),8),
0,1))</f>
        <v>-</v>
      </c>
    </row>
    <row r="247" spans="3:12" ht="15.75" hidden="1" outlineLevel="1" x14ac:dyDescent="0.25">
      <c r="C247" s="42" t="s">
        <v>75</v>
      </c>
      <c r="D247" s="42" t="s">
        <v>484</v>
      </c>
      <c r="E247" s="42" t="s">
        <v>69</v>
      </c>
      <c r="F247" s="42" t="s">
        <v>66</v>
      </c>
      <c r="G247" s="42" t="s">
        <v>83</v>
      </c>
      <c r="H247" s="68">
        <f>IF(H211="-","-",
IF(
ROUND(H211,8)=
ROUND(SUMIFS(Calc_TUV_ENVGroup_2[Ausnet],Calc_TUV_ENVGroup_2[[Cost item]:[Cost item]],$D247,Calc_TUV_ENVGroup_2[[Cost element]:[Cost element]],$G247)*($F$188/$F$189),8),
0,1))</f>
        <v>0</v>
      </c>
      <c r="I247" s="68">
        <f>IF(I211="-","-",
IF(
ROUND(I211,8)=
ROUND(SUMIFS(Calc_TUV_ENVGroup_2[Citipower],Calc_TUV_ENVGroup_2[[Cost item]:[Cost item]],$D247,Calc_TUV_ENVGroup_2[[Cost element]:[Cost element]],$G247)*($F$188/$F$189),8),
0,1))</f>
        <v>0</v>
      </c>
      <c r="J247" s="68">
        <f>IF(J211="-","-",
IF(
ROUND(J211,8)=
ROUND(SUMIFS(Calc_TUV_ENVGroup_2[Jemena],Calc_TUV_ENVGroup_2[[Cost item]:[Cost item]],$D247,Calc_TUV_ENVGroup_2[[Cost element]:[Cost element]],$G247)*($F$188/$F$189),8),
0,1))</f>
        <v>0</v>
      </c>
      <c r="K247" s="68">
        <f>IF(K211="-","-",
IF(
ROUND(K211,8)=
ROUND(SUMIFS(Calc_TUV_ENVGroup_2[Powercor],Calc_TUV_ENVGroup_2[[Cost item]:[Cost item]],$D247,Calc_TUV_ENVGroup_2[[Cost element]:[Cost element]],$G247)*($F$188/$F$189),8),
0,1))</f>
        <v>0</v>
      </c>
      <c r="L247" s="68">
        <f>IF(L211="-","-",
IF(
ROUND(L211,8)=
ROUND(SUMIFS(Calc_TUV_ENVGroup_2[United Energy],Calc_TUV_ENVGroup_2[[Cost item]:[Cost item]],$D247,Calc_TUV_ENVGroup_2[[Cost element]:[Cost element]],$G247)*($F$188/$F$189),8),
0,1))</f>
        <v>0</v>
      </c>
    </row>
    <row r="248" spans="3:12" ht="15.75" hidden="1" outlineLevel="1" x14ac:dyDescent="0.25">
      <c r="C248" s="42" t="s">
        <v>73</v>
      </c>
      <c r="D248" s="42" t="s">
        <v>484</v>
      </c>
      <c r="E248" s="42" t="s">
        <v>69</v>
      </c>
      <c r="F248" s="42" t="s">
        <v>66</v>
      </c>
      <c r="G248" s="42" t="s">
        <v>83</v>
      </c>
      <c r="H248" s="68">
        <f>IF(H212="-","-",
IF(
ROUND(H212,8)=
ROUND(SUMIFS(Calc_TUV_ENVGroup_2[Ausnet],Calc_TUV_ENVGroup_2[[Cost item]:[Cost item]],$D248,Calc_TUV_ENVGroup_2[[Cost element]:[Cost element]],$G248)*($F$188/$F$189),8),
0,1))</f>
        <v>0</v>
      </c>
      <c r="I248" s="68">
        <f>IF(I212="-","-",
IF(
ROUND(I212,8)=
ROUND(SUMIFS(Calc_TUV_ENVGroup_2[Citipower],Calc_TUV_ENVGroup_2[[Cost item]:[Cost item]],$D248,Calc_TUV_ENVGroup_2[[Cost element]:[Cost element]],$G248)*($F$188/$F$189),8),
0,1))</f>
        <v>0</v>
      </c>
      <c r="J248" s="68">
        <f>IF(J212="-","-",
IF(
ROUND(J212,8)=
ROUND(SUMIFS(Calc_TUV_ENVGroup_2[Jemena],Calc_TUV_ENVGroup_2[[Cost item]:[Cost item]],$D248,Calc_TUV_ENVGroup_2[[Cost element]:[Cost element]],$G248)*($F$188/$F$189),8),
0,1))</f>
        <v>0</v>
      </c>
      <c r="K248" s="68">
        <f>IF(K212="-","-",
IF(
ROUND(K212,8)=
ROUND(SUMIFS(Calc_TUV_ENVGroup_2[Powercor],Calc_TUV_ENVGroup_2[[Cost item]:[Cost item]],$D248,Calc_TUV_ENVGroup_2[[Cost element]:[Cost element]],$G248)*($F$188/$F$189),8),
0,1))</f>
        <v>0</v>
      </c>
      <c r="L248" s="68">
        <f>IF(L212="-","-",
IF(
ROUND(L212,8)=
ROUND(SUMIFS(Calc_TUV_ENVGroup_2[United Energy],Calc_TUV_ENVGroup_2[[Cost item]:[Cost item]],$D248,Calc_TUV_ENVGroup_2[[Cost element]:[Cost element]],$G248)*($F$188/$F$189),8),
0,1))</f>
        <v>0</v>
      </c>
    </row>
    <row r="249" spans="3:12" ht="15.75" hidden="1" outlineLevel="1" x14ac:dyDescent="0.25">
      <c r="C249" s="42" t="s">
        <v>73</v>
      </c>
      <c r="D249" s="42" t="s">
        <v>484</v>
      </c>
      <c r="E249" s="42" t="s">
        <v>69</v>
      </c>
      <c r="F249" s="42" t="s">
        <v>67</v>
      </c>
      <c r="G249" s="42" t="s">
        <v>83</v>
      </c>
      <c r="H249" s="68">
        <f>IF(H213="-","-",
IF(
ROUND(H213,8)=
ROUND(SUMIFS(Calc_TUV_ENVGroup_2[Ausnet],Calc_TUV_ENVGroup_2[[Cost item]:[Cost item]],$D249,Calc_TUV_ENVGroup_2[[Cost element]:[Cost element]],$G249)*($F$188/$F$189),8),
0,1))</f>
        <v>0</v>
      </c>
      <c r="I249" s="68">
        <f>IF(I213="-","-",
IF(
ROUND(I213,8)=
ROUND(SUMIFS(Calc_TUV_ENVGroup_2[Citipower],Calc_TUV_ENVGroup_2[[Cost item]:[Cost item]],$D249,Calc_TUV_ENVGroup_2[[Cost element]:[Cost element]],$G249)*($F$188/$F$189),8),
0,1))</f>
        <v>0</v>
      </c>
      <c r="J249" s="68">
        <f>IF(J213="-","-",
IF(
ROUND(J213,8)=
ROUND(SUMIFS(Calc_TUV_ENVGroup_2[Jemena],Calc_TUV_ENVGroup_2[[Cost item]:[Cost item]],$D249,Calc_TUV_ENVGroup_2[[Cost element]:[Cost element]],$G249)*($F$188/$F$189),8),
0,1))</f>
        <v>0</v>
      </c>
      <c r="K249" s="68">
        <f>IF(K213="-","-",
IF(
ROUND(K213,8)=
ROUND(SUMIFS(Calc_TUV_ENVGroup_2[Powercor],Calc_TUV_ENVGroup_2[[Cost item]:[Cost item]],$D249,Calc_TUV_ENVGroup_2[[Cost element]:[Cost element]],$G249)*($F$188/$F$189),8),
0,1))</f>
        <v>0</v>
      </c>
      <c r="L249" s="68">
        <f>IF(L213="-","-",
IF(
ROUND(L213,8)=
ROUND(SUMIFS(Calc_TUV_ENVGroup_2[United Energy],Calc_TUV_ENVGroup_2[[Cost item]:[Cost item]],$D249,Calc_TUV_ENVGroup_2[[Cost element]:[Cost element]],$G249)*($F$188/$F$189),8),
0,1))</f>
        <v>0</v>
      </c>
    </row>
    <row r="250" spans="3:12" ht="15.75" hidden="1" outlineLevel="1" x14ac:dyDescent="0.25">
      <c r="C250" s="42" t="s">
        <v>74</v>
      </c>
      <c r="D250" s="42" t="s">
        <v>484</v>
      </c>
      <c r="E250" s="42" t="s">
        <v>69</v>
      </c>
      <c r="F250" s="42" t="s">
        <v>66</v>
      </c>
      <c r="G250" s="42" t="s">
        <v>83</v>
      </c>
      <c r="H250" s="68">
        <f>IF(H214="-","-",
IF(
ROUND(H214,8)=
ROUND(SUMIFS(Calc_TUV_ENVGroup_2[Ausnet],Calc_TUV_ENVGroup_2[[Cost item]:[Cost item]],$D250,Calc_TUV_ENVGroup_2[[Cost element]:[Cost element]],$G250)*($F$188/$F$189),8),
0,1))</f>
        <v>0</v>
      </c>
      <c r="I250" s="68">
        <f>IF(I214="-","-",
IF(
ROUND(I214,8)=
ROUND(SUMIFS(Calc_TUV_ENVGroup_2[Citipower],Calc_TUV_ENVGroup_2[[Cost item]:[Cost item]],$D250,Calc_TUV_ENVGroup_2[[Cost element]:[Cost element]],$G250)*($F$188/$F$189),8),
0,1))</f>
        <v>0</v>
      </c>
      <c r="J250" s="68">
        <f>IF(J214="-","-",
IF(
ROUND(J214,8)=
ROUND(SUMIFS(Calc_TUV_ENVGroup_2[Jemena],Calc_TUV_ENVGroup_2[[Cost item]:[Cost item]],$D250,Calc_TUV_ENVGroup_2[[Cost element]:[Cost element]],$G250)*($F$188/$F$189),8),
0,1))</f>
        <v>0</v>
      </c>
      <c r="K250" s="68">
        <f>IF(K214="-","-",
IF(
ROUND(K214,8)=
ROUND(SUMIFS(Calc_TUV_ENVGroup_2[Powercor],Calc_TUV_ENVGroup_2[[Cost item]:[Cost item]],$D250,Calc_TUV_ENVGroup_2[[Cost element]:[Cost element]],$G250)*($F$188/$F$189),8),
0,1))</f>
        <v>0</v>
      </c>
      <c r="L250" s="68">
        <f>IF(L214="-","-",
IF(
ROUND(L214,8)=
ROUND(SUMIFS(Calc_TUV_ENVGroup_2[United Energy],Calc_TUV_ENVGroup_2[[Cost item]:[Cost item]],$D250,Calc_TUV_ENVGroup_2[[Cost element]:[Cost element]],$G250)*($F$188/$F$189),8),
0,1))</f>
        <v>0</v>
      </c>
    </row>
    <row r="251" spans="3:12" ht="15.75" hidden="1" outlineLevel="1" x14ac:dyDescent="0.25">
      <c r="C251" s="42" t="s">
        <v>74</v>
      </c>
      <c r="D251" s="42" t="s">
        <v>484</v>
      </c>
      <c r="E251" s="42" t="s">
        <v>69</v>
      </c>
      <c r="F251" s="42" t="s">
        <v>67</v>
      </c>
      <c r="G251" s="42" t="s">
        <v>83</v>
      </c>
      <c r="H251" s="68">
        <f>IF(H215="-","-",
IF(
ROUND(H215,8)=
ROUND(SUMIFS(Calc_TUV_ENVGroup_2[Ausnet],Calc_TUV_ENVGroup_2[[Cost item]:[Cost item]],$D251,Calc_TUV_ENVGroup_2[[Cost element]:[Cost element]],$G251)*($F$188/$F$189),8),
0,1))</f>
        <v>0</v>
      </c>
      <c r="I251" s="68">
        <f>IF(I215="-","-",
IF(
ROUND(I215,8)=
ROUND(SUMIFS(Calc_TUV_ENVGroup_2[Citipower],Calc_TUV_ENVGroup_2[[Cost item]:[Cost item]],$D251,Calc_TUV_ENVGroup_2[[Cost element]:[Cost element]],$G251)*($F$188/$F$189),8),
0,1))</f>
        <v>0</v>
      </c>
      <c r="J251" s="68">
        <f>IF(J215="-","-",
IF(
ROUND(J215,8)=
ROUND(SUMIFS(Calc_TUV_ENVGroup_2[Jemena],Calc_TUV_ENVGroup_2[[Cost item]:[Cost item]],$D251,Calc_TUV_ENVGroup_2[[Cost element]:[Cost element]],$G251)*($F$188/$F$189),8),
0,1))</f>
        <v>0</v>
      </c>
      <c r="K251" s="68">
        <f>IF(K215="-","-",
IF(
ROUND(K215,8)=
ROUND(SUMIFS(Calc_TUV_ENVGroup_2[Powercor],Calc_TUV_ENVGroup_2[[Cost item]:[Cost item]],$D251,Calc_TUV_ENVGroup_2[[Cost element]:[Cost element]],$G251)*($F$188/$F$189),8),
0,1))</f>
        <v>0</v>
      </c>
      <c r="L251" s="68">
        <f>IF(L215="-","-",
IF(
ROUND(L215,8)=
ROUND(SUMIFS(Calc_TUV_ENVGroup_2[United Energy],Calc_TUV_ENVGroup_2[[Cost item]:[Cost item]],$D251,Calc_TUV_ENVGroup_2[[Cost element]:[Cost element]],$G251)*($F$188/$F$189),8),
0,1))</f>
        <v>0</v>
      </c>
    </row>
    <row r="252" spans="3:12" ht="15.75" hidden="1" outlineLevel="1" x14ac:dyDescent="0.25">
      <c r="C252" s="42" t="s">
        <v>71</v>
      </c>
      <c r="D252" s="42" t="s">
        <v>485</v>
      </c>
      <c r="E252" s="42" t="s">
        <v>69</v>
      </c>
      <c r="F252" s="42" t="s">
        <v>66</v>
      </c>
      <c r="G252" s="42" t="s">
        <v>83</v>
      </c>
      <c r="H252" s="68" t="str">
        <f>IF(H216="-","-",
IF(
ROUND(H216,8)=
ROUND(SUMIFS(Calc_TUV_ENVGroup_2[Ausnet],Calc_TUV_ENVGroup_2[[Cost item]:[Cost item]],$D252,Calc_TUV_ENVGroup_2[[Cost element]:[Cost element]],$G252)*($F$188/$F$189),8),
0,1))</f>
        <v>-</v>
      </c>
      <c r="I252" s="68">
        <f>IF(I216="-","-",
IF(
ROUND(I216,8)=
ROUND(SUMIFS(Calc_TUV_ENVGroup_2[Citipower],Calc_TUV_ENVGroup_2[[Cost item]:[Cost item]],$D252,Calc_TUV_ENVGroup_2[[Cost element]:[Cost element]],$G252)*($F$188/$F$189),8),
0,1))</f>
        <v>0</v>
      </c>
      <c r="J252" s="68">
        <f>IF(J216="-","-",
IF(
ROUND(J216,8)=
ROUND(SUMIFS(Calc_TUV_ENVGroup_2[Jemena],Calc_TUV_ENVGroup_2[[Cost item]:[Cost item]],$D252,Calc_TUV_ENVGroup_2[[Cost element]:[Cost element]],$G252)*($F$188/$F$189),8),
0,1))</f>
        <v>0</v>
      </c>
      <c r="K252" s="68">
        <f>IF(K216="-","-",
IF(
ROUND(K216,8)=
ROUND(SUMIFS(Calc_TUV_ENVGroup_2[Powercor],Calc_TUV_ENVGroup_2[[Cost item]:[Cost item]],$D252,Calc_TUV_ENVGroup_2[[Cost element]:[Cost element]],$G252)*($F$188/$F$189),8),
0,1))</f>
        <v>0</v>
      </c>
      <c r="L252" s="68">
        <f>IF(L216="-","-",
IF(
ROUND(L216,8)=
ROUND(SUMIFS(Calc_TUV_ENVGroup_2[United Energy],Calc_TUV_ENVGroup_2[[Cost item]:[Cost item]],$D252,Calc_TUV_ENVGroup_2[[Cost element]:[Cost element]],$G252)*($F$188/$F$189),8),
0,1))</f>
        <v>0</v>
      </c>
    </row>
    <row r="253" spans="3:12" ht="15.75" hidden="1" outlineLevel="1" x14ac:dyDescent="0.25">
      <c r="C253" s="42" t="s">
        <v>71</v>
      </c>
      <c r="D253" s="42" t="s">
        <v>485</v>
      </c>
      <c r="E253" s="42" t="s">
        <v>69</v>
      </c>
      <c r="F253" s="42" t="s">
        <v>67</v>
      </c>
      <c r="G253" s="42" t="s">
        <v>83</v>
      </c>
      <c r="H253" s="68" t="str">
        <f>IF(H217="-","-",
IF(
ROUND(H217,8)=
ROUND(SUMIFS(Calc_TUV_ENVGroup_2[Ausnet],Calc_TUV_ENVGroup_2[[Cost item]:[Cost item]],$D253,Calc_TUV_ENVGroup_2[[Cost element]:[Cost element]],$G253)*($F$188/$F$189),8),
0,1))</f>
        <v>-</v>
      </c>
      <c r="I253" s="68">
        <f>IF(I217="-","-",
IF(
ROUND(I217,8)=
ROUND(SUMIFS(Calc_TUV_ENVGroup_2[Citipower],Calc_TUV_ENVGroup_2[[Cost item]:[Cost item]],$D253,Calc_TUV_ENVGroup_2[[Cost element]:[Cost element]],$G253)*($F$188/$F$189),8),
0,1))</f>
        <v>0</v>
      </c>
      <c r="J253" s="68">
        <f>IF(J217="-","-",
IF(
ROUND(J217,8)=
ROUND(SUMIFS(Calc_TUV_ENVGroup_2[Jemena],Calc_TUV_ENVGroup_2[[Cost item]:[Cost item]],$D253,Calc_TUV_ENVGroup_2[[Cost element]:[Cost element]],$G253)*($F$188/$F$189),8),
0,1))</f>
        <v>0</v>
      </c>
      <c r="K253" s="68">
        <f>IF(K217="-","-",
IF(
ROUND(K217,8)=
ROUND(SUMIFS(Calc_TUV_ENVGroup_2[Powercor],Calc_TUV_ENVGroup_2[[Cost item]:[Cost item]],$D253,Calc_TUV_ENVGroup_2[[Cost element]:[Cost element]],$G253)*($F$188/$F$189),8),
0,1))</f>
        <v>0</v>
      </c>
      <c r="L253" s="68">
        <f>IF(L217="-","-",
IF(
ROUND(L217,8)=
ROUND(SUMIFS(Calc_TUV_ENVGroup_2[United Energy],Calc_TUV_ENVGroup_2[[Cost item]:[Cost item]],$D253,Calc_TUV_ENVGroup_2[[Cost element]:[Cost element]],$G253)*($F$188/$F$189),8),
0,1))</f>
        <v>0</v>
      </c>
    </row>
    <row r="254" spans="3:12" ht="15.75" hidden="1" outlineLevel="1" x14ac:dyDescent="0.25">
      <c r="C254" s="42" t="s">
        <v>68</v>
      </c>
      <c r="D254" s="42" t="s">
        <v>485</v>
      </c>
      <c r="E254" s="42" t="s">
        <v>69</v>
      </c>
      <c r="F254" s="42" t="s">
        <v>66</v>
      </c>
      <c r="G254" s="42" t="s">
        <v>83</v>
      </c>
      <c r="H254" s="68">
        <f>IF(H218="-","-",
IF(
ROUND(H218,8)=
ROUND(SUMIFS(Calc_TUV_ENVGroup_2[Ausnet],Calc_TUV_ENVGroup_2[[Cost item]:[Cost item]],$D254,Calc_TUV_ENVGroup_2[[Cost element]:[Cost element]],$G254)*($F$188/$F$189),8),
0,1))</f>
        <v>0</v>
      </c>
      <c r="I254" s="68" t="str">
        <f>IF(I218="-","-",
IF(
ROUND(I218,8)=
ROUND(SUMIFS(Calc_TUV_ENVGroup_2[Citipower],Calc_TUV_ENVGroup_2[[Cost item]:[Cost item]],$D254,Calc_TUV_ENVGroup_2[[Cost element]:[Cost element]],$G254)*($F$188/$F$189),8),
0,1))</f>
        <v>-</v>
      </c>
      <c r="J254" s="68" t="str">
        <f>IF(J218="-","-",
IF(
ROUND(J218,8)=
ROUND(SUMIFS(Calc_TUV_ENVGroup_2[Jemena],Calc_TUV_ENVGroup_2[[Cost item]:[Cost item]],$D254,Calc_TUV_ENVGroup_2[[Cost element]:[Cost element]],$G254)*($F$188/$F$189),8),
0,1))</f>
        <v>-</v>
      </c>
      <c r="K254" s="68" t="str">
        <f>IF(K218="-","-",
IF(
ROUND(K218,8)=
ROUND(SUMIFS(Calc_TUV_ENVGroup_2[Powercor],Calc_TUV_ENVGroup_2[[Cost item]:[Cost item]],$D254,Calc_TUV_ENVGroup_2[[Cost element]:[Cost element]],$G254)*($F$188/$F$189),8),
0,1))</f>
        <v>-</v>
      </c>
      <c r="L254" s="68" t="str">
        <f>IF(L218="-","-",
IF(
ROUND(L218,8)=
ROUND(SUMIFS(Calc_TUV_ENVGroup_2[United Energy],Calc_TUV_ENVGroup_2[[Cost item]:[Cost item]],$D254,Calc_TUV_ENVGroup_2[[Cost element]:[Cost element]],$G254)*($F$188/$F$189),8),
0,1))</f>
        <v>-</v>
      </c>
    </row>
    <row r="255" spans="3:12" ht="15.75" hidden="1" outlineLevel="1" x14ac:dyDescent="0.25">
      <c r="C255" s="42" t="s">
        <v>68</v>
      </c>
      <c r="D255" s="42" t="s">
        <v>485</v>
      </c>
      <c r="E255" s="42" t="s">
        <v>69</v>
      </c>
      <c r="F255" s="42" t="s">
        <v>67</v>
      </c>
      <c r="G255" s="42" t="s">
        <v>83</v>
      </c>
      <c r="H255" s="68">
        <f>IF(H219="-","-",
IF(
ROUND(H219,8)=
ROUND(SUMIFS(Calc_TUV_ENVGroup_2[Ausnet],Calc_TUV_ENVGroup_2[[Cost item]:[Cost item]],$D255,Calc_TUV_ENVGroup_2[[Cost element]:[Cost element]],$G255)*($F$188/$F$189),8),
0,1))</f>
        <v>0</v>
      </c>
      <c r="I255" s="68" t="str">
        <f>IF(I219="-","-",
IF(
ROUND(I219,8)=
ROUND(SUMIFS(Calc_TUV_ENVGroup_2[Citipower],Calc_TUV_ENVGroup_2[[Cost item]:[Cost item]],$D255,Calc_TUV_ENVGroup_2[[Cost element]:[Cost element]],$G255)*($F$188/$F$189),8),
0,1))</f>
        <v>-</v>
      </c>
      <c r="J255" s="68" t="str">
        <f>IF(J219="-","-",
IF(
ROUND(J219,8)=
ROUND(SUMIFS(Calc_TUV_ENVGroup_2[Jemena],Calc_TUV_ENVGroup_2[[Cost item]:[Cost item]],$D255,Calc_TUV_ENVGroup_2[[Cost element]:[Cost element]],$G255)*($F$188/$F$189),8),
0,1))</f>
        <v>-</v>
      </c>
      <c r="K255" s="68" t="str">
        <f>IF(K219="-","-",
IF(
ROUND(K219,8)=
ROUND(SUMIFS(Calc_TUV_ENVGroup_2[Powercor],Calc_TUV_ENVGroup_2[[Cost item]:[Cost item]],$D255,Calc_TUV_ENVGroup_2[[Cost element]:[Cost element]],$G255)*($F$188/$F$189),8),
0,1))</f>
        <v>-</v>
      </c>
      <c r="L255" s="68" t="str">
        <f>IF(L219="-","-",
IF(
ROUND(L219,8)=
ROUND(SUMIFS(Calc_TUV_ENVGroup_2[United Energy],Calc_TUV_ENVGroup_2[[Cost item]:[Cost item]],$D255,Calc_TUV_ENVGroup_2[[Cost element]:[Cost element]],$G255)*($F$188/$F$189),8),
0,1))</f>
        <v>-</v>
      </c>
    </row>
    <row r="256" spans="3:12" ht="15.75" hidden="1" outlineLevel="1" x14ac:dyDescent="0.25">
      <c r="C256" s="42" t="s">
        <v>75</v>
      </c>
      <c r="D256" s="42" t="s">
        <v>485</v>
      </c>
      <c r="E256" s="42" t="s">
        <v>69</v>
      </c>
      <c r="F256" s="42" t="s">
        <v>66</v>
      </c>
      <c r="G256" s="42" t="s">
        <v>83</v>
      </c>
      <c r="H256" s="68">
        <f>IF(H220="-","-",
IF(
ROUND(H220,8)=
ROUND(SUMIFS(Calc_TUV_ENVGroup_2[Ausnet],Calc_TUV_ENVGroup_2[[Cost item]:[Cost item]],$D256,Calc_TUV_ENVGroup_2[[Cost element]:[Cost element]],$G256)*($F$188/$F$189),8),
0,1))</f>
        <v>0</v>
      </c>
      <c r="I256" s="68">
        <f>IF(I220="-","-",
IF(
ROUND(I220,8)=
ROUND(SUMIFS(Calc_TUV_ENVGroup_2[Citipower],Calc_TUV_ENVGroup_2[[Cost item]:[Cost item]],$D256,Calc_TUV_ENVGroup_2[[Cost element]:[Cost element]],$G256)*($F$188/$F$189),8),
0,1))</f>
        <v>0</v>
      </c>
      <c r="J256" s="68">
        <f>IF(J220="-","-",
IF(
ROUND(J220,8)=
ROUND(SUMIFS(Calc_TUV_ENVGroup_2[Jemena],Calc_TUV_ENVGroup_2[[Cost item]:[Cost item]],$D256,Calc_TUV_ENVGroup_2[[Cost element]:[Cost element]],$G256)*($F$188/$F$189),8),
0,1))</f>
        <v>0</v>
      </c>
      <c r="K256" s="68">
        <f>IF(K220="-","-",
IF(
ROUND(K220,8)=
ROUND(SUMIFS(Calc_TUV_ENVGroup_2[Powercor],Calc_TUV_ENVGroup_2[[Cost item]:[Cost item]],$D256,Calc_TUV_ENVGroup_2[[Cost element]:[Cost element]],$G256)*($F$188/$F$189),8),
0,1))</f>
        <v>0</v>
      </c>
      <c r="L256" s="68">
        <f>IF(L220="-","-",
IF(
ROUND(L220,8)=
ROUND(SUMIFS(Calc_TUV_ENVGroup_2[United Energy],Calc_TUV_ENVGroup_2[[Cost item]:[Cost item]],$D256,Calc_TUV_ENVGroup_2[[Cost element]:[Cost element]],$G256)*($F$188/$F$189),8),
0,1))</f>
        <v>0</v>
      </c>
    </row>
    <row r="257" spans="3:12" ht="15.75" hidden="1" outlineLevel="1" x14ac:dyDescent="0.25">
      <c r="C257" s="42" t="s">
        <v>70</v>
      </c>
      <c r="D257" s="42" t="s">
        <v>485</v>
      </c>
      <c r="E257" s="42" t="s">
        <v>69</v>
      </c>
      <c r="F257" s="42" t="s">
        <v>66</v>
      </c>
      <c r="G257" s="42" t="s">
        <v>83</v>
      </c>
      <c r="H257" s="68">
        <f>IF(H221="-","-",
IF(
ROUND(H221,8)=
ROUND(SUMIFS(Calc_TUV_ENVGroup_2[Ausnet],Calc_TUV_ENVGroup_2[[Cost item]:[Cost item]],$D257,Calc_TUV_ENVGroup_2[[Cost element]:[Cost element]],$G257)*($F$188/$F$189),8),
0,1))</f>
        <v>0</v>
      </c>
      <c r="I257" s="68" t="str">
        <f>IF(I221="-","-",
IF(
ROUND(I221,8)=
ROUND(SUMIFS(Calc_TUV_ENVGroup_2[Citipower],Calc_TUV_ENVGroup_2[[Cost item]:[Cost item]],$D257,Calc_TUV_ENVGroup_2[[Cost element]:[Cost element]],$G257)*($F$188/$F$189),8),
0,1))</f>
        <v>-</v>
      </c>
      <c r="J257" s="68" t="str">
        <f>IF(J221="-","-",
IF(
ROUND(J221,8)=
ROUND(SUMIFS(Calc_TUV_ENVGroup_2[Jemena],Calc_TUV_ENVGroup_2[[Cost item]:[Cost item]],$D257,Calc_TUV_ENVGroup_2[[Cost element]:[Cost element]],$G257)*($F$188/$F$189),8),
0,1))</f>
        <v>-</v>
      </c>
      <c r="K257" s="68" t="str">
        <f>IF(K221="-","-",
IF(
ROUND(K221,8)=
ROUND(SUMIFS(Calc_TUV_ENVGroup_2[Powercor],Calc_TUV_ENVGroup_2[[Cost item]:[Cost item]],$D257,Calc_TUV_ENVGroup_2[[Cost element]:[Cost element]],$G257)*($F$188/$F$189),8),
0,1))</f>
        <v>-</v>
      </c>
      <c r="L257" s="68" t="str">
        <f>IF(L221="-","-",
IF(
ROUND(L221,8)=
ROUND(SUMIFS(Calc_TUV_ENVGroup_2[United Energy],Calc_TUV_ENVGroup_2[[Cost item]:[Cost item]],$D257,Calc_TUV_ENVGroup_2[[Cost element]:[Cost element]],$G257)*($F$188/$F$189),8),
0,1))</f>
        <v>-</v>
      </c>
    </row>
    <row r="258" spans="3:12" ht="15.75" hidden="1" outlineLevel="1" x14ac:dyDescent="0.25">
      <c r="C258" s="42" t="s">
        <v>70</v>
      </c>
      <c r="D258" s="42" t="s">
        <v>485</v>
      </c>
      <c r="E258" s="42" t="s">
        <v>69</v>
      </c>
      <c r="F258" s="42" t="s">
        <v>67</v>
      </c>
      <c r="G258" s="42" t="s">
        <v>83</v>
      </c>
      <c r="H258" s="68">
        <f>IF(H222="-","-",
IF(
ROUND(H222,8)=
ROUND(SUMIFS(Calc_TUV_ENVGroup_2[Ausnet],Calc_TUV_ENVGroup_2[[Cost item]:[Cost item]],$D258,Calc_TUV_ENVGroup_2[[Cost element]:[Cost element]],$G258)*($F$188/$F$189),8),
0,1))</f>
        <v>0</v>
      </c>
      <c r="I258" s="68" t="str">
        <f>IF(I222="-","-",
IF(
ROUND(I222,8)=
ROUND(SUMIFS(Calc_TUV_ENVGroup_2[Citipower],Calc_TUV_ENVGroup_2[[Cost item]:[Cost item]],$D258,Calc_TUV_ENVGroup_2[[Cost element]:[Cost element]],$G258)*($F$188/$F$189),8),
0,1))</f>
        <v>-</v>
      </c>
      <c r="J258" s="68" t="str">
        <f>IF(J222="-","-",
IF(
ROUND(J222,8)=
ROUND(SUMIFS(Calc_TUV_ENVGroup_2[Jemena],Calc_TUV_ENVGroup_2[[Cost item]:[Cost item]],$D258,Calc_TUV_ENVGroup_2[[Cost element]:[Cost element]],$G258)*($F$188/$F$189),8),
0,1))</f>
        <v>-</v>
      </c>
      <c r="K258" s="68" t="str">
        <f>IF(K222="-","-",
IF(
ROUND(K222,8)=
ROUND(SUMIFS(Calc_TUV_ENVGroup_2[Powercor],Calc_TUV_ENVGroup_2[[Cost item]:[Cost item]],$D258,Calc_TUV_ENVGroup_2[[Cost element]:[Cost element]],$G258)*($F$188/$F$189),8),
0,1))</f>
        <v>-</v>
      </c>
      <c r="L258" s="68" t="str">
        <f>IF(L222="-","-",
IF(
ROUND(L222,8)=
ROUND(SUMIFS(Calc_TUV_ENVGroup_2[United Energy],Calc_TUV_ENVGroup_2[[Cost item]:[Cost item]],$D258,Calc_TUV_ENVGroup_2[[Cost element]:[Cost element]],$G258)*($F$188/$F$189),8),
0,1))</f>
        <v>-</v>
      </c>
    </row>
    <row r="259" spans="3:12" ht="15.75" hidden="1" outlineLevel="1" x14ac:dyDescent="0.25">
      <c r="C259" s="42" t="s">
        <v>73</v>
      </c>
      <c r="D259" s="42" t="s">
        <v>485</v>
      </c>
      <c r="E259" s="42" t="s">
        <v>69</v>
      </c>
      <c r="F259" s="42" t="s">
        <v>66</v>
      </c>
      <c r="G259" s="42" t="s">
        <v>83</v>
      </c>
      <c r="H259" s="68">
        <f>IF(H223="-","-",
IF(
ROUND(H223,8)=
ROUND(SUMIFS(Calc_TUV_ENVGroup_2[Ausnet],Calc_TUV_ENVGroup_2[[Cost item]:[Cost item]],$D259,Calc_TUV_ENVGroup_2[[Cost element]:[Cost element]],$G259)*($F$188/$F$189),8),
0,1))</f>
        <v>0</v>
      </c>
      <c r="I259" s="68">
        <f>IF(I223="-","-",
IF(
ROUND(I223,8)=
ROUND(SUMIFS(Calc_TUV_ENVGroup_2[Citipower],Calc_TUV_ENVGroup_2[[Cost item]:[Cost item]],$D259,Calc_TUV_ENVGroup_2[[Cost element]:[Cost element]],$G259)*($F$188/$F$189),8),
0,1))</f>
        <v>0</v>
      </c>
      <c r="J259" s="68">
        <f>IF(J223="-","-",
IF(
ROUND(J223,8)=
ROUND(SUMIFS(Calc_TUV_ENVGroup_2[Jemena],Calc_TUV_ENVGroup_2[[Cost item]:[Cost item]],$D259,Calc_TUV_ENVGroup_2[[Cost element]:[Cost element]],$G259)*($F$188/$F$189),8),
0,1))</f>
        <v>0</v>
      </c>
      <c r="K259" s="68">
        <f>IF(K223="-","-",
IF(
ROUND(K223,8)=
ROUND(SUMIFS(Calc_TUV_ENVGroup_2[Powercor],Calc_TUV_ENVGroup_2[[Cost item]:[Cost item]],$D259,Calc_TUV_ENVGroup_2[[Cost element]:[Cost element]],$G259)*($F$188/$F$189),8),
0,1))</f>
        <v>0</v>
      </c>
      <c r="L259" s="68">
        <f>IF(L223="-","-",
IF(
ROUND(L223,8)=
ROUND(SUMIFS(Calc_TUV_ENVGroup_2[United Energy],Calc_TUV_ENVGroup_2[[Cost item]:[Cost item]],$D259,Calc_TUV_ENVGroup_2[[Cost element]:[Cost element]],$G259)*($F$188/$F$189),8),
0,1))</f>
        <v>0</v>
      </c>
    </row>
    <row r="260" spans="3:12" ht="15.75" hidden="1" outlineLevel="1" x14ac:dyDescent="0.25">
      <c r="C260" s="42" t="s">
        <v>73</v>
      </c>
      <c r="D260" s="42" t="s">
        <v>485</v>
      </c>
      <c r="E260" s="42" t="s">
        <v>69</v>
      </c>
      <c r="F260" s="42" t="s">
        <v>67</v>
      </c>
      <c r="G260" s="42" t="s">
        <v>83</v>
      </c>
      <c r="H260" s="68">
        <f>IF(H224="-","-",
IF(
ROUND(H224,8)=
ROUND(SUMIFS(Calc_TUV_ENVGroup_2[Ausnet],Calc_TUV_ENVGroup_2[[Cost item]:[Cost item]],$D260,Calc_TUV_ENVGroup_2[[Cost element]:[Cost element]],$G260)*($F$188/$F$189),8),
0,1))</f>
        <v>0</v>
      </c>
      <c r="I260" s="68">
        <f>IF(I224="-","-",
IF(
ROUND(I224,8)=
ROUND(SUMIFS(Calc_TUV_ENVGroup_2[Citipower],Calc_TUV_ENVGroup_2[[Cost item]:[Cost item]],$D260,Calc_TUV_ENVGroup_2[[Cost element]:[Cost element]],$G260)*($F$188/$F$189),8),
0,1))</f>
        <v>0</v>
      </c>
      <c r="J260" s="68">
        <f>IF(J224="-","-",
IF(
ROUND(J224,8)=
ROUND(SUMIFS(Calc_TUV_ENVGroup_2[Jemena],Calc_TUV_ENVGroup_2[[Cost item]:[Cost item]],$D260,Calc_TUV_ENVGroup_2[[Cost element]:[Cost element]],$G260)*($F$188/$F$189),8),
0,1))</f>
        <v>0</v>
      </c>
      <c r="K260" s="68">
        <f>IF(K224="-","-",
IF(
ROUND(K224,8)=
ROUND(SUMIFS(Calc_TUV_ENVGroup_2[Powercor],Calc_TUV_ENVGroup_2[[Cost item]:[Cost item]],$D260,Calc_TUV_ENVGroup_2[[Cost element]:[Cost element]],$G260)*($F$188/$F$189),8),
0,1))</f>
        <v>0</v>
      </c>
      <c r="L260" s="68">
        <f>IF(L224="-","-",
IF(
ROUND(L224,8)=
ROUND(SUMIFS(Calc_TUV_ENVGroup_2[United Energy],Calc_TUV_ENVGroup_2[[Cost item]:[Cost item]],$D260,Calc_TUV_ENVGroup_2[[Cost element]:[Cost element]],$G260)*($F$188/$F$189),8),
0,1))</f>
        <v>0</v>
      </c>
    </row>
    <row r="261" spans="3:12" ht="15.75" hidden="1" outlineLevel="1" x14ac:dyDescent="0.25">
      <c r="C261" s="42" t="s">
        <v>74</v>
      </c>
      <c r="D261" s="42" t="s">
        <v>485</v>
      </c>
      <c r="E261" s="42" t="s">
        <v>69</v>
      </c>
      <c r="F261" s="42" t="s">
        <v>66</v>
      </c>
      <c r="G261" s="42" t="s">
        <v>83</v>
      </c>
      <c r="H261" s="68">
        <f>IF(H225="-","-",
IF(
ROUND(H225,8)=
ROUND(SUMIFS(Calc_TUV_ENVGroup_2[Ausnet],Calc_TUV_ENVGroup_2[[Cost item]:[Cost item]],$D261,Calc_TUV_ENVGroup_2[[Cost element]:[Cost element]],$G261)*($F$188/$F$189),8),
0,1))</f>
        <v>0</v>
      </c>
      <c r="I261" s="68">
        <f>IF(I225="-","-",
IF(
ROUND(I225,8)=
ROUND(SUMIFS(Calc_TUV_ENVGroup_2[Citipower],Calc_TUV_ENVGroup_2[[Cost item]:[Cost item]],$D261,Calc_TUV_ENVGroup_2[[Cost element]:[Cost element]],$G261)*($F$188/$F$189),8),
0,1))</f>
        <v>0</v>
      </c>
      <c r="J261" s="68">
        <f>IF(J225="-","-",
IF(
ROUND(J225,8)=
ROUND(SUMIFS(Calc_TUV_ENVGroup_2[Jemena],Calc_TUV_ENVGroup_2[[Cost item]:[Cost item]],$D261,Calc_TUV_ENVGroup_2[[Cost element]:[Cost element]],$G261)*($F$188/$F$189),8),
0,1))</f>
        <v>0</v>
      </c>
      <c r="K261" s="68">
        <f>IF(K225="-","-",
IF(
ROUND(K225,8)=
ROUND(SUMIFS(Calc_TUV_ENVGroup_2[Powercor],Calc_TUV_ENVGroup_2[[Cost item]:[Cost item]],$D261,Calc_TUV_ENVGroup_2[[Cost element]:[Cost element]],$G261)*($F$188/$F$189),8),
0,1))</f>
        <v>0</v>
      </c>
      <c r="L261" s="68">
        <f>IF(L225="-","-",
IF(
ROUND(L225,8)=
ROUND(SUMIFS(Calc_TUV_ENVGroup_2[United Energy],Calc_TUV_ENVGroup_2[[Cost item]:[Cost item]],$D261,Calc_TUV_ENVGroup_2[[Cost element]:[Cost element]],$G261)*($F$188/$F$189),8),
0,1))</f>
        <v>0</v>
      </c>
    </row>
    <row r="262" spans="3:12" ht="15.75" hidden="1" outlineLevel="1" x14ac:dyDescent="0.25">
      <c r="C262" s="42" t="s">
        <v>74</v>
      </c>
      <c r="D262" s="42" t="s">
        <v>485</v>
      </c>
      <c r="E262" s="42" t="s">
        <v>69</v>
      </c>
      <c r="F262" s="42" t="s">
        <v>67</v>
      </c>
      <c r="G262" s="42" t="s">
        <v>83</v>
      </c>
      <c r="H262" s="68">
        <f>IF(H226="-","-",
IF(
ROUND(H226,8)=
ROUND(SUMIFS(Calc_TUV_ENVGroup_2[Ausnet],Calc_TUV_ENVGroup_2[[Cost item]:[Cost item]],$D262,Calc_TUV_ENVGroup_2[[Cost element]:[Cost element]],$G262)*($F$188/$F$189),8),
0,1))</f>
        <v>0</v>
      </c>
      <c r="I262" s="68">
        <f>IF(I226="-","-",
IF(
ROUND(I226,8)=
ROUND(SUMIFS(Calc_TUV_ENVGroup_2[Citipower],Calc_TUV_ENVGroup_2[[Cost item]:[Cost item]],$D262,Calc_TUV_ENVGroup_2[[Cost element]:[Cost element]],$G262)*($F$188/$F$189),8),
0,1))</f>
        <v>0</v>
      </c>
      <c r="J262" s="68">
        <f>IF(J226="-","-",
IF(
ROUND(J226,8)=
ROUND(SUMIFS(Calc_TUV_ENVGroup_2[Jemena],Calc_TUV_ENVGroup_2[[Cost item]:[Cost item]],$D262,Calc_TUV_ENVGroup_2[[Cost element]:[Cost element]],$G262)*($F$188/$F$189),8),
0,1))</f>
        <v>0</v>
      </c>
      <c r="K262" s="68">
        <f>IF(K226="-","-",
IF(
ROUND(K226,8)=
ROUND(SUMIFS(Calc_TUV_ENVGroup_2[Powercor],Calc_TUV_ENVGroup_2[[Cost item]:[Cost item]],$D262,Calc_TUV_ENVGroup_2[[Cost element]:[Cost element]],$G262)*($F$188/$F$189),8),
0,1))</f>
        <v>0</v>
      </c>
      <c r="L262" s="68">
        <f>IF(L226="-","-",
IF(
ROUND(L226,8)=
ROUND(SUMIFS(Calc_TUV_ENVGroup_2[United Energy],Calc_TUV_ENVGroup_2[[Cost item]:[Cost item]],$D262,Calc_TUV_ENVGroup_2[[Cost element]:[Cost element]],$G262)*($F$188/$F$189),8),
0,1))</f>
        <v>0</v>
      </c>
    </row>
    <row r="264" spans="3:12" x14ac:dyDescent="0.25">
      <c r="H264" s="56"/>
      <c r="I264" s="56"/>
      <c r="J264" s="56"/>
      <c r="K264" s="56"/>
      <c r="L264" s="56"/>
    </row>
    <row r="267" spans="3:12" x14ac:dyDescent="0.25">
      <c r="H267" s="62"/>
    </row>
  </sheetData>
  <sheetProtection algorithmName="SHA-512" hashValue="f80G7IMTaQoH9xlDdhqnmGrSyE2nn/bP67PQ/3dOXLpIUGfAlb+QVrOmx/xDA1w2D8ZBYvTrKpCQlH+0lmqLnQ==" saltValue="RvlsFm8qj2yfqWLxKuU0XA==" spinCount="100000" sheet="1" objects="1" scenarios="1"/>
  <autoFilter ref="C99:L132" xr:uid="{2F386CEB-3301-4A59-8593-A05FFA1D9B81}">
    <sortState xmlns:xlrd2="http://schemas.microsoft.com/office/spreadsheetml/2017/richdata2" ref="C100:L132">
      <sortCondition ref="F99:F132"/>
    </sortState>
  </autoFilter>
  <mergeCells count="1">
    <mergeCell ref="A2:A3"/>
  </mergeCells>
  <phoneticPr fontId="30" type="noConversion"/>
  <pageMargins left="0.7" right="0.7" top="0.75" bottom="0.75" header="0.3" footer="0.3"/>
  <pageSetup paperSize="9" orientation="portrait" r:id="rId1"/>
  <headerFooter>
    <oddHeader>&amp;C&amp;B&amp;"Arial"&amp;12&amp;Kff0000​‌OFFICIAL‌​</oddHeader>
  </headerFooter>
  <ignoredErrors>
    <ignoredError sqref="E165" formula="1"/>
  </ignoredErrors>
  <tableParts count="10">
    <tablePart r:id="rId2"/>
    <tablePart r:id="rId3"/>
    <tablePart r:id="rId4"/>
    <tablePart r:id="rId5"/>
    <tablePart r:id="rId6"/>
    <tablePart r:id="rId7"/>
    <tablePart r:id="rId8"/>
    <tablePart r:id="rId9"/>
    <tablePart r:id="rId10"/>
    <tablePart r:id="rId11"/>
  </tableParts>
  <extLst>
    <ext xmlns:x14="http://schemas.microsoft.com/office/spreadsheetml/2009/9/main" uri="{CCE6A557-97BC-4b89-ADB6-D9C93CAAB3DF}">
      <x14:dataValidations xmlns:xm="http://schemas.microsoft.com/office/excel/2006/main" count="3">
        <x14:dataValidation type="list" allowBlank="1" showInputMessage="1" showErrorMessage="1" xr:uid="{6617A46C-B968-43BA-9E13-719722B65CFE}">
          <x14:formula1>
            <xm:f>'Lookup refs'!$G$8:$G$10</xm:f>
          </x14:formula1>
          <xm:sqref>F64:F96 F100:F132 F184:F186 F11:F19 F98 F178:F179 F141:F149 F194:F226 F228 F54:F56 F230:F262 F170:F172 F158:F162 F28:F32 F40:F42</xm:sqref>
        </x14:dataValidation>
        <x14:dataValidation type="list" allowBlank="1" showInputMessage="1" showErrorMessage="1" xr:uid="{24461534-7B65-4CD7-AC66-5EE85C5EAA2D}">
          <x14:formula1>
            <xm:f>'Lookup refs'!$E$8:$E$20</xm:f>
          </x14:formula1>
          <xm:sqref>E184:E186 E100:E132 E64:E96 E11:E19 E98 E178:E179 E141:E149 E230:E262 E194:E226 E228 E54:E56 E170:E172 E158:E162 E28:E32 E40:E42</xm:sqref>
        </x14:dataValidation>
        <x14:dataValidation type="list" allowBlank="1" showInputMessage="1" showErrorMessage="1" xr:uid="{C6CFE2F4-435E-4577-9383-0CE7F7F69F73}">
          <x14:formula1>
            <xm:f>'Lookup refs'!$C$8:$C$10</xm:f>
          </x14:formula1>
          <xm:sqref>D184:D186 D98 D11:D19 D178:D179 D141:D149 D228 D54:D56 D170:D172 D158:D162 D28:D32 D40:D42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63A0-A632-4C6A-AD23-D09871669E5A}">
  <sheetPr>
    <tabColor rgb="FFFFB13F"/>
    <pageSetUpPr autoPageBreaks="0"/>
  </sheetPr>
  <dimension ref="A1:X108"/>
  <sheetViews>
    <sheetView showGridLines="0" topLeftCell="B1" zoomScale="85" zoomScaleNormal="85" workbookViewId="0">
      <pane ySplit="3" topLeftCell="A4" activePane="bottomLeft" state="frozen"/>
      <selection activeCell="B33" sqref="B33"/>
      <selection pane="bottomLeft" activeCell="B6" sqref="B6:Q109"/>
    </sheetView>
  </sheetViews>
  <sheetFormatPr defaultColWidth="9.42578125" defaultRowHeight="15" outlineLevelRow="1" outlineLevelCol="1" x14ac:dyDescent="0.25"/>
  <cols>
    <col min="1" max="1" width="100.5703125" hidden="1" customWidth="1" outlineLevel="1"/>
    <col min="2" max="2" width="10.5703125" style="5" customWidth="1" collapsed="1"/>
    <col min="3" max="11" width="25.5703125" customWidth="1"/>
    <col min="12" max="12" width="19.28515625" customWidth="1"/>
    <col min="13" max="13" width="15.85546875" customWidth="1"/>
    <col min="14" max="14" width="14.140625" customWidth="1"/>
    <col min="15" max="16" width="13.140625" customWidth="1"/>
    <col min="17" max="17" width="25.5703125" customWidth="1"/>
    <col min="18" max="18" width="5.5703125" customWidth="1"/>
    <col min="19" max="19" width="11.42578125" bestFit="1" customWidth="1"/>
    <col min="22" max="22" width="13.42578125" bestFit="1" customWidth="1"/>
  </cols>
  <sheetData>
    <row r="1" spans="1:18" ht="15" customHeight="1" x14ac:dyDescent="0.25">
      <c r="A1" s="1" t="s">
        <v>32</v>
      </c>
      <c r="B1" s="16"/>
      <c r="C1" s="17"/>
      <c r="D1" s="17"/>
      <c r="E1" s="17"/>
      <c r="F1" s="87" t="s">
        <v>52</v>
      </c>
      <c r="G1" s="70"/>
      <c r="H1" s="17"/>
      <c r="I1" s="17"/>
      <c r="J1" s="17"/>
      <c r="K1" s="17"/>
      <c r="L1" s="17"/>
      <c r="M1" s="17"/>
      <c r="N1" s="17"/>
      <c r="O1" s="17"/>
      <c r="P1" s="17"/>
      <c r="Q1" s="17"/>
      <c r="R1" s="17"/>
    </row>
    <row r="2" spans="1:18" s="3" customFormat="1" ht="50.1" customHeight="1" x14ac:dyDescent="0.25">
      <c r="A2" s="234" t="s">
        <v>33</v>
      </c>
      <c r="B2" s="20"/>
      <c r="C2" s="20" t="str">
        <f>Disclaimer!$B$1</f>
        <v>VDO calculation model</v>
      </c>
      <c r="D2" s="20"/>
      <c r="E2" s="20"/>
      <c r="F2" s="129" t="str">
        <f>Calc_Rates!$D$5</f>
        <v>VDO 2024-25 - Draft</v>
      </c>
      <c r="G2" s="129" t="str">
        <f>Calc_Rates!$D$266</f>
        <v>VDO 2023-24 - Final</v>
      </c>
      <c r="H2" s="20"/>
      <c r="I2" s="20"/>
      <c r="J2" s="20"/>
      <c r="K2" s="20"/>
      <c r="L2" s="20"/>
      <c r="M2" s="20"/>
      <c r="N2" s="20"/>
      <c r="O2" s="20"/>
      <c r="P2" s="20"/>
      <c r="Q2" s="20"/>
      <c r="R2" s="20"/>
    </row>
    <row r="3" spans="1:18" s="3" customFormat="1" ht="30" customHeight="1" x14ac:dyDescent="0.25">
      <c r="A3" s="235"/>
      <c r="B3" s="22">
        <f ca="1">_xlfn.SHEET()</f>
        <v>11</v>
      </c>
      <c r="C3" s="21" t="s">
        <v>508</v>
      </c>
      <c r="D3" s="21"/>
      <c r="E3" s="21"/>
      <c r="F3" s="69">
        <f>SUM(D69:H69,M35)</f>
        <v>0</v>
      </c>
      <c r="G3" s="69">
        <f>SUM(L69:P69,M36)</f>
        <v>0</v>
      </c>
      <c r="H3" s="21"/>
      <c r="I3" s="21"/>
      <c r="J3" s="21"/>
      <c r="K3" s="21"/>
      <c r="L3" s="21"/>
      <c r="M3" s="21"/>
      <c r="N3" s="21"/>
      <c r="O3" s="21"/>
      <c r="P3" s="21"/>
      <c r="Q3" s="21"/>
      <c r="R3" s="21"/>
    </row>
    <row r="4" spans="1:18" x14ac:dyDescent="0.25">
      <c r="B4"/>
    </row>
    <row r="5" spans="1:18" ht="16.5" thickBot="1" x14ac:dyDescent="0.3">
      <c r="A5" s="1" t="s">
        <v>35</v>
      </c>
      <c r="B5" s="161">
        <f ca="1">MAX(B$3:B4)+0.01</f>
        <v>11.01</v>
      </c>
      <c r="C5" s="200" t="str">
        <f>"VDO cost stack chart - Flat VDO - "&amp;IF(ISNUMBER(SEARCH("Residential",$C$49)),"Residential","Small business")</f>
        <v>VDO cost stack chart - Flat VDO - Residential</v>
      </c>
      <c r="D5" s="200"/>
      <c r="E5" s="200"/>
      <c r="F5" s="200"/>
      <c r="G5" s="200"/>
      <c r="H5" s="200"/>
      <c r="I5" s="200"/>
      <c r="J5" s="200"/>
      <c r="K5" s="200"/>
      <c r="L5" s="200"/>
      <c r="M5" s="200"/>
      <c r="N5" s="200"/>
      <c r="O5" s="200"/>
      <c r="P5" s="200"/>
      <c r="Q5" s="200"/>
      <c r="R5" s="23"/>
    </row>
    <row r="6" spans="1:18" outlineLevel="1" x14ac:dyDescent="0.25">
      <c r="B6"/>
    </row>
    <row r="7" spans="1:18" outlineLevel="1" x14ac:dyDescent="0.25">
      <c r="B7"/>
    </row>
    <row r="8" spans="1:18" outlineLevel="1" x14ac:dyDescent="0.25">
      <c r="B8"/>
    </row>
    <row r="9" spans="1:18" outlineLevel="1" x14ac:dyDescent="0.25">
      <c r="B9"/>
    </row>
    <row r="10" spans="1:18" outlineLevel="1" x14ac:dyDescent="0.25">
      <c r="B10"/>
    </row>
    <row r="11" spans="1:18" outlineLevel="1" x14ac:dyDescent="0.25">
      <c r="B11"/>
    </row>
    <row r="12" spans="1:18" outlineLevel="1" x14ac:dyDescent="0.25">
      <c r="B12"/>
    </row>
    <row r="13" spans="1:18" outlineLevel="1" x14ac:dyDescent="0.25">
      <c r="B13"/>
    </row>
    <row r="14" spans="1:18" outlineLevel="1" x14ac:dyDescent="0.25">
      <c r="B14"/>
    </row>
    <row r="15" spans="1:18" outlineLevel="1" x14ac:dyDescent="0.25">
      <c r="B15"/>
    </row>
    <row r="16" spans="1:18" outlineLevel="1" x14ac:dyDescent="0.25">
      <c r="B16"/>
    </row>
    <row r="17" spans="2:18" outlineLevel="1" x14ac:dyDescent="0.25">
      <c r="B17"/>
    </row>
    <row r="18" spans="2:18" outlineLevel="1" x14ac:dyDescent="0.25">
      <c r="B18"/>
    </row>
    <row r="19" spans="2:18" outlineLevel="1" x14ac:dyDescent="0.25">
      <c r="B19"/>
    </row>
    <row r="20" spans="2:18" outlineLevel="1" x14ac:dyDescent="0.25">
      <c r="B20"/>
    </row>
    <row r="21" spans="2:18" outlineLevel="1" x14ac:dyDescent="0.25">
      <c r="B21"/>
    </row>
    <row r="22" spans="2:18" outlineLevel="1" x14ac:dyDescent="0.25">
      <c r="B22"/>
    </row>
    <row r="23" spans="2:18" outlineLevel="1" x14ac:dyDescent="0.25">
      <c r="B23"/>
    </row>
    <row r="24" spans="2:18" outlineLevel="1" x14ac:dyDescent="0.25">
      <c r="B24"/>
    </row>
    <row r="25" spans="2:18" outlineLevel="1" x14ac:dyDescent="0.25">
      <c r="B25"/>
    </row>
    <row r="26" spans="2:18" outlineLevel="1" x14ac:dyDescent="0.25">
      <c r="B26"/>
    </row>
    <row r="27" spans="2:18" outlineLevel="1" x14ac:dyDescent="0.25">
      <c r="B27"/>
    </row>
    <row r="28" spans="2:18" outlineLevel="1" x14ac:dyDescent="0.25">
      <c r="B28"/>
    </row>
    <row r="29" spans="2:18" outlineLevel="1" x14ac:dyDescent="0.25">
      <c r="B29"/>
    </row>
    <row r="30" spans="2:18" outlineLevel="1" x14ac:dyDescent="0.25">
      <c r="B30"/>
    </row>
    <row r="31" spans="2:18" ht="15.75" outlineLevel="1" x14ac:dyDescent="0.25">
      <c r="B31"/>
      <c r="C31" s="31" t="s">
        <v>509</v>
      </c>
      <c r="D31" s="76" t="s">
        <v>510</v>
      </c>
    </row>
    <row r="32" spans="2:18" ht="15.75" outlineLevel="1" x14ac:dyDescent="0.25">
      <c r="B32"/>
      <c r="C32" s="31" t="s">
        <v>511</v>
      </c>
      <c r="D32" s="76" t="s">
        <v>66</v>
      </c>
      <c r="R32" s="143"/>
    </row>
    <row r="33" spans="1:22" outlineLevel="1" x14ac:dyDescent="0.25">
      <c r="B33"/>
      <c r="R33" s="143"/>
    </row>
    <row r="34" spans="1:22" ht="15.75" outlineLevel="1" x14ac:dyDescent="0.25">
      <c r="B34"/>
      <c r="C34" s="31" t="s">
        <v>512</v>
      </c>
      <c r="D34" s="31" t="s">
        <v>176</v>
      </c>
      <c r="E34" s="31" t="s">
        <v>81</v>
      </c>
      <c r="F34" s="31" t="s">
        <v>130</v>
      </c>
      <c r="G34" s="31" t="s">
        <v>83</v>
      </c>
      <c r="H34" s="31" t="s">
        <v>141</v>
      </c>
      <c r="I34" s="31" t="s">
        <v>257</v>
      </c>
      <c r="J34" s="31" t="s">
        <v>360</v>
      </c>
      <c r="K34" s="31" t="s">
        <v>513</v>
      </c>
    </row>
    <row r="35" spans="1:22" ht="15.75" outlineLevel="1" x14ac:dyDescent="0.25">
      <c r="B35"/>
      <c r="C35" s="60" t="str">
        <f>$L$46</f>
        <v>VDO 2023-24 - Final</v>
      </c>
      <c r="D35" s="77">
        <f>INDEX(CostStackCalcs_RES_2[[Ausnet]:[Average]],MATCH(D$34,CostStackCalcs_RES_2[[Labels]:[Labels]],0),MATCH($D$31,CostStackCalcs_RES_2[[#Headers],[Ausnet]:[Average]],0))</f>
        <v>635.56598304666477</v>
      </c>
      <c r="E35" s="77">
        <f>INDEX(CostStackCalcs_RES_2[[Ausnet]:[Average]],MATCH(E$34,CostStackCalcs_RES_2[[Labels]:[Labels]],0),MATCH($D$31,CostStackCalcs_RES_2[[#Headers],[Ausnet]:[Average]],0))</f>
        <v>548.78546404067549</v>
      </c>
      <c r="F35" s="77">
        <f>INDEX(CostStackCalcs_RES_2[[Ausnet]:[Average]],MATCH(F$34,CostStackCalcs_RES_2[[Labels]:[Labels]],0),MATCH($D$31,CostStackCalcs_RES_2[[#Headers],[Ausnet]:[Average]],0))</f>
        <v>175.92415101117138</v>
      </c>
      <c r="G35" s="77">
        <f>INDEX(CostStackCalcs_RES_2[[Ausnet]:[Average]],MATCH("Environmental schemes",CostStackCalcs_RES_2[[Labels]:[Labels]],0),MATCH($D$31,CostStackCalcs_RES_2[[#Headers],[Ausnet]:[Average]],0))+
INDEX(CostStackCalcs_RES_2[[Ausnet]:[Average]],MATCH("FiT",CostStackCalcs_RES_2[[Labels]:[Labels]],0),MATCH($D$31,CostStackCalcs_RES_2[[#Headers],[Ausnet]:[Average]],0))+
IF(INDEX(CostStackCalcs_RES_2[[Ausnet]:[Average]],MATCH("Environmental true up",CostStackCalcs_RES_2[[Labels]:[Labels]],0),MATCH($D$31,CostStackCalcs_RES_2[[#Headers],[Ausnet]:[Average]],0))="-",0,
INDEX(CostStackCalcs_RES_2[[Ausnet]:[Average]],MATCH("Environmental true up",CostStackCalcs_RES_2[[Labels]:[Labels]],0),MATCH($D$31,CostStackCalcs_RES_2[[#Headers],[Ausnet]:[Average]],0)))</f>
        <v>131.69618635885368</v>
      </c>
      <c r="H35" s="77">
        <f>INDEX(CostStackCalcs_RES_2[[Ausnet]:[Average]],MATCH(H$34,CostStackCalcs_RES_2[[Labels]:[Labels]],0),MATCH($D$31,CostStackCalcs_RES_2[[#Headers],[Ausnet]:[Average]],0))</f>
        <v>17.775747550251065</v>
      </c>
      <c r="I35" s="77">
        <f>INDEX(CostStackCalcs_RES_2[[Ausnet]:[Average]],MATCH(I$34,CostStackCalcs_RES_2[[Labels]:[Labels]],0),MATCH($D$31,CostStackCalcs_RES_2[[#Headers],[Ausnet]:[Average]],0))</f>
        <v>84.863307286151937</v>
      </c>
      <c r="J35" s="77">
        <f>INDEX(CostStackCalcs_RES_2[[Ausnet]:[Average]],MATCH(J$34,CostStackCalcs_RES_2[[Labels]:[Labels]],0),MATCH($D$31,CostStackCalcs_RES_2[[#Headers],[Ausnet]:[Average]],0))</f>
        <v>160.0279508824579</v>
      </c>
      <c r="K35" s="77">
        <f>INDEX(CostStackCalcs_RES_2[[Ausnet]:[Average]],MATCH(K$34,CostStackCalcs_RES_2[[Labels]:[Labels]],0),MATCH($D$31,CostStackCalcs_RES_2[[#Headers],[Ausnet]:[Average]],0))</f>
        <v>1755.2</v>
      </c>
      <c r="M35" s="213">
        <f>IF(OR(ROUNDUP(SUM(D35:J35),0)-K35&lt;1,ROUNDUP(SUM(D35:J35),0)-K35&gt;-1),0,1)</f>
        <v>0</v>
      </c>
    </row>
    <row r="36" spans="1:22" ht="15.75" outlineLevel="1" x14ac:dyDescent="0.25">
      <c r="B36"/>
      <c r="C36" s="60" t="str">
        <f>$D$46</f>
        <v>VDO 2024-25 - Draft</v>
      </c>
      <c r="D36" s="77">
        <f>INDEX(CostStackCalcs_RES_1[[Ausnet]:[Average]],MATCH(D$34,CostStackCalcs_RES_1[[Labels]:[Labels]],0),MATCH($D$31,CostStackCalcs_RES_1[[#Headers],[Ausnet]:[Average]],0))</f>
        <v>494.67756022880002</v>
      </c>
      <c r="E36" s="77">
        <f>INDEX(CostStackCalcs_RES_1[[Ausnet]:[Average]],MATCH(E$34,CostStackCalcs_RES_1[[Labels]:[Labels]],0),MATCH($D$31,CostStackCalcs_RES_1[[#Headers],[Ausnet]:[Average]],0))</f>
        <v>582.82897798330703</v>
      </c>
      <c r="F36" s="77">
        <f>INDEX(CostStackCalcs_RES_1[[Ausnet]:[Average]],MATCH(F$34,CostStackCalcs_RES_1[[Labels]:[Labels]],0),MATCH($D$31,CostStackCalcs_RES_1[[#Headers],[Ausnet]:[Average]],0))</f>
        <v>187.59415017239178</v>
      </c>
      <c r="G36" s="77">
        <f>INDEX(CostStackCalcs_RES_1[[Ausnet]:[Average]],MATCH("Environmental schemes",CostStackCalcs_RES_1[[Labels]:[Labels]],0),MATCH($D$31,CostStackCalcs_RES_1[[#Headers],[Ausnet]:[Average]],0))+
INDEX(CostStackCalcs_RES_1[[Ausnet]:[Average]],MATCH("FiT",CostStackCalcs_RES_1[[Labels]:[Labels]],0),MATCH($D$31,CostStackCalcs_RES_1[[#Headers],[Ausnet]:[Average]],0))+
IF(INDEX(CostStackCalcs_RES_1[[Ausnet]:[Average]],MATCH("Environmental true up",CostStackCalcs_RES_1[[Labels]:[Labels]],0),MATCH($D$31,CostStackCalcs_RES_1[[#Headers],[Ausnet]:[Average]],0))="-",0,
INDEX(CostStackCalcs_RES_1[[Ausnet]:[Average]],MATCH("Environmental true up",CostStackCalcs_RES_1[[Labels]:[Labels]],0),MATCH($D$31,CostStackCalcs_RES_1[[#Headers],[Ausnet]:[Average]],0)))</f>
        <v>134.09816785382429</v>
      </c>
      <c r="H36" s="77">
        <f>INDEX(CostStackCalcs_RES_1[[Ausnet]:[Average]],MATCH(H$34,CostStackCalcs_RES_1[[Labels]:[Labels]],0),MATCH($D$31,CostStackCalcs_RES_1[[#Headers],[Ausnet]:[Average]],0))</f>
        <v>14.380152845628444</v>
      </c>
      <c r="I36" s="77">
        <f>INDEX(CostStackCalcs_RES_1[[Ausnet]:[Average]],MATCH(I$34,CostStackCalcs_RES_1[[Labels]:[Labels]],0),MATCH($D$31,CostStackCalcs_RES_1[[#Headers],[Ausnet]:[Average]],0))</f>
        <v>79.160424508701311</v>
      </c>
      <c r="J36" s="77">
        <f>INDEX(CostStackCalcs_RES_1[[Ausnet]:[Average]],MATCH(J$34,CostStackCalcs_RES_1[[Labels]:[Labels]],0),MATCH($D$31,CostStackCalcs_RES_1[[#Headers],[Ausnet]:[Average]],0))</f>
        <v>149.27394335926527</v>
      </c>
      <c r="K36" s="77">
        <f>INDEX(CostStackCalcs_RES_1[[Ausnet]:[Average]],MATCH(K$34,CostStackCalcs_RES_1[[Labels]:[Labels]],0),MATCH($D$31,CostStackCalcs_RES_1[[#Headers],[Ausnet]:[Average]],0))</f>
        <v>1642.8</v>
      </c>
      <c r="L36" s="85"/>
      <c r="M36" s="213">
        <f>IF(OR(ROUNDUP(SUM(D36:J36),0)-K36&lt;1,ROUNDUP(SUM(D36:J36),0)-K36&gt;-1),0,1)</f>
        <v>0</v>
      </c>
    </row>
    <row r="37" spans="1:22" outlineLevel="1" x14ac:dyDescent="0.25">
      <c r="B37"/>
      <c r="D37" s="85">
        <f t="shared" ref="D37:K37" si="0">D36-D35</f>
        <v>-140.88842281786475</v>
      </c>
      <c r="E37" s="85">
        <f t="shared" si="0"/>
        <v>34.043513942631535</v>
      </c>
      <c r="F37" s="85">
        <f t="shared" si="0"/>
        <v>11.669999161220403</v>
      </c>
      <c r="G37" s="85">
        <f>G36-G35</f>
        <v>2.4019814949706131</v>
      </c>
      <c r="H37" s="85">
        <f t="shared" si="0"/>
        <v>-3.3955947046226207</v>
      </c>
      <c r="I37" s="85">
        <f t="shared" si="0"/>
        <v>-5.7028827774506254</v>
      </c>
      <c r="J37" s="85">
        <f t="shared" si="0"/>
        <v>-10.754007523192627</v>
      </c>
      <c r="K37" s="85">
        <f t="shared" si="0"/>
        <v>-112.40000000000009</v>
      </c>
    </row>
    <row r="38" spans="1:22" outlineLevel="1" x14ac:dyDescent="0.25">
      <c r="B38"/>
      <c r="C38" s="60" t="str">
        <f>$L$46</f>
        <v>VDO 2023-24 - Final</v>
      </c>
      <c r="D38" s="84">
        <f>D35/$K35</f>
        <v>0.36210459380507337</v>
      </c>
      <c r="E38" s="84">
        <f t="shared" ref="E38:K39" si="1">E35/$K35</f>
        <v>0.31266263903867109</v>
      </c>
      <c r="F38" s="84">
        <f t="shared" si="1"/>
        <v>0.10023025923608214</v>
      </c>
      <c r="G38" s="82">
        <f>G35/$K35</f>
        <v>7.503201137127033E-2</v>
      </c>
      <c r="H38" s="84">
        <f t="shared" si="1"/>
        <v>1.0127476954336296E-2</v>
      </c>
      <c r="I38" s="82">
        <f t="shared" si="1"/>
        <v>4.8349650915082004E-2</v>
      </c>
      <c r="J38" s="84">
        <f>J35/$K35</f>
        <v>9.1173627439868898E-2</v>
      </c>
      <c r="K38" s="84">
        <f t="shared" si="1"/>
        <v>1</v>
      </c>
    </row>
    <row r="39" spans="1:22" outlineLevel="1" x14ac:dyDescent="0.25">
      <c r="B39"/>
      <c r="C39" s="60" t="str">
        <f>$D$46</f>
        <v>VDO 2024-25 - Draft</v>
      </c>
      <c r="D39" s="84">
        <f>D36/$K36</f>
        <v>0.30111855382809838</v>
      </c>
      <c r="E39" s="84">
        <f>E36/$K36</f>
        <v>0.35477780495696803</v>
      </c>
      <c r="F39" s="84">
        <f>F36/$K36</f>
        <v>0.11419171546895045</v>
      </c>
      <c r="G39" s="82">
        <f>G36/$K36</f>
        <v>8.1627810965317932E-2</v>
      </c>
      <c r="H39" s="84">
        <f t="shared" si="1"/>
        <v>8.7534409822427831E-3</v>
      </c>
      <c r="I39" s="82">
        <f>I36/$K36</f>
        <v>4.8186282267288355E-2</v>
      </c>
      <c r="J39" s="84">
        <f t="shared" si="1"/>
        <v>9.0865560846886587E-2</v>
      </c>
      <c r="K39" s="84">
        <f t="shared" si="1"/>
        <v>1</v>
      </c>
      <c r="L39" s="84"/>
    </row>
    <row r="40" spans="1:22" ht="15.75" outlineLevel="1" x14ac:dyDescent="0.25">
      <c r="B40"/>
      <c r="C40" s="24" t="s">
        <v>514</v>
      </c>
      <c r="D40" s="84">
        <f>(D36-D35)/D35</f>
        <v>-0.22167395136929532</v>
      </c>
      <c r="E40" s="84">
        <f t="shared" ref="E40:J40" si="2">(E36-E35)/E35</f>
        <v>6.203428511384234E-2</v>
      </c>
      <c r="F40" s="84">
        <f>(F36-F35)/F35</f>
        <v>6.6335401331448496E-2</v>
      </c>
      <c r="G40" s="84">
        <f>(G36-G35)/G35</f>
        <v>1.8238808285803734E-2</v>
      </c>
      <c r="H40" s="84">
        <f t="shared" si="2"/>
        <v>-0.19102401713477649</v>
      </c>
      <c r="I40" s="84">
        <f>(I36-I35)/I35</f>
        <v>-6.7200807508255411E-2</v>
      </c>
      <c r="J40" s="84">
        <f t="shared" si="2"/>
        <v>-6.720080750825555E-2</v>
      </c>
      <c r="K40" s="84">
        <f>(K36-K35)/K35</f>
        <v>-6.4038286235186925E-2</v>
      </c>
    </row>
    <row r="41" spans="1:22" ht="15.75" hidden="1" outlineLevel="1" x14ac:dyDescent="0.25">
      <c r="B41"/>
      <c r="C41" s="24" t="s">
        <v>515</v>
      </c>
      <c r="D41" s="84">
        <f t="shared" ref="D41:I41" si="3">D38*D40</f>
        <v>-8.0269156117744267E-2</v>
      </c>
      <c r="E41" s="84">
        <f t="shared" si="3"/>
        <v>1.9395803294571294E-2</v>
      </c>
      <c r="F41" s="84">
        <f t="shared" si="3"/>
        <v>6.6488144719806311E-3</v>
      </c>
      <c r="G41" s="84">
        <f t="shared" si="3"/>
        <v>1.3684944706988452E-3</v>
      </c>
      <c r="H41" s="84">
        <f t="shared" si="3"/>
        <v>-1.9345913312571906E-3</v>
      </c>
      <c r="I41" s="84">
        <f t="shared" si="3"/>
        <v>-3.2491355842357707E-3</v>
      </c>
      <c r="J41" s="84">
        <f>J38*J40</f>
        <v>-6.1269413874160362E-3</v>
      </c>
      <c r="K41" s="84">
        <f>SUM(D41:J41)</f>
        <v>-6.4166712183402488E-2</v>
      </c>
      <c r="M41" s="213">
        <f>IF(ROUND(K41,2)=ROUND(K40,2),0,1)</f>
        <v>0</v>
      </c>
    </row>
    <row r="42" spans="1:22" x14ac:dyDescent="0.25">
      <c r="B42"/>
      <c r="C42" s="236" t="s">
        <v>546</v>
      </c>
      <c r="D42" s="236"/>
      <c r="E42" s="236"/>
      <c r="F42" s="236"/>
      <c r="G42" s="236"/>
      <c r="H42" s="236"/>
      <c r="I42" s="236"/>
      <c r="J42" s="236"/>
      <c r="K42" s="236"/>
      <c r="L42" s="86"/>
    </row>
    <row r="43" spans="1:22" x14ac:dyDescent="0.25">
      <c r="B43"/>
    </row>
    <row r="44" spans="1:22" ht="16.5" thickBot="1" x14ac:dyDescent="0.3">
      <c r="A44" s="1" t="s">
        <v>35</v>
      </c>
      <c r="B44" s="161">
        <f ca="1">MAX(B$3:B42)+0.01</f>
        <v>11.02</v>
      </c>
      <c r="C44" s="200" t="str">
        <f>"VDO cost stack calcs - Flat VDO - "&amp;IF(ISNUMBER(SEARCH("Residential",$C$49)),"Residential","Small business")</f>
        <v>VDO cost stack calcs - Flat VDO - Residential</v>
      </c>
      <c r="D44" s="200"/>
      <c r="E44" s="200"/>
      <c r="F44" s="200"/>
      <c r="G44" s="200"/>
      <c r="H44" s="200"/>
      <c r="I44" s="200"/>
      <c r="J44" s="200"/>
      <c r="K44" s="200"/>
      <c r="L44" s="200"/>
      <c r="M44" s="200"/>
      <c r="N44" s="200"/>
      <c r="O44" s="200"/>
      <c r="P44" s="200"/>
      <c r="Q44" s="200"/>
      <c r="R44" s="23"/>
    </row>
    <row r="45" spans="1:22" outlineLevel="1" x14ac:dyDescent="0.25">
      <c r="V45" s="84"/>
    </row>
    <row r="46" spans="1:22" ht="15.75" outlineLevel="1" x14ac:dyDescent="0.25">
      <c r="C46" s="39" t="s">
        <v>47</v>
      </c>
      <c r="D46" s="30" t="str">
        <f>FY</f>
        <v>VDO 2024-25 - Draft</v>
      </c>
      <c r="K46" s="39" t="s">
        <v>47</v>
      </c>
      <c r="L46" s="30" t="str">
        <f>PY</f>
        <v>VDO 2023-24 - Final</v>
      </c>
    </row>
    <row r="47" spans="1:22" ht="15.75" outlineLevel="1" x14ac:dyDescent="0.25">
      <c r="C47" s="24"/>
      <c r="K47" s="24"/>
    </row>
    <row r="48" spans="1:22" ht="15.75" outlineLevel="1" x14ac:dyDescent="0.25">
      <c r="C48" s="31" t="s">
        <v>85</v>
      </c>
      <c r="D48" s="35" t="s">
        <v>516</v>
      </c>
      <c r="F48" s="24"/>
      <c r="K48" s="31" t="s">
        <v>85</v>
      </c>
      <c r="L48" s="35" t="s">
        <v>516</v>
      </c>
    </row>
    <row r="49" spans="3:24" outlineLevel="1" x14ac:dyDescent="0.25">
      <c r="C49" s="214" t="s">
        <v>88</v>
      </c>
      <c r="D49" s="151">
        <f>INDEX(Input_Usage[],MATCH(C49&amp;" - Annual",Input_Usage[Ref],0),MATCH($D$46,Inputs!$C$147:$BA$147,0))</f>
        <v>4000</v>
      </c>
      <c r="K49" s="60" t="str">
        <f>$C$49</f>
        <v>Residential - medium</v>
      </c>
      <c r="L49" s="151">
        <f>INDEX(Input_Usage[],MATCH(K49&amp;" - Annual",Input_Usage[Ref],0),MATCH($L$46,Inputs!$C$147:$BA$147,0))</f>
        <v>4000</v>
      </c>
    </row>
    <row r="50" spans="3:24" ht="15.75" outlineLevel="1" x14ac:dyDescent="0.25">
      <c r="C50" s="24"/>
      <c r="K50" s="24"/>
    </row>
    <row r="51" spans="3:24" ht="15.75" outlineLevel="1" x14ac:dyDescent="0.25">
      <c r="C51" s="31" t="s">
        <v>68</v>
      </c>
      <c r="D51" s="151">
        <f>INDEX(Input_Usage[],MATCH(C$49&amp;" - "&amp;C51,Input_Usage[Ref],0),MATCH(D$46,Inputs!$C$147:$BA$147,0))</f>
        <v>4000</v>
      </c>
      <c r="G51" s="39" t="s">
        <v>299</v>
      </c>
      <c r="H51" s="60" t="str">
        <f>FY</f>
        <v>VDO 2024-25 - Draft</v>
      </c>
      <c r="I51" s="54">
        <f>INDEX(Input_TU_Periods[],1,MATCH(H51,Inputs!$C$203:$BM$203,0))</f>
        <v>365</v>
      </c>
      <c r="K51" s="31" t="s">
        <v>68</v>
      </c>
      <c r="L51" s="151">
        <f>INDEX(Input_Usage[],MATCH(K$49&amp;" - "&amp;K51,Input_Usage[Ref],0),MATCH(L$46,Inputs!$C$147:$BA$147,0))</f>
        <v>4000</v>
      </c>
      <c r="O51" s="39" t="s">
        <v>299</v>
      </c>
      <c r="P51" s="60" t="str">
        <f>PY</f>
        <v>VDO 2023-24 - Final</v>
      </c>
      <c r="Q51" s="54">
        <f>INDEX(Input_TU_Periods[],1,MATCH(P51,Inputs!$C$203:$BM$203,0))</f>
        <v>365</v>
      </c>
    </row>
    <row r="52" spans="3:24" ht="15.75" outlineLevel="1" x14ac:dyDescent="0.25">
      <c r="C52" s="31" t="s">
        <v>70</v>
      </c>
      <c r="D52" s="151">
        <f>INDEX(Input_Usage[],MATCH(C$49&amp;" - "&amp;C52,Input_Usage[Ref],0),MATCH(D$46,Inputs!$C$147:$BA$147,0))</f>
        <v>0</v>
      </c>
      <c r="G52" s="39" t="s">
        <v>102</v>
      </c>
      <c r="H52" s="60" t="str">
        <f>FY</f>
        <v>VDO 2024-25 - Draft</v>
      </c>
      <c r="I52" s="54">
        <f>INDEX(Input_TU_Periods[],2,MATCH(H52,Inputs!$C$203:$BM$203,0))</f>
        <v>365</v>
      </c>
      <c r="K52" s="31" t="s">
        <v>70</v>
      </c>
      <c r="L52" s="151">
        <f>INDEX(Input_Usage[],MATCH(K$49&amp;" - "&amp;K52,Input_Usage[Ref],0),MATCH(L$46,Inputs!$C$147:$BA$147,0))</f>
        <v>0</v>
      </c>
      <c r="O52" s="39" t="s">
        <v>102</v>
      </c>
      <c r="P52" s="60" t="str">
        <f>PY</f>
        <v>VDO 2023-24 - Final</v>
      </c>
      <c r="Q52" s="54">
        <f>INDEX(Input_TU_Periods[],2,MATCH(P52,Inputs!$C$203:$BM$203,0))</f>
        <v>366</v>
      </c>
    </row>
    <row r="53" spans="3:24" ht="15.75" outlineLevel="1" x14ac:dyDescent="0.25">
      <c r="C53" s="24"/>
      <c r="D53" s="82"/>
      <c r="G53" s="39" t="s">
        <v>481</v>
      </c>
      <c r="I53" s="141">
        <f>I51/I52</f>
        <v>1</v>
      </c>
      <c r="K53" s="24"/>
      <c r="O53" s="39" t="s">
        <v>481</v>
      </c>
      <c r="Q53" s="141">
        <f>Q51/Q52</f>
        <v>0.99726775956284153</v>
      </c>
    </row>
    <row r="54" spans="3:24" ht="15.75" outlineLevel="1" x14ac:dyDescent="0.25">
      <c r="C54" s="24"/>
      <c r="D54" s="82"/>
      <c r="K54" s="24"/>
    </row>
    <row r="55" spans="3:24" ht="15.75" outlineLevel="1" x14ac:dyDescent="0.25">
      <c r="C55" s="32" t="s">
        <v>517</v>
      </c>
      <c r="D55" s="43" t="s">
        <v>59</v>
      </c>
      <c r="E55" s="43" t="s">
        <v>60</v>
      </c>
      <c r="F55" s="43" t="s">
        <v>61</v>
      </c>
      <c r="G55" s="43" t="s">
        <v>62</v>
      </c>
      <c r="H55" s="43" t="s">
        <v>63</v>
      </c>
      <c r="I55" s="43" t="s">
        <v>510</v>
      </c>
      <c r="K55" s="32" t="s">
        <v>517</v>
      </c>
      <c r="L55" s="43" t="s">
        <v>59</v>
      </c>
      <c r="M55" s="43" t="s">
        <v>60</v>
      </c>
      <c r="N55" s="43" t="s">
        <v>61</v>
      </c>
      <c r="O55" s="43" t="s">
        <v>62</v>
      </c>
      <c r="P55" s="43" t="s">
        <v>63</v>
      </c>
      <c r="Q55" s="43" t="s">
        <v>510</v>
      </c>
    </row>
    <row r="56" spans="3:24" outlineLevel="1" x14ac:dyDescent="0.25">
      <c r="C56" s="18" t="s">
        <v>176</v>
      </c>
      <c r="D56" s="74">
        <f>D$87*($D$49*(1+D$73))</f>
        <v>527.172662328</v>
      </c>
      <c r="E56" s="74">
        <f>E$87*($D$49*(1+E$73))</f>
        <v>441.36619999999999</v>
      </c>
      <c r="F56" s="74">
        <f>F$87*($D$49*(1+F$73))</f>
        <v>498.41182777599988</v>
      </c>
      <c r="G56" s="74">
        <f>G$87*($D$49*(1+G$73))</f>
        <v>517.30804652800009</v>
      </c>
      <c r="H56" s="74">
        <f>H$87*($D$49*(1+H$73))</f>
        <v>489.12906451200001</v>
      </c>
      <c r="I56" s="75">
        <f>AVERAGE(D56:H56)</f>
        <v>494.67756022880002</v>
      </c>
      <c r="K56" s="18" t="s">
        <v>176</v>
      </c>
      <c r="L56" s="74">
        <f>L$87*($L$49*(1+L$73))</f>
        <v>676.53521980466178</v>
      </c>
      <c r="M56" s="74">
        <f>M$87*($L$49*(1+M$73))</f>
        <v>572.64874159002306</v>
      </c>
      <c r="N56" s="74">
        <f>N$87*($L$49*(1+N$73))</f>
        <v>639.7312569602434</v>
      </c>
      <c r="O56" s="74">
        <f>O$87*($L$49*(1+O$73))</f>
        <v>658.77971890459719</v>
      </c>
      <c r="P56" s="74">
        <f>P$87*($L$49*(1+P$73))</f>
        <v>630.13497797379864</v>
      </c>
      <c r="Q56" s="75">
        <f>AVERAGE(L56:P56)</f>
        <v>635.56598304666477</v>
      </c>
      <c r="U56" s="134"/>
      <c r="V56" s="133"/>
    </row>
    <row r="57" spans="3:24" outlineLevel="1" x14ac:dyDescent="0.25">
      <c r="C57" s="18" t="s">
        <v>81</v>
      </c>
      <c r="D57" s="74">
        <f>D$78+(D$92*$D$51)+(D$93*$D$52)+(D$94*$D$49)</f>
        <v>764.33524933881699</v>
      </c>
      <c r="E57" s="74">
        <f>E$78+(E$92*$D$51)+(E$93*$D$52)+(E$94*$D$49)</f>
        <v>483.352296658981</v>
      </c>
      <c r="F57" s="74">
        <f>F$78+(F$92*$D$51)+(F$93*$D$52)+(F$94*$D$49)</f>
        <v>581.6149043425188</v>
      </c>
      <c r="G57" s="74">
        <f>G$78+(G$92*$D$51)+(G$93*$D$52)+(G$94*$D$49)</f>
        <v>587.20474579404663</v>
      </c>
      <c r="H57" s="74">
        <f>H$78+(H$92*$D$51)+(H$93*$D$52)+(H$94*$D$49)</f>
        <v>497.63769378217177</v>
      </c>
      <c r="I57" s="75">
        <f t="shared" ref="I57:I63" si="4">AVERAGE(D57:H57)</f>
        <v>582.82897798330703</v>
      </c>
      <c r="K57" s="18" t="s">
        <v>81</v>
      </c>
      <c r="L57" s="74">
        <f>L$78+(L$92*$L$51)+(L$93*$L$52)+(L$94*$L$49)</f>
        <v>737.8936390239096</v>
      </c>
      <c r="M57" s="74">
        <f>M$78+(M$92*$L$51)+(M$93*$L$52)+(M$94*$L$49)</f>
        <v>454.38949568695608</v>
      </c>
      <c r="N57" s="74">
        <f>N$78+(N$92*$L$51)+(N$93*$L$52)+(N$94*$L$49)</f>
        <v>515.93934275504375</v>
      </c>
      <c r="O57" s="74">
        <f>O$78+(O$92*$L$51)+(O$93*$L$52)+(O$94*$L$49)</f>
        <v>556.92355510552034</v>
      </c>
      <c r="P57" s="74">
        <f>P$78+(P$92*$L$51)+(P$93*$L$52)+(P$94*$L$49)</f>
        <v>478.78128763194758</v>
      </c>
      <c r="Q57" s="75">
        <f t="shared" ref="Q57:Q64" si="5">AVERAGE(L57:P57)</f>
        <v>548.78546404067549</v>
      </c>
      <c r="T57" s="85"/>
      <c r="U57" s="134"/>
      <c r="V57" s="133"/>
      <c r="X57" s="62"/>
    </row>
    <row r="58" spans="3:24" outlineLevel="1" x14ac:dyDescent="0.25">
      <c r="C58" s="18" t="s">
        <v>130</v>
      </c>
      <c r="D58" s="74">
        <f>D$76</f>
        <v>187.59415017239178</v>
      </c>
      <c r="E58" s="74">
        <f>E$76</f>
        <v>187.59415017239178</v>
      </c>
      <c r="F58" s="74">
        <f>F$76</f>
        <v>187.59415017239178</v>
      </c>
      <c r="G58" s="74">
        <f>G$76</f>
        <v>187.59415017239178</v>
      </c>
      <c r="H58" s="74">
        <f>H$76</f>
        <v>187.59415017239178</v>
      </c>
      <c r="I58" s="75">
        <f t="shared" si="4"/>
        <v>187.59415017239178</v>
      </c>
      <c r="K58" s="18" t="s">
        <v>130</v>
      </c>
      <c r="L58" s="74">
        <f>L$76</f>
        <v>175.92415101117138</v>
      </c>
      <c r="M58" s="74">
        <f>M$76</f>
        <v>175.92415101117138</v>
      </c>
      <c r="N58" s="74">
        <f>N$76</f>
        <v>175.92415101117138</v>
      </c>
      <c r="O58" s="74">
        <f>O$76</f>
        <v>175.92415101117138</v>
      </c>
      <c r="P58" s="74">
        <f>P$76</f>
        <v>175.92415101117138</v>
      </c>
      <c r="Q58" s="75">
        <f>AVERAGE(L58:P58)</f>
        <v>175.92415101117138</v>
      </c>
      <c r="U58" s="134"/>
      <c r="V58" s="133"/>
      <c r="X58" s="62"/>
    </row>
    <row r="59" spans="3:24" outlineLevel="1" x14ac:dyDescent="0.25">
      <c r="C59" s="18" t="s">
        <v>518</v>
      </c>
      <c r="D59" s="74">
        <f>(D$85*($D$49*(1+D$73)))</f>
        <v>119.3224885663344</v>
      </c>
      <c r="E59" s="74">
        <f>(E$85*($D$49*(1+E$73)))</f>
        <v>114.87775288</v>
      </c>
      <c r="F59" s="74">
        <f>(F$85*($D$49*(1+F$73)))</f>
        <v>114.91368048497246</v>
      </c>
      <c r="G59" s="74">
        <f>(G$85*($D$49*(1+G$73)))</f>
        <v>117.80767423967362</v>
      </c>
      <c r="H59" s="74">
        <f>(H$85*($D$49*(1+H$73)))</f>
        <v>115.09071204904944</v>
      </c>
      <c r="I59" s="75">
        <f t="shared" si="4"/>
        <v>116.40246164400598</v>
      </c>
      <c r="K59" s="18" t="s">
        <v>518</v>
      </c>
      <c r="L59" s="74">
        <f>(L$85*($L$49*(1+L$73)))</f>
        <v>123.44352389876008</v>
      </c>
      <c r="M59" s="74">
        <f>(M$85*($L$49*(1+M$73)))</f>
        <v>118.84545109557654</v>
      </c>
      <c r="N59" s="74">
        <f>(N$85*($L$49*(1+N$73)))</f>
        <v>118.88677873503472</v>
      </c>
      <c r="O59" s="74">
        <f>(O$85*($L$49*(1+O$73)))</f>
        <v>121.85262309750216</v>
      </c>
      <c r="P59" s="74">
        <f>(P$85*($L$49*(1+P$73)))</f>
        <v>119.06804004723617</v>
      </c>
      <c r="Q59" s="75">
        <f>AVERAGE(L59:P59)</f>
        <v>120.41928337482193</v>
      </c>
      <c r="U59" s="134"/>
      <c r="V59" s="133"/>
      <c r="X59" s="62"/>
    </row>
    <row r="60" spans="3:24" outlineLevel="1" x14ac:dyDescent="0.25">
      <c r="C60" s="18" t="s">
        <v>519</v>
      </c>
      <c r="D60" s="74">
        <f>D82</f>
        <v>17.695706209818297</v>
      </c>
      <c r="E60" s="74">
        <f>E82</f>
        <v>17.695706209818297</v>
      </c>
      <c r="F60" s="74">
        <f>F82</f>
        <v>17.695706209818297</v>
      </c>
      <c r="G60" s="74">
        <f>G82</f>
        <v>17.695706209818297</v>
      </c>
      <c r="H60" s="74">
        <f>H82</f>
        <v>17.695706209818297</v>
      </c>
      <c r="I60" s="75">
        <f>AVERAGE(D60:H60)</f>
        <v>17.695706209818297</v>
      </c>
      <c r="K60" s="18" t="s">
        <v>519</v>
      </c>
      <c r="L60" s="74">
        <f>L82</f>
        <v>16.945572514842485</v>
      </c>
      <c r="M60" s="74">
        <f>M82</f>
        <v>16.945572514842485</v>
      </c>
      <c r="N60" s="74">
        <f>N82</f>
        <v>16.945572514842485</v>
      </c>
      <c r="O60" s="74">
        <f>O82</f>
        <v>16.945572514842485</v>
      </c>
      <c r="P60" s="74">
        <f>P82</f>
        <v>16.945572514842485</v>
      </c>
      <c r="Q60" s="75">
        <f>AVERAGE(L60:P60)</f>
        <v>16.945572514842485</v>
      </c>
      <c r="U60" s="134"/>
      <c r="V60" s="133"/>
    </row>
    <row r="61" spans="3:24" outlineLevel="1" x14ac:dyDescent="0.25">
      <c r="C61" s="18" t="s">
        <v>141</v>
      </c>
      <c r="D61" s="74">
        <f>D$80+(D$89*($D$49*(1+D$73)))</f>
        <v>14.463077664708317</v>
      </c>
      <c r="E61" s="74">
        <f>E$80+(E$89*($D$49*(1+E$73)))</f>
        <v>14.336853176903517</v>
      </c>
      <c r="F61" s="74">
        <f>F$80+(F$89*($D$49*(1+F$73)))</f>
        <v>14.337873472339677</v>
      </c>
      <c r="G61" s="74">
        <f>G$80+(G$89*($D$49*(1+G$73)))</f>
        <v>14.420058984634718</v>
      </c>
      <c r="H61" s="74">
        <f>H$80+(H$89*($D$49*(1+H$73)))</f>
        <v>14.342900929555997</v>
      </c>
      <c r="I61" s="75">
        <f t="shared" si="4"/>
        <v>14.380152845628444</v>
      </c>
      <c r="K61" s="18" t="s">
        <v>141</v>
      </c>
      <c r="L61" s="74">
        <f>L$80+(L$89*($L$49*(1+L$73)))</f>
        <v>17.954355674104985</v>
      </c>
      <c r="M61" s="74">
        <f>M$80+(M$89*($L$49*(1+M$73)))</f>
        <v>17.682798848442552</v>
      </c>
      <c r="N61" s="74">
        <f>N$80+(N$89*($L$49*(1+N$73)))</f>
        <v>17.685239610706169</v>
      </c>
      <c r="O61" s="74">
        <f>O$80+(O$89*($L$49*(1+O$73)))</f>
        <v>17.860398925261357</v>
      </c>
      <c r="P61" s="74">
        <f>P$80+(P$89*($L$49*(1+P$73)))</f>
        <v>17.695944692740266</v>
      </c>
      <c r="Q61" s="75">
        <f t="shared" si="5"/>
        <v>17.775747550251065</v>
      </c>
      <c r="U61" s="134"/>
      <c r="V61" s="133"/>
    </row>
    <row r="62" spans="3:24" outlineLevel="1" x14ac:dyDescent="0.25">
      <c r="C62" s="18" t="s">
        <v>257</v>
      </c>
      <c r="D62" s="74">
        <f>SUM(D56:D61)*D$71</f>
        <v>91.312666719683932</v>
      </c>
      <c r="E62" s="74">
        <f>SUM(E56:E61)*E$71</f>
        <v>70.516485709493296</v>
      </c>
      <c r="F62" s="74">
        <f>SUM(F56:F61)*F$71</f>
        <v>79.215815977650308</v>
      </c>
      <c r="G62" s="74">
        <f>SUM(G56:G61)*G$71</f>
        <v>80.753701387999655</v>
      </c>
      <c r="H62" s="74">
        <f>SUM(H56:H61)*H$71</f>
        <v>74.003452748679294</v>
      </c>
      <c r="I62" s="75">
        <f t="shared" si="4"/>
        <v>79.160424508701311</v>
      </c>
      <c r="K62" s="18" t="s">
        <v>257</v>
      </c>
      <c r="L62" s="74">
        <f>SUM(L56:L61)*L$71</f>
        <v>97.927001867937221</v>
      </c>
      <c r="M62" s="74">
        <f>SUM(M56:M61)*M$71</f>
        <v>75.96042780183268</v>
      </c>
      <c r="N62" s="74">
        <f>SUM(N56:N61)*N$71</f>
        <v>83.166291128874363</v>
      </c>
      <c r="O62" s="74">
        <f>SUM(O56:O61)*O$71</f>
        <v>86.704017095298127</v>
      </c>
      <c r="P62" s="74">
        <f>SUM(P56:P61)*P$71</f>
        <v>80.55879853681725</v>
      </c>
      <c r="Q62" s="75">
        <f t="shared" si="5"/>
        <v>84.863307286151937</v>
      </c>
      <c r="U62" s="134"/>
      <c r="V62" s="133"/>
    </row>
    <row r="63" spans="3:24" outlineLevel="1" x14ac:dyDescent="0.25">
      <c r="C63" s="18" t="s">
        <v>360</v>
      </c>
      <c r="D63" s="74">
        <f>SUM(D56:D62)*GST</f>
        <v>172.18960009997542</v>
      </c>
      <c r="E63" s="74">
        <f>SUM(E56:E62)*GST</f>
        <v>132.9739444807588</v>
      </c>
      <c r="F63" s="74">
        <f>SUM(F56:F62)*GST</f>
        <v>149.37839584356914</v>
      </c>
      <c r="G63" s="74">
        <f>SUM(G56:G62)*GST</f>
        <v>152.27840833165649</v>
      </c>
      <c r="H63" s="74">
        <f>SUM(H56:H62)*GST</f>
        <v>139.54936804036669</v>
      </c>
      <c r="I63" s="75">
        <f t="shared" si="4"/>
        <v>149.27394335926527</v>
      </c>
      <c r="K63" s="18" t="s">
        <v>360</v>
      </c>
      <c r="L63" s="74">
        <f>SUM(L56:L62)*GST</f>
        <v>184.66234637953877</v>
      </c>
      <c r="M63" s="74">
        <f>SUM(M56:M62)*GST</f>
        <v>143.23966385488447</v>
      </c>
      <c r="N63" s="74">
        <f>SUM(N56:N62)*GST</f>
        <v>156.82786327159167</v>
      </c>
      <c r="O63" s="74">
        <f>SUM(O56:O62)*GST</f>
        <v>163.49900366541934</v>
      </c>
      <c r="P63" s="74">
        <f>SUM(P56:P62)*GST</f>
        <v>151.91087724085537</v>
      </c>
      <c r="Q63" s="75">
        <f t="shared" si="5"/>
        <v>160.0279508824579</v>
      </c>
      <c r="U63" s="134"/>
      <c r="V63" s="133"/>
    </row>
    <row r="64" spans="3:24" outlineLevel="1" x14ac:dyDescent="0.25">
      <c r="C64" s="18" t="s">
        <v>520</v>
      </c>
      <c r="D64" s="92">
        <f>(D$100*($D$51/$I$53))+(D$101*($D$52/$I$53))+(D$102*($D$49/$I$53))</f>
        <v>0</v>
      </c>
      <c r="E64" s="92">
        <f>(E$100*($D$51/$I$53))+(E$101*($D$52/$I$53))+(E$102*($D$49/$I$53))</f>
        <v>0</v>
      </c>
      <c r="F64" s="92">
        <f>(F$100*($D$51/$I$53))+(F$101*($D$52/$I$53))+(F$102*($D$49/$I$53))</f>
        <v>0</v>
      </c>
      <c r="G64" s="92">
        <f>(G$100*($D$51/$I$53))+(G$101*($D$52/$I$53))+(G$102*($D$49/$I$53))</f>
        <v>0</v>
      </c>
      <c r="H64" s="92">
        <f>(H$100*($D$51/$I$53))+(H$101*($D$52/$I$53))+(H$102*($D$49/$I$53))</f>
        <v>0</v>
      </c>
      <c r="I64" s="75">
        <f>AVERAGE(D64:H64)</f>
        <v>0</v>
      </c>
      <c r="K64" s="18" t="s">
        <v>520</v>
      </c>
      <c r="L64" s="92">
        <f>(L$100*($L$51/$Q$53))+(L$101*($L$52/$Q$53))+(L$102*($L$49/$Q$53))</f>
        <v>-5.7962448984036916</v>
      </c>
      <c r="M64" s="92">
        <f>(M$100*($L$51/$Q$53))+(M$101*($L$52/$Q$53))+(M$102*($L$49/$Q$53))</f>
        <v>-5.6217647656107506</v>
      </c>
      <c r="N64" s="92">
        <f>(N$100*($L$51/$Q$53))+(N$101*($L$52/$Q$53))+(N$102*($L$49/$Q$53))</f>
        <v>-5.573917477057682</v>
      </c>
      <c r="O64" s="92">
        <f>(O$100*($L$51/$Q$53))+(O$101*($L$52/$Q$53))+(O$102*($L$49/$Q$53))</f>
        <v>-5.7449499253159031</v>
      </c>
      <c r="P64" s="92">
        <f>(P$100*($L$51/$Q$53))+(P$101*($L$52/$Q$53))+(P$102*($L$49/$Q$53))</f>
        <v>-5.6064705876657248</v>
      </c>
      <c r="Q64" s="75">
        <f t="shared" si="5"/>
        <v>-5.6686695308107513</v>
      </c>
      <c r="U64" s="134"/>
      <c r="V64" s="133"/>
    </row>
    <row r="65" spans="3:24" outlineLevel="1" x14ac:dyDescent="0.25">
      <c r="C65" s="33" t="s">
        <v>521</v>
      </c>
      <c r="D65" s="136">
        <f>ROUNDUP(SUM(D56:D64),0)</f>
        <v>1895</v>
      </c>
      <c r="E65" s="136">
        <f>ROUNDUP(SUM(E56:E64),0)</f>
        <v>1463</v>
      </c>
      <c r="F65" s="136">
        <f>ROUNDUP(SUM(F56:F64),0)</f>
        <v>1644</v>
      </c>
      <c r="G65" s="136">
        <f>ROUNDUP(SUM(G56:G64),0)</f>
        <v>1676</v>
      </c>
      <c r="H65" s="136">
        <f>ROUNDUP(SUM(H56:H64),0)</f>
        <v>1536</v>
      </c>
      <c r="I65" s="75">
        <f>AVERAGE(D65:H65)</f>
        <v>1642.8</v>
      </c>
      <c r="J65" s="62"/>
      <c r="K65" s="33" t="s">
        <v>521</v>
      </c>
      <c r="L65" s="136">
        <f>ROUNDUP(SUM(L56:L64),0)</f>
        <v>2026</v>
      </c>
      <c r="M65" s="136">
        <f>ROUNDUP(SUM(M56:M64),0)</f>
        <v>1571</v>
      </c>
      <c r="N65" s="136">
        <f>ROUNDUP(SUM(N56:N64),0)</f>
        <v>1720</v>
      </c>
      <c r="O65" s="136">
        <f>ROUNDUP(SUM(O56:O64),0)</f>
        <v>1793</v>
      </c>
      <c r="P65" s="136">
        <f>ROUNDUP(SUM(P56:P64),0)</f>
        <v>1666</v>
      </c>
      <c r="Q65" s="75">
        <f>AVERAGE(L65:P65)</f>
        <v>1755.2</v>
      </c>
      <c r="T65" s="82"/>
      <c r="U65" s="134"/>
      <c r="V65" s="133"/>
      <c r="X65" s="62"/>
    </row>
    <row r="66" spans="3:24" outlineLevel="1" x14ac:dyDescent="0.25">
      <c r="C66" s="18"/>
      <c r="D66" s="74"/>
      <c r="E66" s="74"/>
      <c r="F66" s="74"/>
      <c r="G66" s="74"/>
      <c r="H66" s="74"/>
      <c r="I66" s="75"/>
      <c r="K66" s="18"/>
      <c r="L66" s="74"/>
      <c r="M66" s="74"/>
      <c r="N66" s="74"/>
      <c r="O66" s="74"/>
      <c r="P66" s="74"/>
      <c r="Q66" s="75"/>
      <c r="S66" s="79"/>
      <c r="V66" s="133"/>
    </row>
    <row r="67" spans="3:24" outlineLevel="1" x14ac:dyDescent="0.25">
      <c r="C67" s="18" t="s">
        <v>513</v>
      </c>
      <c r="D67" s="75">
        <f>IF($D$32="Residential",
ROUNDUP(
(INDEX(OP_Rates_RES_1[[Ausnet]:[United Energy]],MATCH("Anytime - supply",OP_Rates_RES_1[[Rate name]:[Rate name]],0),MATCH(CostStackCalcs_RES_1[[#Headers],[Ausnet]],OP_Rates_RES_1[[#Headers],[Ausnet]:[United Energy]],0))*DiY)+
(IFERROR((INDEX(OP_Rates_RES_1[[Ausnet]:[United Energy]],MATCH("Block 1",OP_Rates_RES_1[[Rate name]:[Rate name]],0),MATCH(CostStackCalcs_RES_1[[#Headers],[Ausnet]],OP_Rates_RES_1[[#Headers],[Ausnet]:[United Energy]],0))*$D$51),0)+
IFERROR((INDEX(OP_Rates_RES_1[[Ausnet]:[United Energy]],MATCH("Balance",OP_Rates_RES_1[[Rate name]:[Rate name]],0),MATCH(CostStackCalcs_RES_1[[#Headers],[Ausnet]],OP_Rates_RES_1[[#Headers],[Ausnet]:[United Energy]],0))*$D$52),0)+
IFERROR((INDEX(OP_Rates_RES_1[[Ausnet]:[United Energy]],MATCH("Single rate",OP_Rates_RES_1[[Rate name]:[Rate name]],0),MATCH(CostStackCalcs_RES_1[[#Headers],[Ausnet]],OP_Rates_RES_1[[#Headers],[Ausnet]:[United Energy]],0))*$D$49),0))
+
(IFERROR((INDEX(OP_RatesTU_RES_1[[Ausnet]:[United Energy]],MATCH("Block 1",OP_RatesTU_RES_1[[Rate name]:[Rate name]],0),MATCH(CostStackCalcs_RES_1[[#Headers],[Ausnet]],OP_RatesTU_RES_1[[#Headers],[Ausnet]:[United Energy]],0))*($D$51/$I$53)),0)+
IFERROR((INDEX(OP_RatesTU_RES_1[[Ausnet]:[United Energy]],MATCH("Balance",OP_RatesTU_RES_1[[Rate name]:[Rate name]],0),MATCH(CostStackCalcs_RES_1[[#Headers],[Ausnet]],OP_RatesTU_RES_1[[#Headers],[Ausnet]:[United Energy]],0))*($D$52/$I$53)),0)+
IFERROR((INDEX(OP_RatesTU_RES_1[[Ausnet]:[United Energy]],MATCH("Single rate",OP_RatesTU_RES_1[[Rate name]:[Rate name]],0),MATCH(CostStackCalcs_RES_1[[#Headers],[Ausnet]],OP_RatesTU_RES_1[[#Headers],[Ausnet]:[United Energy]],0))*($D$49/$I$53)),0)),0),
ROUNDUP(
(INDEX(OP_Rates_SME_1[[Ausnet]:[United Energy]],MATCH("Anytime - supply",OP_Rates_SME_1[[Rate name]:[Rate name]],0),MATCH(CostStackCalcs_SME_1[[#Headers],[Ausnet]],OP_Rates_SME_1[[#Headers],[Ausnet]:[United Energy]],0))*DiY)+
(IFERROR((INDEX(OP_Rates_SME_1[[Ausnet]:[United Energy]],MATCH("Block 1",OP_Rates_SME_1[[Rate name]:[Rate name]],0),MATCH(CostStackCalcs_SME_1[[#Headers],[Ausnet]],OP_Rates_SME_1[[#Headers],[Ausnet]:[United Energy]],0))*$D$51),0)+
IFERROR((INDEX(OP_Rates_SME_1[[Ausnet]:[United Energy]],MATCH("Balance",OP_Rates_SME_1[[Rate name]:[Rate name]],0),MATCH(CostStackCalcs_SME_1[[#Headers],[Ausnet]],OP_Rates_SME_1[[#Headers],[Ausnet]:[United Energy]],0))*$D$52),0)+
IFERROR((INDEX(OP_Rates_SME_1[[Ausnet]:[United Energy]],MATCH("Single rate",OP_Rates_SME_1[[Rate name]:[Rate name]],0),MATCH(CostStackCalcs_SME_1[[#Headers],[Ausnet]],OP_Rates_SME_1[[#Headers],[Ausnet]:[United Energy]],0))*$D$49),0))
+
(IFERROR((INDEX(OP_RatesTU_SME_1[[Ausnet]:[United Energy]],MATCH("Block 1",OP_RatesTU_SME_1[[Rate name]:[Rate name]],0),MATCH(CostStackCalcs_SME_1[[#Headers],[Ausnet]],OP_RatesTU_SME_1[[#Headers],[Ausnet]:[United Energy]],0))*($D$51/$I$53)),0)+
IFERROR((INDEX(OP_RatesTU_SME_1[[Ausnet]:[United Energy]],MATCH("Balance",OP_RatesTU_SME_1[[Rate name]:[Rate name]],0),MATCH(CostStackCalcs_SME_1[[#Headers],[Ausnet]],OP_RatesTU_SME_1[[#Headers],[Ausnet]:[United Energy]],0))*($D$52/$I$53)),0)+
IFERROR((INDEX(OP_RatesTU_SME_1[[Ausnet]:[United Energy]],MATCH("Single rate",OP_RatesTU_SME_1[[Rate name]:[Rate name]],0),MATCH(CostStackCalcs_SME_1[[#Headers],[Ausnet]],OP_RatesTU_SME_1[[#Headers],[Ausnet]:[United Energy]],0))*($D$49/$I$53)),0)),0))</f>
        <v>1895</v>
      </c>
      <c r="E67" s="75">
        <f>IF($D$32="Residential",
ROUNDUP(
(INDEX(OP_Rates_RES_1[[Ausnet]:[United Energy]],MATCH("Anytime - supply",OP_Rates_RES_1[[Rate name]:[Rate name]],0),MATCH(CostStackCalcs_RES_1[[#Headers],[Citipower]],OP_Rates_RES_1[[#Headers],[Ausnet]:[United Energy]],0))*DiY)+
(IFERROR((INDEX(OP_Rates_RES_1[[Ausnet]:[United Energy]],MATCH("Block 1",OP_Rates_RES_1[[Rate name]:[Rate name]],0),MATCH(CostStackCalcs_RES_1[[#Headers],[Citipower]],OP_Rates_RES_1[[#Headers],[Ausnet]:[United Energy]],0))*$D$51),0)+
IFERROR((INDEX(OP_Rates_RES_1[[Ausnet]:[United Energy]],MATCH("Balance",OP_Rates_RES_1[[Rate name]:[Rate name]],0),MATCH(CostStackCalcs_RES_1[[#Headers],[Citipower]],OP_Rates_RES_1[[#Headers],[Ausnet]:[United Energy]],0))*$D$52),0)+
IFERROR((INDEX(OP_Rates_RES_1[[Ausnet]:[United Energy]],MATCH("Single rate",OP_Rates_RES_1[[Rate name]:[Rate name]],0),MATCH(CostStackCalcs_RES_1[[#Headers],[Citipower]],OP_Rates_RES_1[[#Headers],[Ausnet]:[United Energy]],0))*$D$49),0))
+
(IFERROR((INDEX(OP_RatesTU_RES_1[[Ausnet]:[United Energy]],MATCH("Block 1",OP_RatesTU_RES_1[[Rate name]:[Rate name]],0),MATCH(CostStackCalcs_RES_1[[#Headers],[Citipower]],OP_RatesTU_RES_1[[#Headers],[Ausnet]:[United Energy]],0))*($D$51/$I$53)),0)+
IFERROR((INDEX(OP_RatesTU_RES_1[[Ausnet]:[United Energy]],MATCH("Balance",OP_RatesTU_RES_1[[Rate name]:[Rate name]],0),MATCH(CostStackCalcs_RES_1[[#Headers],[Citipower]],OP_RatesTU_RES_1[[#Headers],[Ausnet]:[United Energy]],0))*($D$52/$I$53)),0)+
IFERROR((INDEX(OP_RatesTU_RES_1[[Ausnet]:[United Energy]],MATCH("Single rate",OP_RatesTU_RES_1[[Rate name]:[Rate name]],0),MATCH(CostStackCalcs_RES_1[[#Headers],[Citipower]],OP_RatesTU_RES_1[[#Headers],[Ausnet]:[United Energy]],0))*($D$49/$I$53)),0)),0),
ROUNDUP(
(INDEX(OP_Rates_SME_1[[Ausnet]:[United Energy]],MATCH("Anytime - supply",OP_Rates_SME_1[[Rate name]:[Rate name]],0),MATCH(CostStackCalcs_SME_1[[#Headers],[Citipower]],OP_Rates_SME_1[[#Headers],[Ausnet]:[United Energy]],0))*DiY)+
(IFERROR((INDEX(OP_Rates_SME_1[[Ausnet]:[United Energy]],MATCH("Block 1",OP_Rates_SME_1[[Rate name]:[Rate name]],0),MATCH(CostStackCalcs_SME_1[[#Headers],[Citipower]],OP_Rates_SME_1[[#Headers],[Ausnet]:[United Energy]],0))*$D$51),0)+
IFERROR((INDEX(OP_Rates_SME_1[[Ausnet]:[United Energy]],MATCH("Balance",OP_Rates_SME_1[[Rate name]:[Rate name]],0),MATCH(CostStackCalcs_SME_1[[#Headers],[Citipower]],OP_Rates_SME_1[[#Headers],[Ausnet]:[United Energy]],0))*$D$52),0)+
IFERROR((INDEX(OP_Rates_SME_1[[Ausnet]:[United Energy]],MATCH("Single rate",OP_Rates_SME_1[[Rate name]:[Rate name]],0),MATCH(CostStackCalcs_SME_1[[#Headers],[Citipower]],OP_Rates_SME_1[[#Headers],[Ausnet]:[United Energy]],0))*$D$49),0))
+
(IFERROR((INDEX(OP_RatesTU_SME_1[[Ausnet]:[United Energy]],MATCH("Block 1",OP_RatesTU_SME_1[[Rate name]:[Rate name]],0),MATCH(CostStackCalcs_SME_1[[#Headers],[Citipower]],OP_RatesTU_SME_1[[#Headers],[Ausnet]:[United Energy]],0))*($D$51/$I$53)),0)+
IFERROR((INDEX(OP_RatesTU_SME_1[[Ausnet]:[United Energy]],MATCH("Balance",OP_RatesTU_SME_1[[Rate name]:[Rate name]],0),MATCH(CostStackCalcs_SME_1[[#Headers],[Citipower]],OP_RatesTU_SME_1[[#Headers],[Ausnet]:[United Energy]],0))*($D$52/$I$53)),0)+
IFERROR((INDEX(OP_RatesTU_SME_1[[Ausnet]:[United Energy]],MATCH("Single rate",OP_RatesTU_SME_1[[Rate name]:[Rate name]],0),MATCH(CostStackCalcs_SME_1[[#Headers],[Citipower]],OP_RatesTU_SME_1[[#Headers],[Ausnet]:[United Energy]],0))*($D$49/$I$53)),0)),0))</f>
        <v>1463</v>
      </c>
      <c r="F67" s="75">
        <f>IF($D$32="Residential",
ROUNDUP(
(INDEX(OP_Rates_RES_1[[Ausnet]:[United Energy]],MATCH("Anytime - supply",OP_Rates_RES_1[[Rate name]:[Rate name]],0),MATCH(CostStackCalcs_RES_1[[#Headers],[Jemena]],OP_Rates_RES_1[[#Headers],[Ausnet]:[United Energy]],0))*DiY)+
(IFERROR((INDEX(OP_Rates_RES_1[[Ausnet]:[United Energy]],MATCH("Block 1",OP_Rates_RES_1[[Rate name]:[Rate name]],0),MATCH(CostStackCalcs_RES_1[[#Headers],[Jemena]],OP_Rates_RES_1[[#Headers],[Ausnet]:[United Energy]],0))*$D$51),0)+
IFERROR((INDEX(OP_Rates_RES_1[[Ausnet]:[United Energy]],MATCH("Balance",OP_Rates_RES_1[[Rate name]:[Rate name]],0),MATCH(CostStackCalcs_RES_1[[#Headers],[Jemena]],OP_Rates_RES_1[[#Headers],[Ausnet]:[United Energy]],0))*$D$52),0)+
IFERROR((INDEX(OP_Rates_RES_1[[Ausnet]:[United Energy]],MATCH("Single rate",OP_Rates_RES_1[[Rate name]:[Rate name]],0),MATCH(CostStackCalcs_RES_1[[#Headers],[Jemena]],OP_Rates_RES_1[[#Headers],[Ausnet]:[United Energy]],0))*$D$49),0))
+
(IFERROR((INDEX(OP_RatesTU_RES_1[[Ausnet]:[United Energy]],MATCH("Block 1",OP_RatesTU_RES_1[[Rate name]:[Rate name]],0),MATCH(CostStackCalcs_RES_1[[#Headers],[Jemena]],OP_RatesTU_RES_1[[#Headers],[Ausnet]:[United Energy]],0))*($D$51/$I$53)),0)+
IFERROR((INDEX(OP_RatesTU_RES_1[[Ausnet]:[United Energy]],MATCH("Balance",OP_RatesTU_RES_1[[Rate name]:[Rate name]],0),MATCH(CostStackCalcs_RES_1[[#Headers],[Jemena]],OP_RatesTU_RES_1[[#Headers],[Ausnet]:[United Energy]],0))*($D$52/$I$53)),0)+
IFERROR((INDEX(OP_RatesTU_RES_1[[Ausnet]:[United Energy]],MATCH("Single rate",OP_RatesTU_RES_1[[Rate name]:[Rate name]],0),MATCH(CostStackCalcs_RES_1[[#Headers],[Jemena]],OP_RatesTU_RES_1[[#Headers],[Ausnet]:[United Energy]],0))*($D$49/$I$53)),0)),0),
ROUNDUP(
(INDEX(OP_Rates_SME_1[[Ausnet]:[United Energy]],MATCH("Anytime - supply",OP_Rates_SME_1[[Rate name]:[Rate name]],0),MATCH(CostStackCalcs_SME_1[[#Headers],[Jemena]],OP_Rates_SME_1[[#Headers],[Ausnet]:[United Energy]],0))*DiY)+
(IFERROR((INDEX(OP_Rates_SME_1[[Ausnet]:[United Energy]],MATCH("Block 1",OP_Rates_SME_1[[Rate name]:[Rate name]],0),MATCH(CostStackCalcs_SME_1[[#Headers],[Jemena]],OP_Rates_SME_1[[#Headers],[Ausnet]:[United Energy]],0))*$D$51),0)+
IFERROR((INDEX(OP_Rates_SME_1[[Ausnet]:[United Energy]],MATCH("Balance",OP_Rates_SME_1[[Rate name]:[Rate name]],0),MATCH(CostStackCalcs_SME_1[[#Headers],[Jemena]],OP_Rates_SME_1[[#Headers],[Ausnet]:[United Energy]],0))*$D$52),0)+
IFERROR((INDEX(OP_Rates_SME_1[[Ausnet]:[United Energy]],MATCH("Single rate",OP_Rates_SME_1[[Rate name]:[Rate name]],0),MATCH(CostStackCalcs_SME_1[[#Headers],[Jemena]],OP_Rates_SME_1[[#Headers],[Ausnet]:[United Energy]],0))*$D$49),0))
+
(IFERROR((INDEX(OP_RatesTU_SME_1[[Ausnet]:[United Energy]],MATCH("Block 1",OP_RatesTU_SME_1[[Rate name]:[Rate name]],0),MATCH(CostStackCalcs_SME_1[[#Headers],[Jemena]],OP_RatesTU_SME_1[[#Headers],[Ausnet]:[United Energy]],0))*($D$51/$I$53)),0)+
IFERROR((INDEX(OP_RatesTU_SME_1[[Ausnet]:[United Energy]],MATCH("Balance",OP_RatesTU_SME_1[[Rate name]:[Rate name]],0),MATCH(CostStackCalcs_SME_1[[#Headers],[Jemena]],OP_RatesTU_SME_1[[#Headers],[Ausnet]:[United Energy]],0))*($D$52/$I$53)),0)+
IFERROR((INDEX(OP_RatesTU_SME_1[[Ausnet]:[United Energy]],MATCH("Single rate",OP_RatesTU_SME_1[[Rate name]:[Rate name]],0),MATCH(CostStackCalcs_SME_1[[#Headers],[Jemena]],OP_RatesTU_SME_1[[#Headers],[Ausnet]:[United Energy]],0))*($D$49/$I$53)),0)),0))</f>
        <v>1644</v>
      </c>
      <c r="G67" s="75">
        <f>IF($D$32="Residential",
ROUNDUP(
(INDEX(OP_Rates_RES_1[[Ausnet]:[United Energy]],MATCH("Anytime - supply",OP_Rates_RES_1[[Rate name]:[Rate name]],0),MATCH(CostStackCalcs_RES_1[[#Headers],[Powercor]],OP_Rates_RES_1[[#Headers],[Ausnet]:[United Energy]],0))*DiY)+
(IFERROR((INDEX(OP_Rates_RES_1[[Ausnet]:[United Energy]],MATCH("Block 1",OP_Rates_RES_1[[Rate name]:[Rate name]],0),MATCH(CostStackCalcs_RES_1[[#Headers],[Powercor]],OP_Rates_RES_1[[#Headers],[Ausnet]:[United Energy]],0))*$D$51),0)+
IFERROR((INDEX(OP_Rates_RES_1[[Ausnet]:[United Energy]],MATCH("Balance",OP_Rates_RES_1[[Rate name]:[Rate name]],0),MATCH(CostStackCalcs_RES_1[[#Headers],[Powercor]],OP_Rates_RES_1[[#Headers],[Ausnet]:[United Energy]],0))*$D$52),0)+
IFERROR((INDEX(OP_Rates_RES_1[[Ausnet]:[United Energy]],MATCH("Single rate",OP_Rates_RES_1[[Rate name]:[Rate name]],0),MATCH(CostStackCalcs_RES_1[[#Headers],[Powercor]],OP_Rates_RES_1[[#Headers],[Ausnet]:[United Energy]],0))*$D$49),0))
+
(IFERROR((INDEX(OP_RatesTU_RES_1[[Ausnet]:[United Energy]],MATCH("Block 1",OP_RatesTU_RES_1[[Rate name]:[Rate name]],0),MATCH(CostStackCalcs_RES_1[[#Headers],[Powercor]],OP_RatesTU_RES_1[[#Headers],[Ausnet]:[United Energy]],0))*($D$51/$I$53)),0)+
IFERROR((INDEX(OP_RatesTU_RES_1[[Ausnet]:[United Energy]],MATCH("Balance",OP_RatesTU_RES_1[[Rate name]:[Rate name]],0),MATCH(CostStackCalcs_RES_1[[#Headers],[Powercor]],OP_RatesTU_RES_1[[#Headers],[Ausnet]:[United Energy]],0))*($D$52/$I$53)),0)+
IFERROR((INDEX(OP_RatesTU_RES_1[[Ausnet]:[United Energy]],MATCH("Single rate",OP_RatesTU_RES_1[[Rate name]:[Rate name]],0),MATCH(CostStackCalcs_RES_1[[#Headers],[Powercor]],OP_RatesTU_RES_1[[#Headers],[Ausnet]:[United Energy]],0))*($D$49/$I$53)),0)),0),
ROUNDUP(
(INDEX(OP_Rates_SME_1[[Ausnet]:[United Energy]],MATCH("Anytime - supply",OP_Rates_SME_1[[Rate name]:[Rate name]],0),MATCH(CostStackCalcs_SME_1[[#Headers],[Powercor]],OP_Rates_SME_1[[#Headers],[Ausnet]:[United Energy]],0))*DiY)+
(IFERROR((INDEX(OP_Rates_SME_1[[Ausnet]:[United Energy]],MATCH("Block 1",OP_Rates_SME_1[[Rate name]:[Rate name]],0),MATCH(CostStackCalcs_SME_1[[#Headers],[Powercor]],OP_Rates_SME_1[[#Headers],[Ausnet]:[United Energy]],0))*$D$51),0)+
IFERROR((INDEX(OP_Rates_SME_1[[Ausnet]:[United Energy]],MATCH("Balance",OP_Rates_SME_1[[Rate name]:[Rate name]],0),MATCH(CostStackCalcs_SME_1[[#Headers],[Powercor]],OP_Rates_SME_1[[#Headers],[Ausnet]:[United Energy]],0))*$D$52),0)+
IFERROR((INDEX(OP_Rates_SME_1[[Ausnet]:[United Energy]],MATCH("Single rate",OP_Rates_SME_1[[Rate name]:[Rate name]],0),MATCH(CostStackCalcs_SME_1[[#Headers],[Powercor]],OP_Rates_SME_1[[#Headers],[Ausnet]:[United Energy]],0))*$D$49),0))
+
(IFERROR((INDEX(OP_RatesTU_SME_1[[Ausnet]:[United Energy]],MATCH("Block 1",OP_RatesTU_SME_1[[Rate name]:[Rate name]],0),MATCH(CostStackCalcs_SME_1[[#Headers],[Powercor]],OP_RatesTU_SME_1[[#Headers],[Ausnet]:[United Energy]],0))*($D$51/$I$53)),0)+
IFERROR((INDEX(OP_RatesTU_SME_1[[Ausnet]:[United Energy]],MATCH("Balance",OP_RatesTU_SME_1[[Rate name]:[Rate name]],0),MATCH(CostStackCalcs_SME_1[[#Headers],[Powercor]],OP_RatesTU_SME_1[[#Headers],[Ausnet]:[United Energy]],0))*($D$52/$I$53)),0)+
IFERROR((INDEX(OP_RatesTU_SME_1[[Ausnet]:[United Energy]],MATCH("Single rate",OP_RatesTU_SME_1[[Rate name]:[Rate name]],0),MATCH(CostStackCalcs_SME_1[[#Headers],[Powercor]],OP_RatesTU_SME_1[[#Headers],[Ausnet]:[United Energy]],0))*($D$49/$I$53)),0)),0))</f>
        <v>1676</v>
      </c>
      <c r="H67" s="75">
        <f>IF($D$32="Residential",
ROUNDUP(
(INDEX(OP_Rates_RES_1[[Ausnet]:[United Energy]],MATCH("Anytime - supply",OP_Rates_RES_1[[Rate name]:[Rate name]],0),MATCH(CostStackCalcs_RES_1[[#Headers],[United Energy]],OP_Rates_RES_1[[#Headers],[Ausnet]:[United Energy]],0))*DiY)+
(IFERROR((INDEX(OP_Rates_RES_1[[Ausnet]:[United Energy]],MATCH("Block 1",OP_Rates_RES_1[[Rate name]:[Rate name]],0),MATCH(CostStackCalcs_RES_1[[#Headers],[United Energy]],OP_Rates_RES_1[[#Headers],[Ausnet]:[United Energy]],0))*$D$51),0)+
IFERROR((INDEX(OP_Rates_RES_1[[Ausnet]:[United Energy]],MATCH("Balance",OP_Rates_RES_1[[Rate name]:[Rate name]],0),MATCH(CostStackCalcs_RES_1[[#Headers],[United Energy]],OP_Rates_RES_1[[#Headers],[Ausnet]:[United Energy]],0))*$D$52),0)+
IFERROR((INDEX(OP_Rates_RES_1[[Ausnet]:[United Energy]],MATCH("Single rate",OP_Rates_RES_1[[Rate name]:[Rate name]],0),MATCH(CostStackCalcs_RES_1[[#Headers],[United Energy]],OP_Rates_RES_1[[#Headers],[Ausnet]:[United Energy]],0))*$D$49),0))
+
(IFERROR((INDEX(OP_RatesTU_RES_1[[Ausnet]:[United Energy]],MATCH("Block 1",OP_RatesTU_RES_1[[Rate name]:[Rate name]],0),MATCH(CostStackCalcs_RES_1[[#Headers],[United Energy]],OP_RatesTU_RES_1[[#Headers],[Ausnet]:[United Energy]],0))*($D$51/$I$53)),0)+
IFERROR((INDEX(OP_RatesTU_RES_1[[Ausnet]:[United Energy]],MATCH("Balance",OP_RatesTU_RES_1[[Rate name]:[Rate name]],0),MATCH(CostStackCalcs_RES_1[[#Headers],[United Energy]],OP_RatesTU_RES_1[[#Headers],[Ausnet]:[United Energy]],0))*($D$52/$I$53)),0)+
IFERROR((INDEX(OP_RatesTU_RES_1[[Ausnet]:[United Energy]],MATCH("Single rate",OP_RatesTU_RES_1[[Rate name]:[Rate name]],0),MATCH(CostStackCalcs_RES_1[[#Headers],[United Energy]],OP_RatesTU_RES_1[[#Headers],[Ausnet]:[United Energy]],0))*($D$49/$I$53)),0)),0),
ROUNDUP(
(INDEX(OP_Rates_SME_1[[Ausnet]:[United Energy]],MATCH("Anytime - supply",OP_Rates_SME_1[[Rate name]:[Rate name]],0),MATCH(CostStackCalcs_SME_1[[#Headers],[United Energy]],OP_Rates_SME_1[[#Headers],[Ausnet]:[United Energy]],0))*DiY)+
(IFERROR((INDEX(OP_Rates_SME_1[[Ausnet]:[United Energy]],MATCH("Block 1",OP_Rates_SME_1[[Rate name]:[Rate name]],0),MATCH(CostStackCalcs_SME_1[[#Headers],[United Energy]],OP_Rates_SME_1[[#Headers],[Ausnet]:[United Energy]],0))*$D$51),0)+
IFERROR((INDEX(OP_Rates_SME_1[[Ausnet]:[United Energy]],MATCH("Balance",OP_Rates_SME_1[[Rate name]:[Rate name]],0),MATCH(CostStackCalcs_SME_1[[#Headers],[United Energy]],OP_Rates_SME_1[[#Headers],[Ausnet]:[United Energy]],0))*$D$52),0)+
IFERROR((INDEX(OP_Rates_SME_1[[Ausnet]:[United Energy]],MATCH("Single rate",OP_Rates_SME_1[[Rate name]:[Rate name]],0),MATCH(CostStackCalcs_SME_1[[#Headers],[United Energy]],OP_Rates_SME_1[[#Headers],[Ausnet]:[United Energy]],0))*$D$49),0))
+
(IFERROR((INDEX(OP_RatesTU_SME_1[[Ausnet]:[United Energy]],MATCH("Block 1",OP_RatesTU_SME_1[[Rate name]:[Rate name]],0),MATCH(CostStackCalcs_SME_1[[#Headers],[United Energy]],OP_RatesTU_SME_1[[#Headers],[Ausnet]:[United Energy]],0))*($D$51/$I$53)),0)+
IFERROR((INDEX(OP_RatesTU_SME_1[[Ausnet]:[United Energy]],MATCH("Balance",OP_RatesTU_SME_1[[Rate name]:[Rate name]],0),MATCH(CostStackCalcs_SME_1[[#Headers],[United Energy]],OP_RatesTU_SME_1[[#Headers],[Ausnet]:[United Energy]],0))*($D$52/$I$53)),0)+
IFERROR((INDEX(OP_RatesTU_SME_1[[Ausnet]:[United Energy]],MATCH("Single rate",OP_RatesTU_SME_1[[Rate name]:[Rate name]],0),MATCH(CostStackCalcs_SME_1[[#Headers],[United Energy]],OP_RatesTU_SME_1[[#Headers],[Ausnet]:[United Energy]],0))*($D$49/$I$53)),0)),0))</f>
        <v>1536</v>
      </c>
      <c r="I67" s="75">
        <f>(AVERAGE(D67:H67))</f>
        <v>1642.8</v>
      </c>
      <c r="K67" s="18" t="s">
        <v>513</v>
      </c>
      <c r="L67" s="75">
        <f>IF($D$32="Residential",
ROUNDUP(
(INDEX(OP_Rates_RES_2[[Ausnet]:[United Energy]],MATCH("Anytime - supply",OP_Rates_RES_2[[Rate name]:[Rate name]],0),MATCH(CostStackCalcs_RES_2[[#Headers],[Ausnet]],OP_Rates_RES_2[[#Headers],[Ausnet]:[United Energy]],0))*DiPY)+
(IFERROR((INDEX(OP_Rates_RES_2[[Ausnet]:[United Energy]],MATCH("Block 1",OP_Rates_RES_2[[Rate name]:[Rate name]],0),MATCH(CostStackCalcs_RES_2[[#Headers],[Ausnet]],OP_Rates_RES_2[[#Headers],[Ausnet]:[United Energy]],0))*$L$51),0)+
IFERROR((INDEX(OP_Rates_RES_2[[Ausnet]:[United Energy]],MATCH("Balance",OP_Rates_RES_2[[Rate name]:[Rate name]],0),MATCH(CostStackCalcs_RES_2[[#Headers],[Ausnet]],OP_Rates_RES_2[[#Headers],[Ausnet]:[United Energy]],0))*$L$52),0)+
IFERROR((INDEX(OP_Rates_RES_2[[Ausnet]:[United Energy]],MATCH("Single rate",OP_Rates_RES_2[[Rate name]:[Rate name]],0),MATCH(CostStackCalcs_RES_2[[#Headers],[Ausnet]],OP_Rates_RES_2[[#Headers],[Ausnet]:[United Energy]],0))*$L$49),0))
+
(IFERROR((INDEX(OP_RatesTU_RES_2[[Ausnet]:[United Energy]],MATCH("Block 1",OP_RatesTU_RES_2[[Rate name]:[Rate name]],0),MATCH(CostStackCalcs_RES_2[[#Headers],[Ausnet]],OP_RatesTU_RES_2[[#Headers],[Ausnet]:[United Energy]],0))*($L$51/$Q$53)),0)+
IFERROR((INDEX(OP_RatesTU_RES_2[[Ausnet]:[United Energy]],MATCH("Balance",OP_RatesTU_RES_2[[Rate name]:[Rate name]],0),MATCH(CostStackCalcs_RES_2[[#Headers],[Ausnet]],OP_RatesTU_RES_2[[#Headers],[Ausnet]:[United Energy]],0))*($L$52/$Q$53)),0)+
IFERROR((INDEX(OP_RatesTU_RES_2[[Ausnet]:[United Energy]],MATCH("Single rate",OP_RatesTU_RES_2[[Rate name]:[Rate name]],0),MATCH(CostStackCalcs_RES_2[[#Headers],[Ausnet]],OP_RatesTU_RES_2[[#Headers],[Ausnet]:[United Energy]],0))*($L$49/$Q$53)),0)),0),ROUNDUP(
(INDEX(OP_Rates_SME_2[[Ausnet]:[United Energy]],MATCH("Anytime - supply",OP_Rates_SME_2[[Rate name]:[Rate name]],0),MATCH(CostStackCalcs_SME_2[[#Headers],[Ausnet]],OP_Rates_SME_2[[#Headers],[Ausnet]:[United Energy]],0))*DiPY)+
(IFERROR((INDEX(OP_Rates_SME_2[[Ausnet]:[United Energy]],MATCH("Block 1",OP_Rates_SME_2[[Rate name]:[Rate name]],0),MATCH(CostStackCalcs_SME_2[[#Headers],[Ausnet]],OP_Rates_SME_2[[#Headers],[Ausnet]:[United Energy]],0))*$L$51),0)+
IFERROR((INDEX(OP_Rates_SME_2[[Ausnet]:[United Energy]],MATCH("Balance",OP_Rates_SME_2[[Rate name]:[Rate name]],0),MATCH(CostStackCalcs_SME_2[[#Headers],[Ausnet]],OP_Rates_SME_2[[#Headers],[Ausnet]:[United Energy]],0))*$L$52),0)+
IFERROR((INDEX(OP_Rates_SME_2[[Ausnet]:[United Energy]],MATCH("Single rate",OP_Rates_SME_2[[Rate name]:[Rate name]],0),MATCH(CostStackCalcs_SME_2[[#Headers],[Ausnet]],OP_Rates_SME_2[[#Headers],[Ausnet]:[United Energy]],0))*$L$49),0))
+
(IFERROR((INDEX(OP_RatesTU_SME_2[[Ausnet]:[United Energy]],MATCH("Block 1",OP_RatesTU_SME_2[[Rate name]:[Rate name]],0),MATCH(CostStackCalcs_SME_2[[#Headers],[Ausnet]],OP_RatesTU_SME_2[[#Headers],[Ausnet]:[United Energy]],0))*($L$51/$Q$53)),0)+
IFERROR((INDEX(OP_RatesTU_SME_2[[Ausnet]:[United Energy]],MATCH("Balance",OP_RatesTU_SME_2[[Rate name]:[Rate name]],0),MATCH(CostStackCalcs_SME_2[[#Headers],[Ausnet]],OP_RatesTU_SME_2[[#Headers],[Ausnet]:[United Energy]],0))*($L$52/$Q$53)),0)+
IFERROR((INDEX(OP_RatesTU_SME_2[[Ausnet]:[United Energy]],MATCH("Single rate",OP_RatesTU_SME_2[[Rate name]:[Rate name]],0),MATCH(CostStackCalcs_SME_2[[#Headers],[Ausnet]],OP_RatesTU_SME_2[[#Headers],[Ausnet]:[United Energy]],0))*($L$49/$Q$53)),0)),0))</f>
        <v>2026</v>
      </c>
      <c r="M67" s="75">
        <f>IF($D$32="Residential",
ROUNDUP(
(INDEX(OP_Rates_RES_2[[Ausnet]:[United Energy]],MATCH("Anytime - supply",OP_Rates_RES_2[[Rate name]:[Rate name]],0),MATCH(CostStackCalcs_RES_2[[#Headers],[Citipower]],OP_Rates_RES_2[[#Headers],[Ausnet]:[United Energy]],0))*DiPY)+
(IFERROR((INDEX(OP_Rates_RES_2[[Ausnet]:[United Energy]],MATCH("Block 1",OP_Rates_RES_2[[Rate name]:[Rate name]],0),MATCH(CostStackCalcs_RES_2[[#Headers],[Citipower]],OP_Rates_RES_2[[#Headers],[Ausnet]:[United Energy]],0))*$L$51),0)+
IFERROR((INDEX(OP_Rates_RES_2[[Ausnet]:[United Energy]],MATCH("Balance",OP_Rates_RES_2[[Rate name]:[Rate name]],0),MATCH(CostStackCalcs_RES_2[[#Headers],[Citipower]],OP_Rates_RES_2[[#Headers],[Ausnet]:[United Energy]],0))*$L$52),0)+
IFERROR((INDEX(OP_Rates_RES_2[[Ausnet]:[United Energy]],MATCH("Single rate",OP_Rates_RES_2[[Rate name]:[Rate name]],0),MATCH(CostStackCalcs_RES_2[[#Headers],[Citipower]],OP_Rates_RES_2[[#Headers],[Ausnet]:[United Energy]],0))*$L$49),0))
+
(IFERROR((INDEX(OP_RatesTU_RES_2[[Ausnet]:[United Energy]],MATCH("Block 1",OP_RatesTU_RES_2[[Rate name]:[Rate name]],0),MATCH(CostStackCalcs_RES_2[[#Headers],[Citipower]],OP_RatesTU_RES_2[[#Headers],[Ausnet]:[United Energy]],0))*($L$51/$Q$53)),0)+
IFERROR((INDEX(OP_RatesTU_RES_2[[Ausnet]:[United Energy]],MATCH("Balance",OP_RatesTU_RES_2[[Rate name]:[Rate name]],0),MATCH(CostStackCalcs_RES_2[[#Headers],[Citipower]],OP_RatesTU_RES_2[[#Headers],[Ausnet]:[United Energy]],0))*($L$52/$Q$53)),0)+
IFERROR((INDEX(OP_RatesTU_RES_2[[Ausnet]:[United Energy]],MATCH("Single rate",OP_RatesTU_RES_2[[Rate name]:[Rate name]],0),MATCH(CostStackCalcs_RES_2[[#Headers],[Citipower]],OP_RatesTU_RES_2[[#Headers],[Ausnet]:[United Energy]],0))*($L$49/$Q$53)),0)),0),ROUNDUP(
(INDEX(OP_Rates_SME_2[[Ausnet]:[United Energy]],MATCH("Anytime - supply",OP_Rates_SME_2[[Rate name]:[Rate name]],0),MATCH(CostStackCalcs_SME_2[[#Headers],[Citipower]],OP_Rates_SME_2[[#Headers],[Ausnet]:[United Energy]],0))*DiPY)+
(IFERROR((INDEX(OP_Rates_SME_2[[Ausnet]:[United Energy]],MATCH("Block 1",OP_Rates_SME_2[[Rate name]:[Rate name]],0),MATCH(CostStackCalcs_SME_2[[#Headers],[Citipower]],OP_Rates_SME_2[[#Headers],[Ausnet]:[United Energy]],0))*$L$51),0)+
IFERROR((INDEX(OP_Rates_SME_2[[Ausnet]:[United Energy]],MATCH("Balance",OP_Rates_SME_2[[Rate name]:[Rate name]],0),MATCH(CostStackCalcs_SME_2[[#Headers],[Citipower]],OP_Rates_SME_2[[#Headers],[Ausnet]:[United Energy]],0))*$L$52),0)+
IFERROR((INDEX(OP_Rates_SME_2[[Ausnet]:[United Energy]],MATCH("Single rate",OP_Rates_SME_2[[Rate name]:[Rate name]],0),MATCH(CostStackCalcs_SME_2[[#Headers],[Citipower]],OP_Rates_SME_2[[#Headers],[Ausnet]:[United Energy]],0))*$L$49),0))
+
(IFERROR((INDEX(OP_RatesTU_SME_2[[Ausnet]:[United Energy]],MATCH("Block 1",OP_RatesTU_SME_2[[Rate name]:[Rate name]],0),MATCH(CostStackCalcs_SME_2[[#Headers],[Citipower]],OP_RatesTU_SME_2[[#Headers],[Ausnet]:[United Energy]],0))*($L$51/$Q$53)),0)+
IFERROR((INDEX(OP_RatesTU_SME_2[[Ausnet]:[United Energy]],MATCH("Balance",OP_RatesTU_SME_2[[Rate name]:[Rate name]],0),MATCH(CostStackCalcs_SME_2[[#Headers],[Citipower]],OP_RatesTU_SME_2[[#Headers],[Ausnet]:[United Energy]],0))*($L$52/$Q$53)),0)+
IFERROR((INDEX(OP_RatesTU_SME_2[[Ausnet]:[United Energy]],MATCH("Single rate",OP_RatesTU_SME_2[[Rate name]:[Rate name]],0),MATCH(CostStackCalcs_SME_2[[#Headers],[Citipower]],OP_RatesTU_SME_2[[#Headers],[Ausnet]:[United Energy]],0))*($L$49/$Q$53)),0)),0))</f>
        <v>1571</v>
      </c>
      <c r="N67" s="75">
        <f>IF($D$32="Residential",
ROUNDUP(
(INDEX(OP_Rates_RES_2[[Ausnet]:[United Energy]],MATCH("Anytime - supply",OP_Rates_RES_2[[Rate name]:[Rate name]],0),MATCH(CostStackCalcs_RES_2[[#Headers],[Jemena]],OP_Rates_RES_2[[#Headers],[Ausnet]:[United Energy]],0))*DiPY)+
(IFERROR((INDEX(OP_Rates_RES_2[[Ausnet]:[United Energy]],MATCH("Block 1",OP_Rates_RES_2[[Rate name]:[Rate name]],0),MATCH(CostStackCalcs_RES_2[[#Headers],[Jemena]],OP_Rates_RES_2[[#Headers],[Ausnet]:[United Energy]],0))*$L$51),0)+
IFERROR((INDEX(OP_Rates_RES_2[[Ausnet]:[United Energy]],MATCH("Balance",OP_Rates_RES_2[[Rate name]:[Rate name]],0),MATCH(CostStackCalcs_RES_2[[#Headers],[Jemena]],OP_Rates_RES_2[[#Headers],[Ausnet]:[United Energy]],0))*$L$52),0)+
IFERROR((INDEX(OP_Rates_RES_2[[Ausnet]:[United Energy]],MATCH("Single rate",OP_Rates_RES_2[[Rate name]:[Rate name]],0),MATCH(CostStackCalcs_RES_2[[#Headers],[Jemena]],OP_Rates_RES_2[[#Headers],[Ausnet]:[United Energy]],0))*$L$49),0))
+
(IFERROR((INDEX(OP_RatesTU_RES_2[[Ausnet]:[United Energy]],MATCH("Block 1",OP_RatesTU_RES_2[[Rate name]:[Rate name]],0),MATCH(CostStackCalcs_RES_2[[#Headers],[Jemena]],OP_RatesTU_RES_2[[#Headers],[Ausnet]:[United Energy]],0))*($L$51/$Q$53)),0)+
IFERROR((INDEX(OP_RatesTU_RES_2[[Ausnet]:[United Energy]],MATCH("Balance",OP_RatesTU_RES_2[[Rate name]:[Rate name]],0),MATCH(CostStackCalcs_RES_2[[#Headers],[Jemena]],OP_RatesTU_RES_2[[#Headers],[Ausnet]:[United Energy]],0))*($L$52/$Q$53)),0)+
IFERROR((INDEX(OP_RatesTU_RES_2[[Ausnet]:[United Energy]],MATCH("Single rate",OP_RatesTU_RES_2[[Rate name]:[Rate name]],0),MATCH(CostStackCalcs_RES_2[[#Headers],[Jemena]],OP_RatesTU_RES_2[[#Headers],[Ausnet]:[United Energy]],0))*($L$49/$Q$53)),0)),0),ROUNDUP(
(INDEX(OP_Rates_SME_2[[Ausnet]:[United Energy]],MATCH("Anytime - supply",OP_Rates_SME_2[[Rate name]:[Rate name]],0),MATCH(CostStackCalcs_SME_2[[#Headers],[Jemena]],OP_Rates_SME_2[[#Headers],[Ausnet]:[United Energy]],0))*DiPY)+
(IFERROR((INDEX(OP_Rates_SME_2[[Ausnet]:[United Energy]],MATCH("Block 1",OP_Rates_SME_2[[Rate name]:[Rate name]],0),MATCH(CostStackCalcs_SME_2[[#Headers],[Jemena]],OP_Rates_SME_2[[#Headers],[Ausnet]:[United Energy]],0))*$L$51),0)+
IFERROR((INDEX(OP_Rates_SME_2[[Ausnet]:[United Energy]],MATCH("Balance",OP_Rates_SME_2[[Rate name]:[Rate name]],0),MATCH(CostStackCalcs_SME_2[[#Headers],[Jemena]],OP_Rates_SME_2[[#Headers],[Ausnet]:[United Energy]],0))*$L$52),0)+
IFERROR((INDEX(OP_Rates_SME_2[[Ausnet]:[United Energy]],MATCH("Single rate",OP_Rates_SME_2[[Rate name]:[Rate name]],0),MATCH(CostStackCalcs_SME_2[[#Headers],[Jemena]],OP_Rates_SME_2[[#Headers],[Ausnet]:[United Energy]],0))*$L$49),0))
+
(IFERROR((INDEX(OP_RatesTU_SME_2[[Ausnet]:[United Energy]],MATCH("Block 1",OP_RatesTU_SME_2[[Rate name]:[Rate name]],0),MATCH(CostStackCalcs_SME_2[[#Headers],[Jemena]],OP_RatesTU_SME_2[[#Headers],[Ausnet]:[United Energy]],0))*($L$51/$Q$53)),0)+
IFERROR((INDEX(OP_RatesTU_SME_2[[Ausnet]:[United Energy]],MATCH("Balance",OP_RatesTU_SME_2[[Rate name]:[Rate name]],0),MATCH(CostStackCalcs_SME_2[[#Headers],[Jemena]],OP_RatesTU_SME_2[[#Headers],[Ausnet]:[United Energy]],0))*($L$52/$Q$53)),0)+
IFERROR((INDEX(OP_RatesTU_SME_2[[Ausnet]:[United Energy]],MATCH("Single rate",OP_RatesTU_SME_2[[Rate name]:[Rate name]],0),MATCH(CostStackCalcs_SME_2[[#Headers],[Jemena]],OP_RatesTU_SME_2[[#Headers],[Ausnet]:[United Energy]],0))*($L$49/$Q$53)),0)),0))</f>
        <v>1720</v>
      </c>
      <c r="O67" s="75">
        <f>IF($D$32="Residential",
ROUNDUP(
(INDEX(OP_Rates_RES_2[[Ausnet]:[United Energy]],MATCH("Anytime - supply",OP_Rates_RES_2[[Rate name]:[Rate name]],0),MATCH(CostStackCalcs_RES_2[[#Headers],[Powercor]],OP_Rates_RES_2[[#Headers],[Ausnet]:[United Energy]],0))*DiPY)+
(IFERROR((INDEX(OP_Rates_RES_2[[Ausnet]:[United Energy]],MATCH("Block 1",OP_Rates_RES_2[[Rate name]:[Rate name]],0),MATCH(CostStackCalcs_RES_2[[#Headers],[Powercor]],OP_Rates_RES_2[[#Headers],[Ausnet]:[United Energy]],0))*$L$51),0)+
IFERROR((INDEX(OP_Rates_RES_2[[Ausnet]:[United Energy]],MATCH("Balance",OP_Rates_RES_2[[Rate name]:[Rate name]],0),MATCH(CostStackCalcs_RES_2[[#Headers],[Powercor]],OP_Rates_RES_2[[#Headers],[Ausnet]:[United Energy]],0))*$L$52),0)+
IFERROR((INDEX(OP_Rates_RES_2[[Ausnet]:[United Energy]],MATCH("Single rate",OP_Rates_RES_2[[Rate name]:[Rate name]],0),MATCH(CostStackCalcs_RES_2[[#Headers],[Powercor]],OP_Rates_RES_2[[#Headers],[Ausnet]:[United Energy]],0))*$L$49),0))
+
(IFERROR((INDEX(OP_RatesTU_RES_2[[Ausnet]:[United Energy]],MATCH("Block 1",OP_RatesTU_RES_2[[Rate name]:[Rate name]],0),MATCH(CostStackCalcs_RES_2[[#Headers],[Powercor]],OP_RatesTU_RES_2[[#Headers],[Ausnet]:[United Energy]],0))*($L$51/$Q$53)),0)+
IFERROR((INDEX(OP_RatesTU_RES_2[[Ausnet]:[United Energy]],MATCH("Balance",OP_RatesTU_RES_2[[Rate name]:[Rate name]],0),MATCH(CostStackCalcs_RES_2[[#Headers],[Powercor]],OP_RatesTU_RES_2[[#Headers],[Ausnet]:[United Energy]],0))*($L$52/$Q$53)),0)+
IFERROR((INDEX(OP_RatesTU_RES_2[[Ausnet]:[United Energy]],MATCH("Single rate",OP_RatesTU_RES_2[[Rate name]:[Rate name]],0),MATCH(CostStackCalcs_RES_2[[#Headers],[Powercor]],OP_RatesTU_RES_2[[#Headers],[Ausnet]:[United Energy]],0))*($L$49/$Q$53)),0)),0),ROUNDUP(
(INDEX(OP_Rates_SME_2[[Ausnet]:[United Energy]],MATCH("Anytime - supply",OP_Rates_SME_2[[Rate name]:[Rate name]],0),MATCH(CostStackCalcs_SME_2[[#Headers],[Powercor]],OP_Rates_SME_2[[#Headers],[Ausnet]:[United Energy]],0))*DiPY)+
(IFERROR((INDEX(OP_Rates_SME_2[[Ausnet]:[United Energy]],MATCH("Block 1",OP_Rates_SME_2[[Rate name]:[Rate name]],0),MATCH(CostStackCalcs_SME_2[[#Headers],[Powercor]],OP_Rates_SME_2[[#Headers],[Ausnet]:[United Energy]],0))*$L$51),0)+
IFERROR((INDEX(OP_Rates_SME_2[[Ausnet]:[United Energy]],MATCH("Balance",OP_Rates_SME_2[[Rate name]:[Rate name]],0),MATCH(CostStackCalcs_SME_2[[#Headers],[Powercor]],OP_Rates_SME_2[[#Headers],[Ausnet]:[United Energy]],0))*$L$52),0)+
IFERROR((INDEX(OP_Rates_SME_2[[Ausnet]:[United Energy]],MATCH("Single rate",OP_Rates_SME_2[[Rate name]:[Rate name]],0),MATCH(CostStackCalcs_SME_2[[#Headers],[Powercor]],OP_Rates_SME_2[[#Headers],[Ausnet]:[United Energy]],0))*$L$49),0))
+
(IFERROR((INDEX(OP_RatesTU_SME_2[[Ausnet]:[United Energy]],MATCH("Block 1",OP_RatesTU_SME_2[[Rate name]:[Rate name]],0),MATCH(CostStackCalcs_SME_2[[#Headers],[Powercor]],OP_RatesTU_SME_2[[#Headers],[Ausnet]:[United Energy]],0))*($L$51/$Q$53)),0)+
IFERROR((INDEX(OP_RatesTU_SME_2[[Ausnet]:[United Energy]],MATCH("Balance",OP_RatesTU_SME_2[[Rate name]:[Rate name]],0),MATCH(CostStackCalcs_SME_2[[#Headers],[Powercor]],OP_RatesTU_SME_2[[#Headers],[Ausnet]:[United Energy]],0))*($L$52/$Q$53)),0)+
IFERROR((INDEX(OP_RatesTU_SME_2[[Ausnet]:[United Energy]],MATCH("Single rate",OP_RatesTU_SME_2[[Rate name]:[Rate name]],0),MATCH(CostStackCalcs_SME_2[[#Headers],[Powercor]],OP_RatesTU_SME_2[[#Headers],[Ausnet]:[United Energy]],0))*($L$49/$Q$53)),0)),0))</f>
        <v>1793</v>
      </c>
      <c r="P67" s="75">
        <f>IF($D$32="Residential",
ROUNDUP(
(INDEX(OP_Rates_RES_2[[Ausnet]:[United Energy]],MATCH("Anytime - supply",OP_Rates_RES_2[[Rate name]:[Rate name]],0),MATCH(CostStackCalcs_RES_2[[#Headers],[United Energy]],OP_Rates_RES_2[[#Headers],[Ausnet]:[United Energy]],0))*DiPY)+
(IFERROR((INDEX(OP_Rates_RES_2[[Ausnet]:[United Energy]],MATCH("Block 1",OP_Rates_RES_2[[Rate name]:[Rate name]],0),MATCH(CostStackCalcs_RES_2[[#Headers],[United Energy]],OP_Rates_RES_2[[#Headers],[Ausnet]:[United Energy]],0))*$L$51),0)+
IFERROR((INDEX(OP_Rates_RES_2[[Ausnet]:[United Energy]],MATCH("Balance",OP_Rates_RES_2[[Rate name]:[Rate name]],0),MATCH(CostStackCalcs_RES_2[[#Headers],[United Energy]],OP_Rates_RES_2[[#Headers],[Ausnet]:[United Energy]],0))*$L$52),0)+
IFERROR((INDEX(OP_Rates_RES_2[[Ausnet]:[United Energy]],MATCH("Single rate",OP_Rates_RES_2[[Rate name]:[Rate name]],0),MATCH(CostStackCalcs_RES_2[[#Headers],[United Energy]],OP_Rates_RES_2[[#Headers],[Ausnet]:[United Energy]],0))*$L$49),0))
+
(IFERROR((INDEX(OP_RatesTU_RES_2[[Ausnet]:[United Energy]],MATCH("Block 1",OP_RatesTU_RES_2[[Rate name]:[Rate name]],0),MATCH(CostStackCalcs_RES_2[[#Headers],[United Energy]],OP_RatesTU_RES_2[[#Headers],[Ausnet]:[United Energy]],0))*($L$51/$Q$53)),0)+
IFERROR((INDEX(OP_RatesTU_RES_2[[Ausnet]:[United Energy]],MATCH("Balance",OP_RatesTU_RES_2[[Rate name]:[Rate name]],0),MATCH(CostStackCalcs_RES_2[[#Headers],[United Energy]],OP_RatesTU_RES_2[[#Headers],[Ausnet]:[United Energy]],0))*($L$52/$Q$53)),0)+
IFERROR((INDEX(OP_RatesTU_RES_2[[Ausnet]:[United Energy]],MATCH("Single rate",OP_RatesTU_RES_2[[Rate name]:[Rate name]],0),MATCH(CostStackCalcs_RES_2[[#Headers],[United Energy]],OP_RatesTU_RES_2[[#Headers],[Ausnet]:[United Energy]],0))*($L$49/$Q$53)),0)),0),ROUNDUP(
(INDEX(OP_Rates_SME_2[[Ausnet]:[United Energy]],MATCH("Anytime - supply",OP_Rates_SME_2[[Rate name]:[Rate name]],0),MATCH(CostStackCalcs_SME_2[[#Headers],[United Energy]],OP_Rates_SME_2[[#Headers],[Ausnet]:[United Energy]],0))*DiPY)+
(IFERROR((INDEX(OP_Rates_SME_2[[Ausnet]:[United Energy]],MATCH("Block 1",OP_Rates_SME_2[[Rate name]:[Rate name]],0),MATCH(CostStackCalcs_SME_2[[#Headers],[United Energy]],OP_Rates_SME_2[[#Headers],[Ausnet]:[United Energy]],0))*$L$51),0)+
IFERROR((INDEX(OP_Rates_SME_2[[Ausnet]:[United Energy]],MATCH("Balance",OP_Rates_SME_2[[Rate name]:[Rate name]],0),MATCH(CostStackCalcs_SME_2[[#Headers],[United Energy]],OP_Rates_SME_2[[#Headers],[Ausnet]:[United Energy]],0))*$L$52),0)+
IFERROR((INDEX(OP_Rates_SME_2[[Ausnet]:[United Energy]],MATCH("Single rate",OP_Rates_SME_2[[Rate name]:[Rate name]],0),MATCH(CostStackCalcs_SME_2[[#Headers],[United Energy]],OP_Rates_SME_2[[#Headers],[Ausnet]:[United Energy]],0))*$L$49),0))
+
(IFERROR((INDEX(OP_RatesTU_SME_2[[Ausnet]:[United Energy]],MATCH("Block 1",OP_RatesTU_SME_2[[Rate name]:[Rate name]],0),MATCH(CostStackCalcs_SME_2[[#Headers],[United Energy]],OP_RatesTU_SME_2[[#Headers],[Ausnet]:[United Energy]],0))*($L$51/$Q$53)),0)+
IFERROR((INDEX(OP_RatesTU_SME_2[[Ausnet]:[United Energy]],MATCH("Balance",OP_RatesTU_SME_2[[Rate name]:[Rate name]],0),MATCH(CostStackCalcs_SME_2[[#Headers],[United Energy]],OP_RatesTU_SME_2[[#Headers],[Ausnet]:[United Energy]],0))*($L$52/$Q$53)),0)+
IFERROR((INDEX(OP_RatesTU_SME_2[[Ausnet]:[United Energy]],MATCH("Single rate",OP_RatesTU_SME_2[[Rate name]:[Rate name]],0),MATCH(CostStackCalcs_SME_2[[#Headers],[United Energy]],OP_RatesTU_SME_2[[#Headers],[Ausnet]:[United Energy]],0))*($L$49/$Q$53)),0)),0))</f>
        <v>1666</v>
      </c>
      <c r="Q67" s="75">
        <f>AVERAGE(L67:P67)</f>
        <v>1755.2</v>
      </c>
    </row>
    <row r="68" spans="3:24" outlineLevel="1" x14ac:dyDescent="0.25"/>
    <row r="69" spans="3:24" ht="15.75" outlineLevel="1" x14ac:dyDescent="0.25">
      <c r="C69" s="78" t="s">
        <v>16</v>
      </c>
      <c r="D69" s="215">
        <f t="shared" ref="D69:I69" si="6">IF(AND(D67-D65&lt;=1,D67-D65&gt;=-1),0,1)</f>
        <v>0</v>
      </c>
      <c r="E69" s="215">
        <f t="shared" si="6"/>
        <v>0</v>
      </c>
      <c r="F69" s="215">
        <f t="shared" si="6"/>
        <v>0</v>
      </c>
      <c r="G69" s="215">
        <f t="shared" si="6"/>
        <v>0</v>
      </c>
      <c r="H69" s="215">
        <f t="shared" si="6"/>
        <v>0</v>
      </c>
      <c r="I69" s="215">
        <f t="shared" si="6"/>
        <v>0</v>
      </c>
      <c r="K69" s="78" t="s">
        <v>16</v>
      </c>
      <c r="L69" s="215">
        <f t="shared" ref="L69:Q69" si="7">IF(AND(L67-L65&lt;=1,L67-L65&gt;=-1),0,1)</f>
        <v>0</v>
      </c>
      <c r="M69" s="215">
        <f t="shared" si="7"/>
        <v>0</v>
      </c>
      <c r="N69" s="215">
        <f t="shared" si="7"/>
        <v>0</v>
      </c>
      <c r="O69" s="215">
        <f t="shared" si="7"/>
        <v>0</v>
      </c>
      <c r="P69" s="215">
        <f t="shared" si="7"/>
        <v>0</v>
      </c>
      <c r="Q69" s="215">
        <f t="shared" si="7"/>
        <v>0</v>
      </c>
    </row>
    <row r="70" spans="3:24" outlineLevel="1" x14ac:dyDescent="0.25">
      <c r="T70" s="62"/>
    </row>
    <row r="71" spans="3:24" ht="15.75" outlineLevel="1" x14ac:dyDescent="0.25">
      <c r="C71" s="31" t="s">
        <v>258</v>
      </c>
      <c r="D71" s="72">
        <f>INDEX(Input_ForRateCalc[],MATCH($C71,Input_ForRateCalc[Cost item],0),MATCH($D$46,Inputs!$C$15:$AZ$15,0))</f>
        <v>5.6000000000000001E-2</v>
      </c>
      <c r="E71" s="72">
        <f>INDEX(Input_ForRateCalc[],MATCH($C71,Input_ForRateCalc[[Cost item]:[Cost item]],0),MATCH($D$46,Inputs!$C$15:$AZ$15,0))</f>
        <v>5.6000000000000001E-2</v>
      </c>
      <c r="F71" s="72">
        <f>INDEX(Input_ForRateCalc[],MATCH($C71,Input_ForRateCalc[[Cost item]:[Cost item]],0),MATCH($D$46,Inputs!$C$15:$AZ$15,0))</f>
        <v>5.6000000000000001E-2</v>
      </c>
      <c r="G71" s="72">
        <f>INDEX(Input_ForRateCalc[],MATCH($C71,Input_ForRateCalc[[Cost item]:[Cost item]],0),MATCH($D$46,Inputs!$C$15:$AZ$15,0))</f>
        <v>5.6000000000000001E-2</v>
      </c>
      <c r="H71" s="72">
        <f>INDEX(Input_ForRateCalc[],MATCH($C71,Input_ForRateCalc[[Cost item]:[Cost item]],0),MATCH($D$46,Inputs!$C$15:$AZ$15,0))</f>
        <v>5.6000000000000001E-2</v>
      </c>
      <c r="K71" s="31" t="s">
        <v>258</v>
      </c>
      <c r="L71" s="72">
        <f>INDEX(Input_ForRateCalc[],MATCH($K71,Input_ForRateCalc[[Cost item]:[Cost item]],0),MATCH($L$46,Inputs!$C$15:$AZ$15,0))</f>
        <v>5.6000000000000001E-2</v>
      </c>
      <c r="M71" s="72">
        <f>INDEX(Input_ForRateCalc[],MATCH($K71,Input_ForRateCalc[[Cost item]:[Cost item]],0),MATCH($L$46,Inputs!$C$15:$AZ$15,0))</f>
        <v>5.6000000000000001E-2</v>
      </c>
      <c r="N71" s="72">
        <f>INDEX(Input_ForRateCalc[],MATCH($K71,Input_ForRateCalc[[Cost item]:[Cost item]],0),MATCH($L$46,Inputs!$C$15:$AZ$15,0))</f>
        <v>5.6000000000000001E-2</v>
      </c>
      <c r="O71" s="72">
        <f>INDEX(Input_ForRateCalc[],MATCH($K71,Input_ForRateCalc[[Cost item]:[Cost item]],0),MATCH($L$46,Inputs!$C$15:$AZ$15,0))</f>
        <v>5.6000000000000001E-2</v>
      </c>
      <c r="P71" s="72">
        <f>INDEX(Input_ForRateCalc[],MATCH($K71,Input_ForRateCalc[[Cost item]:[Cost item]],0),MATCH($L$46,Inputs!$C$15:$AZ$15,0))</f>
        <v>5.6000000000000001E-2</v>
      </c>
      <c r="U71" s="85"/>
    </row>
    <row r="72" spans="3:24" outlineLevel="1" x14ac:dyDescent="0.25">
      <c r="U72" s="84"/>
    </row>
    <row r="73" spans="3:24" ht="15.75" outlineLevel="1" x14ac:dyDescent="0.25">
      <c r="C73" s="31" t="s">
        <v>366</v>
      </c>
      <c r="D73" s="72">
        <f>INDEX(Calc_Losses_1[[Ausnet]:[United Energy]],MATCH("Total loss factor",Calc_Losses_1[Cost item],0),MATCH(D$55,Calc_Losses_1[[#Headers],[Ausnet]:[United Energy]],0))</f>
        <v>8.5432100000000011E-2</v>
      </c>
      <c r="E73" s="72">
        <f>INDEX(Calc_Losses_1[[Ausnet]:[United Energy]],MATCH("Total loss factor",Calc_Losses_1[Cost item],0),MATCH(E$55,Calc_Losses_1[[#Headers],[Ausnet]:[United Energy]],0))</f>
        <v>4.4999999999999929E-2</v>
      </c>
      <c r="F73" s="72">
        <f>INDEX(Calc_Losses_1[[Ausnet]:[United Energy]],MATCH("Total loss factor",Calc_Losses_1[Cost item],0),MATCH(F$55,Calc_Losses_1[[#Headers],[Ausnet]:[United Energy]],0))</f>
        <v>4.5326819999999879E-2</v>
      </c>
      <c r="G73" s="72">
        <f>INDEX(Calc_Losses_1[[Ausnet]:[United Energy]],MATCH("Total loss factor",Calc_Losses_1[Cost item],0),MATCH(G$55,Calc_Losses_1[[#Headers],[Ausnet]:[United Energy]],0))</f>
        <v>7.165240000000006E-2</v>
      </c>
      <c r="H73" s="72">
        <f>INDEX(Calc_Losses_1[[Ausnet]:[United Energy]],MATCH("Total loss factor",Calc_Losses_1[Cost item],0),MATCH(H$55,Calc_Losses_1[[#Headers],[Ausnet]:[United Energy]],0))</f>
        <v>4.6937210000000062E-2</v>
      </c>
      <c r="K73" s="31" t="s">
        <v>366</v>
      </c>
      <c r="L73" s="72">
        <f>INDEX(Calc_Losses_2[[Ausnet]:[United Energy]],MATCH("Total loss factor",Calc_Losses_2[Cost item],0),MATCH(L$55,Calc_Losses_2[[#Headers],[Ausnet]:[United Energy]],0))</f>
        <v>8.5419688344982481E-2</v>
      </c>
      <c r="M73" s="72">
        <f>INDEX(Calc_Losses_2[[Ausnet]:[United Energy]],MATCH("Total loss factor",Calc_Losses_2[Cost item],0),MATCH(M$55,Calc_Losses_2[[#Headers],[Ausnet]:[United Energy]],0))</f>
        <v>4.4989549999999934E-2</v>
      </c>
      <c r="N73" s="72">
        <f>INDEX(Calc_Losses_2[[Ausnet]:[United Energy]],MATCH("Total loss factor",Calc_Losses_2[Cost item],0),MATCH(N$55,Calc_Losses_2[[#Headers],[Ausnet]:[United Energy]],0))</f>
        <v>4.5352937499999912E-2</v>
      </c>
      <c r="O73" s="72">
        <f>INDEX(Calc_Losses_2[[Ausnet]:[United Energy]],MATCH("Total loss factor",Calc_Losses_2[Cost item],0),MATCH(O$55,Calc_Losses_2[[#Headers],[Ausnet]:[United Energy]],0))</f>
        <v>7.1431145265919538E-2</v>
      </c>
      <c r="P73" s="72">
        <f>INDEX(Calc_Losses_2[[Ausnet]:[United Energy]],MATCH("Total loss factor",Calc_Losses_2[Cost item],0),MATCH(P$55,Calc_Losses_2[[#Headers],[Ausnet]:[United Energy]],0))</f>
        <v>4.6946740000000098E-2</v>
      </c>
    </row>
    <row r="74" spans="3:24" outlineLevel="1" x14ac:dyDescent="0.25">
      <c r="U74" s="143"/>
    </row>
    <row r="75" spans="3:24" ht="15.75" outlineLevel="1" x14ac:dyDescent="0.25">
      <c r="C75" s="24" t="s">
        <v>522</v>
      </c>
      <c r="K75" s="24" t="s">
        <v>522</v>
      </c>
    </row>
    <row r="76" spans="3:24" ht="15.75" outlineLevel="1" x14ac:dyDescent="0.25">
      <c r="C76" s="31" t="s">
        <v>523</v>
      </c>
      <c r="D76" s="73">
        <f>SUM(Calc_Retail_1[Ausnet])</f>
        <v>187.59415017239178</v>
      </c>
      <c r="E76" s="73">
        <f>SUM(Calc_Retail_1[Citipower])</f>
        <v>187.59415017239178</v>
      </c>
      <c r="F76" s="73">
        <f>SUM(Calc_Retail_1[Jemena])</f>
        <v>187.59415017239178</v>
      </c>
      <c r="G76" s="73">
        <f>SUM(Calc_Retail_1[Powercor])</f>
        <v>187.59415017239178</v>
      </c>
      <c r="H76" s="73">
        <f>SUM(Calc_Retail_1[United Energy])</f>
        <v>187.59415017239178</v>
      </c>
      <c r="K76" s="31" t="s">
        <v>523</v>
      </c>
      <c r="L76" s="73">
        <f>SUM(Calc_Retail_2[Ausnet])</f>
        <v>175.92415101117138</v>
      </c>
      <c r="M76" s="73">
        <f>SUM(Calc_Retail_2[Citipower])</f>
        <v>175.92415101117138</v>
      </c>
      <c r="N76" s="73">
        <f>SUM(Calc_Retail_2[Jemena])</f>
        <v>175.92415101117138</v>
      </c>
      <c r="O76" s="73">
        <f>SUM(Calc_Retail_2[Powercor])</f>
        <v>175.92415101117138</v>
      </c>
      <c r="P76" s="73">
        <f>SUM(Calc_Retail_2[United Energy])</f>
        <v>175.92415101117138</v>
      </c>
    </row>
    <row r="77" spans="3:24" outlineLevel="1" x14ac:dyDescent="0.25">
      <c r="T77" s="62"/>
      <c r="V77" s="80"/>
    </row>
    <row r="78" spans="3:24" ht="15.75" outlineLevel="1" x14ac:dyDescent="0.25">
      <c r="C78" s="31" t="s">
        <v>524</v>
      </c>
      <c r="D78" s="73">
        <f>INDEX(Calc_NetworkF_1[[Ausnet]:[United Energy]],MATCH("Metering",Calc_NetworkF_1[[Cost item]:[Cost item]],0),MATCH(D$55,Calc_NetworkF_1[[#Headers],[Ausnet]:[United Energy]],0))+
SUMIFS(Calc_NetworkF_1[Ausnet],Calc_NetworkF_1[[Cost item]:[Cost item]],"Anytime - supply",Calc_NetworkF_1[[Customer type]:[Customer type]],IF(ISNUMBER(SEARCH("Residential",$C$49)),"Residential","Small business"))</f>
        <v>225.54324933881708</v>
      </c>
      <c r="E78" s="73">
        <f>INDEX(Calc_NetworkF_1[[Ausnet]:[United Energy]],MATCH("Metering",Calc_NetworkF_1[[Cost item]:[Cost item]],0),MATCH(E$55,Calc_NetworkF_1[[#Headers],[Ausnet]:[United Energy]],0))+
SUMIFS(Calc_NetworkF_1[Citipower],Calc_NetworkF_1[[Cost item]:[Cost item]],"Anytime - supply",Calc_NetworkF_1[[Customer type]:[Customer type]],IF(ISNUMBER(SEARCH("Residential",$C$49)),"Residential","Small business"))</f>
        <v>162.15229665898102</v>
      </c>
      <c r="F78" s="73">
        <f>INDEX(Calc_NetworkF_1[[Ausnet]:[United Energy]],MATCH("Metering",Calc_NetworkF_1[[Cost item]:[Cost item]],0),MATCH(F$55,Calc_NetworkF_1[[#Headers],[Ausnet]:[United Energy]],0))+
SUMIFS(Calc_NetworkF_1[Jemena],Calc_NetworkF_1[[Cost item]:[Cost item]],"Anytime - supply",Calc_NetworkF_1[[Customer type]:[Customer type]],IF(ISNUMBER(SEARCH("Residential",$C$49)),"Residential","Small business"))</f>
        <v>174.03494354251873</v>
      </c>
      <c r="G78" s="73">
        <f>INDEX(Calc_NetworkF_1[[Ausnet]:[United Energy]],MATCH("Metering",Calc_NetworkF_1[[Cost item]:[Cost item]],0),MATCH(G$55,Calc_NetworkF_1[[#Headers],[Ausnet]:[United Energy]],0))+
SUMIFS(Calc_NetworkF_1[Powercor],Calc_NetworkF_1[[Cost item]:[Cost item]],"Anytime - supply",Calc_NetworkF_1[[Customer type]:[Customer type]],IF(ISNUMBER(SEARCH("Residential",$C$49)),"Residential","Small business"))</f>
        <v>208.40474579404665</v>
      </c>
      <c r="H78" s="73">
        <f>INDEX(Calc_NetworkF_1[[Ausnet]:[United Energy]],MATCH("Metering",Calc_NetworkF_1[[Cost item]:[Cost item]],0),MATCH(H$55,Calc_NetworkF_1[[#Headers],[Ausnet]:[United Energy]],0))+
SUMIFS(Calc_NetworkF_1[United Energy],Calc_NetworkF_1[[Cost item]:[Cost item]],"Anytime - supply",Calc_NetworkF_1[[Customer type]:[Customer type]],IF(ISNUMBER(SEARCH("Residential",$C$49)),"Residential","Small business"))</f>
        <v>138.83769378217175</v>
      </c>
      <c r="K78" s="31" t="s">
        <v>524</v>
      </c>
      <c r="L78" s="73">
        <f>INDEX(Calc_NetworkF_2[[Ausnet]:[United Energy]],MATCH("Metering",Calc_NetworkF_2[[Cost item]:[Cost item]],0),MATCH(L$55,Calc_NetworkF_2[[#Headers],[Ausnet]:[United Energy]],0))+
SUMIFS(Calc_NetworkF_2[Ausnet],Calc_NetworkF_2[[Cost item]:[Cost item]],"Anytime - supply",Calc_NetworkF_2[[Customer type]:[Customer type]],IF(ISNUMBER(SEARCH("Residential",$K$49)),"Residential","Small business"))</f>
        <v>213.97054227419011</v>
      </c>
      <c r="M78" s="73">
        <f>INDEX(Calc_NetworkF_2[[Ausnet]:[United Energy]],MATCH("Metering",Calc_NetworkF_2[[Cost item]:[Cost item]],0),MATCH(M$55,Calc_NetworkF_2[[#Headers],[Ausnet]:[United Energy]],0))+
SUMIFS(Calc_NetworkF_2[Citipower],Calc_NetworkF_2[[Cost item]:[Cost item]],"Anytime - supply",Calc_NetworkF_2[[Customer type]:[Customer type]],IF(ISNUMBER(SEARCH("Residential",$K$49)),"Residential","Small business"))</f>
        <v>159.58949568695607</v>
      </c>
      <c r="N78" s="73">
        <f>INDEX(Calc_NetworkF_2[[Ausnet]:[United Energy]],MATCH("Metering",Calc_NetworkF_2[[Cost item]:[Cost item]],0),MATCH(N$55,Calc_NetworkF_2[[#Headers],[Ausnet]:[United Energy]],0))+
SUMIFS(Calc_NetworkF_2[Jemena],Calc_NetworkF_2[[Cost item]:[Cost item]],"Anytime - supply",Calc_NetworkF_2[[Customer type]:[Customer type]],IF(ISNUMBER(SEARCH("Residential",$K$49)),"Residential","Small business"))</f>
        <v>156.85934275504374</v>
      </c>
      <c r="O78" s="73">
        <f>INDEX(Calc_NetworkF_2[[Ausnet]:[United Energy]],MATCH("Metering",Calc_NetworkF_2[[Cost item]:[Cost item]],0),MATCH(O$55,Calc_NetworkF_2[[#Headers],[Ausnet]:[United Energy]],0))+
SUMIFS(Calc_NetworkF_2[Powercor],Calc_NetworkF_2[[Cost item]:[Cost item]],"Anytime - supply",Calc_NetworkF_2[[Customer type]:[Customer type]],IF(ISNUMBER(SEARCH("Residential",$K$49)),"Residential","Small business"))</f>
        <v>206.12355510552027</v>
      </c>
      <c r="P78" s="73">
        <f>INDEX(Calc_NetworkF_2[[Ausnet]:[United Energy]],MATCH("Metering",Calc_NetworkF_2[[Cost item]:[Cost item]],0),MATCH(P$55,Calc_NetworkF_2[[#Headers],[Ausnet]:[United Energy]],0))+
SUMIFS(Calc_NetworkF_2[United Energy],Calc_NetworkF_2[[Cost item]:[Cost item]],"Anytime - supply",Calc_NetworkF_2[[Customer type]:[Customer type]],IF(ISNUMBER(SEARCH("Residential",$K$49)),"Residential","Small business"))</f>
        <v>137.18128763194755</v>
      </c>
      <c r="T78" s="62"/>
      <c r="V78" s="80"/>
    </row>
    <row r="79" spans="3:24" outlineLevel="1" x14ac:dyDescent="0.25">
      <c r="V79" s="80"/>
    </row>
    <row r="80" spans="3:24" ht="15.75" outlineLevel="1" x14ac:dyDescent="0.25">
      <c r="C80" s="31" t="s">
        <v>141</v>
      </c>
      <c r="D80" s="73">
        <f>SUMIFS(Calc_OtherCosts_1[Ausnet],Calc_OtherCosts_1[[Fixed/Variable]:[Fixed/Variable]],"Fixed")</f>
        <v>11.074480216903517</v>
      </c>
      <c r="E80" s="73">
        <f>SUMIFS(Calc_OtherCosts_1[Citipower],Calc_OtherCosts_1[[Fixed/Variable]:[Fixed/Variable]],"Fixed")</f>
        <v>11.074480216903517</v>
      </c>
      <c r="F80" s="73">
        <f>SUMIFS(Calc_OtherCosts_1[Jemena],Calc_OtherCosts_1[[Fixed/Variable]:[Fixed/Variable]],"Fixed")</f>
        <v>11.074480216903517</v>
      </c>
      <c r="G80" s="73">
        <f>SUMIFS(Calc_OtherCosts_1[Powercor],Calc_OtherCosts_1[[Fixed/Variable]:[Fixed/Variable]],"Fixed")</f>
        <v>11.074480216903517</v>
      </c>
      <c r="H80" s="73">
        <f>SUMIFS(Calc_OtherCosts_1[United Energy],Calc_OtherCosts_1[[Fixed/Variable]:[Fixed/Variable]],"Fixed")</f>
        <v>11.074480216903517</v>
      </c>
      <c r="K80" s="31" t="s">
        <v>141</v>
      </c>
      <c r="L80" s="73">
        <f>SUMIFS(Calc_OtherCosts_2[Ausnet],Calc_OtherCosts_2[[Fixed/Variable]:[Fixed/Variable]],"Fixed")</f>
        <v>10.663924892904003</v>
      </c>
      <c r="M80" s="73">
        <f>SUMIFS(Calc_OtherCosts_2[Citipower],Calc_OtherCosts_2[[Fixed/Variable]:[Fixed/Variable]],"Fixed")</f>
        <v>10.663924892904003</v>
      </c>
      <c r="N80" s="73">
        <f>SUMIFS(Calc_OtherCosts_2[Jemena],Calc_OtherCosts_2[[Fixed/Variable]:[Fixed/Variable]],"Fixed")</f>
        <v>10.663924892904003</v>
      </c>
      <c r="O80" s="73">
        <f>SUMIFS(Calc_OtherCosts_2[Powercor],Calc_OtherCosts_2[[Fixed/Variable]:[Fixed/Variable]],"Fixed")</f>
        <v>10.663924892904003</v>
      </c>
      <c r="P80" s="73">
        <f>SUMIFS(Calc_OtherCosts_2[United Energy],Calc_OtherCosts_2[[Fixed/Variable]:[Fixed/Variable]],"Fixed")</f>
        <v>10.663924892904003</v>
      </c>
      <c r="T80" s="62"/>
      <c r="V80" s="80"/>
    </row>
    <row r="81" spans="3:24" outlineLevel="1" x14ac:dyDescent="0.25">
      <c r="V81" s="80"/>
      <c r="X81" s="79"/>
    </row>
    <row r="82" spans="3:24" ht="15.75" outlineLevel="1" x14ac:dyDescent="0.25">
      <c r="C82" s="31" t="s">
        <v>525</v>
      </c>
      <c r="D82" s="73">
        <f>INDEX(Calc_FiT_1[[Ausnet]:[United Energy]],1,MATCH(D$55,Calc_FiT_1[[#Headers],[Ausnet]:[United Energy]],0))</f>
        <v>17.695706209818297</v>
      </c>
      <c r="E82" s="73">
        <f>INDEX(Calc_FiT_1[[Ausnet]:[United Energy]],1,MATCH(E$55,Calc_FiT_1[[#Headers],[Ausnet]:[United Energy]],0))</f>
        <v>17.695706209818297</v>
      </c>
      <c r="F82" s="73">
        <f>INDEX(Calc_FiT_1[[Ausnet]:[United Energy]],1,MATCH(F$55,Calc_FiT_1[[#Headers],[Ausnet]:[United Energy]],0))</f>
        <v>17.695706209818297</v>
      </c>
      <c r="G82" s="73">
        <f>INDEX(Calc_FiT_1[[Ausnet]:[United Energy]],1,MATCH(G$55,Calc_FiT_1[[#Headers],[Ausnet]:[United Energy]],0))</f>
        <v>17.695706209818297</v>
      </c>
      <c r="H82" s="73">
        <f>INDEX(Calc_FiT_1[[Ausnet]:[United Energy]],1,MATCH(H$55,Calc_FiT_1[[#Headers],[Ausnet]:[United Energy]],0))</f>
        <v>17.695706209818297</v>
      </c>
      <c r="K82" s="31" t="s">
        <v>525</v>
      </c>
      <c r="L82" s="73">
        <f>INDEX(Calc_FiT_2[[Ausnet]:[United Energy]],1,MATCH(L$55,Calc_FiT_2[[#Headers],[Ausnet]:[United Energy]],0))</f>
        <v>16.945572514842485</v>
      </c>
      <c r="M82" s="73">
        <f>INDEX(Calc_FiT_2[[Ausnet]:[United Energy]],1,MATCH(M$55,Calc_FiT_2[[#Headers],[Ausnet]:[United Energy]],0))</f>
        <v>16.945572514842485</v>
      </c>
      <c r="N82" s="73">
        <f>INDEX(Calc_FiT_2[[Ausnet]:[United Energy]],1,MATCH(N$55,Calc_FiT_2[[#Headers],[Ausnet]:[United Energy]],0))</f>
        <v>16.945572514842485</v>
      </c>
      <c r="O82" s="73">
        <f>INDEX(Calc_FiT_2[[Ausnet]:[United Energy]],1,MATCH(O$55,Calc_FiT_2[[#Headers],[Ausnet]:[United Energy]],0))</f>
        <v>16.945572514842485</v>
      </c>
      <c r="P82" s="73">
        <f>INDEX(Calc_FiT_2[[Ausnet]:[United Energy]],1,MATCH(P$55,Calc_FiT_2[[#Headers],[Ausnet]:[United Energy]],0))</f>
        <v>16.945572514842485</v>
      </c>
    </row>
    <row r="83" spans="3:24" outlineLevel="1" x14ac:dyDescent="0.25"/>
    <row r="84" spans="3:24" ht="15.75" outlineLevel="1" x14ac:dyDescent="0.25">
      <c r="C84" s="24" t="s">
        <v>526</v>
      </c>
      <c r="K84" s="24" t="s">
        <v>526</v>
      </c>
    </row>
    <row r="85" spans="3:24" ht="15.75" outlineLevel="1" x14ac:dyDescent="0.25">
      <c r="C85" s="31" t="s">
        <v>83</v>
      </c>
      <c r="D85" s="73">
        <f>INDEX(Calc_EnviroVEU_1[[Ausnet]:[United Energy]],MATCH("VEU cost",Calc_EnviroVEU_1[[Cost item]:[Cost item]],0),MATCH(D$55,Calc_EnviroVEU_1[[#Headers],[Ausnet]:[United Energy]],0))+
INDEX(Calc_EnviroLRET_1[[Ausnet]:[United Energy]],MATCH("LRET cost",Calc_EnviroLRET_1[[Cost item]:[Cost item]],0),MATCH(D$55,Calc_EnviroLRET_1[[#Headers],[Ausnet]:[United Energy]],0))+
INDEX(Calc_EnviroSRES_1[[Ausnet]:[United Energy]],MATCH("SRES cost",Calc_EnviroSRES_1[[Cost item]:[Cost item]],0),MATCH(D$55,Calc_EnviroSRES_1[[#Headers],[Ausnet]:[United Energy]],0))</f>
        <v>2.7482716000000001E-2</v>
      </c>
      <c r="E85" s="73">
        <f>INDEX(Calc_EnviroVEU_1[[Ausnet]:[United Energy]],MATCH("VEU cost",Calc_EnviroVEU_1[[Cost item]:[Cost item]],0),MATCH(E$55,Calc_EnviroVEU_1[[#Headers],[Ausnet]:[United Energy]],0))+
INDEX(Calc_EnviroLRET_1[[Ausnet]:[United Energy]],MATCH("LRET cost",Calc_EnviroLRET_1[[Cost item]:[Cost item]],0),MATCH(E$55,Calc_EnviroLRET_1[[#Headers],[Ausnet]:[United Energy]],0))+
INDEX(Calc_EnviroSRES_1[[Ausnet]:[United Energy]],MATCH("SRES cost",Calc_EnviroSRES_1[[Cost item]:[Cost item]],0),MATCH(E$55,Calc_EnviroSRES_1[[#Headers],[Ausnet]:[United Energy]],0))</f>
        <v>2.7482716000000001E-2</v>
      </c>
      <c r="F85" s="73">
        <f>INDEX(Calc_EnviroVEU_1[[Ausnet]:[United Energy]],MATCH("VEU cost",Calc_EnviroVEU_1[[Cost item]:[Cost item]],0),MATCH(F$55,Calc_EnviroVEU_1[[#Headers],[Ausnet]:[United Energy]],0))+
INDEX(Calc_EnviroLRET_1[[Ausnet]:[United Energy]],MATCH("LRET cost",Calc_EnviroLRET_1[[Cost item]:[Cost item]],0),MATCH(F$55,Calc_EnviroLRET_1[[#Headers],[Ausnet]:[United Energy]],0))+
INDEX(Calc_EnviroSRES_1[[Ausnet]:[United Energy]],MATCH("SRES cost",Calc_EnviroSRES_1[[Cost item]:[Cost item]],0),MATCH(F$55,Calc_EnviroSRES_1[[#Headers],[Ausnet]:[United Energy]],0))</f>
        <v>2.7482716000000001E-2</v>
      </c>
      <c r="G85" s="73">
        <f>INDEX(Calc_EnviroVEU_1[[Ausnet]:[United Energy]],MATCH("VEU cost",Calc_EnviroVEU_1[[Cost item]:[Cost item]],0),MATCH(G$55,Calc_EnviroVEU_1[[#Headers],[Ausnet]:[United Energy]],0))+
INDEX(Calc_EnviroLRET_1[[Ausnet]:[United Energy]],MATCH("LRET cost",Calc_EnviroLRET_1[[Cost item]:[Cost item]],0),MATCH(G$55,Calc_EnviroLRET_1[[#Headers],[Ausnet]:[United Energy]],0))+
INDEX(Calc_EnviroSRES_1[[Ausnet]:[United Energy]],MATCH("SRES cost",Calc_EnviroSRES_1[[Cost item]:[Cost item]],0),MATCH(G$55,Calc_EnviroSRES_1[[#Headers],[Ausnet]:[United Energy]],0))</f>
        <v>2.7482716000000001E-2</v>
      </c>
      <c r="H85" s="73">
        <f>INDEX(Calc_EnviroVEU_1[[Ausnet]:[United Energy]],MATCH("VEU cost",Calc_EnviroVEU_1[[Cost item]:[Cost item]],0),MATCH(H$55,Calc_EnviroVEU_1[[#Headers],[Ausnet]:[United Energy]],0))+
INDEX(Calc_EnviroLRET_1[[Ausnet]:[United Energy]],MATCH("LRET cost",Calc_EnviroLRET_1[[Cost item]:[Cost item]],0),MATCH(H$55,Calc_EnviroLRET_1[[#Headers],[Ausnet]:[United Energy]],0))+
INDEX(Calc_EnviroSRES_1[[Ausnet]:[United Energy]],MATCH("SRES cost",Calc_EnviroSRES_1[[Cost item]:[Cost item]],0),MATCH(H$55,Calc_EnviroSRES_1[[#Headers],[Ausnet]:[United Energy]],0))</f>
        <v>2.7482716000000001E-2</v>
      </c>
      <c r="K85" s="31" t="s">
        <v>83</v>
      </c>
      <c r="L85" s="73">
        <f>INDEX(Calc_EnviroVEU_2[[Ausnet]:[United Energy]],MATCH("VEU cost",Calc_EnviroVEU_2[[Cost item]:[Cost item]],0),MATCH(L$55,Calc_EnviroVEU_2[[#Headers],[Ausnet]:[United Energy]],0))+
INDEX(Calc_EnviroLRET_2[[Ausnet]:[United Energy]],MATCH("LRET cost",Calc_EnviroLRET_2[[Cost item]:[Cost item]],0),MATCH(L$55,Calc_EnviroLRET_2[[#Headers],[Ausnet]:[United Energy]],0))+
INDEX(Calc_EnviroSRES_2[[Ausnet]:[United Energy]],MATCH("SRES cost",Calc_EnviroSRES_2[[Cost item]:[Cost item]],0),MATCH(L$55,Calc_EnviroSRES_2[[#Headers],[Ausnet]:[United Energy]],0))</f>
        <v>2.843221042152444E-2</v>
      </c>
      <c r="M85" s="73">
        <f>INDEX(Calc_EnviroVEU_2[[Ausnet]:[United Energy]],MATCH("VEU cost",Calc_EnviroVEU_2[[Cost item]:[Cost item]],0),MATCH(M$55,Calc_EnviroVEU_2[[#Headers],[Ausnet]:[United Energy]],0))+
INDEX(Calc_EnviroLRET_2[[Ausnet]:[United Energy]],MATCH("LRET cost",Calc_EnviroLRET_2[[Cost item]:[Cost item]],0),MATCH(M$55,Calc_EnviroLRET_2[[#Headers],[Ausnet]:[United Energy]],0))+
INDEX(Calc_EnviroSRES_2[[Ausnet]:[United Energy]],MATCH("SRES cost",Calc_EnviroSRES_2[[Cost item]:[Cost item]],0),MATCH(M$55,Calc_EnviroSRES_2[[#Headers],[Ausnet]:[United Energy]],0))</f>
        <v>2.843221042152444E-2</v>
      </c>
      <c r="N85" s="73">
        <f>INDEX(Calc_EnviroVEU_2[[Ausnet]:[United Energy]],MATCH("VEU cost",Calc_EnviroVEU_2[[Cost item]:[Cost item]],0),MATCH(N$55,Calc_EnviroVEU_2[[#Headers],[Ausnet]:[United Energy]],0))+
INDEX(Calc_EnviroLRET_2[[Ausnet]:[United Energy]],MATCH("LRET cost",Calc_EnviroLRET_2[[Cost item]:[Cost item]],0),MATCH(N$55,Calc_EnviroLRET_2[[#Headers],[Ausnet]:[United Energy]],0))+
INDEX(Calc_EnviroSRES_2[[Ausnet]:[United Energy]],MATCH("SRES cost",Calc_EnviroSRES_2[[Cost item]:[Cost item]],0),MATCH(N$55,Calc_EnviroSRES_2[[#Headers],[Ausnet]:[United Energy]],0))</f>
        <v>2.843221042152444E-2</v>
      </c>
      <c r="O85" s="73">
        <f>INDEX(Calc_EnviroVEU_2[[Ausnet]:[United Energy]],MATCH("VEU cost",Calc_EnviroVEU_2[[Cost item]:[Cost item]],0),MATCH(O$55,Calc_EnviroVEU_2[[#Headers],[Ausnet]:[United Energy]],0))+
INDEX(Calc_EnviroLRET_2[[Ausnet]:[United Energy]],MATCH("LRET cost",Calc_EnviroLRET_2[[Cost item]:[Cost item]],0),MATCH(O$55,Calc_EnviroLRET_2[[#Headers],[Ausnet]:[United Energy]],0))+
INDEX(Calc_EnviroSRES_2[[Ausnet]:[United Energy]],MATCH("SRES cost",Calc_EnviroSRES_2[[Cost item]:[Cost item]],0),MATCH(O$55,Calc_EnviroSRES_2[[#Headers],[Ausnet]:[United Energy]],0))</f>
        <v>2.843221042152444E-2</v>
      </c>
      <c r="P85" s="73">
        <f>INDEX(Calc_EnviroVEU_2[[Ausnet]:[United Energy]],MATCH("VEU cost",Calc_EnviroVEU_2[[Cost item]:[Cost item]],0),MATCH(P$55,Calc_EnviroVEU_2[[#Headers],[Ausnet]:[United Energy]],0))+
INDEX(Calc_EnviroLRET_2[[Ausnet]:[United Energy]],MATCH("LRET cost",Calc_EnviroLRET_2[[Cost item]:[Cost item]],0),MATCH(P$55,Calc_EnviroLRET_2[[#Headers],[Ausnet]:[United Energy]],0))+
INDEX(Calc_EnviroSRES_2[[Ausnet]:[United Energy]],MATCH("SRES cost",Calc_EnviroSRES_2[[Cost item]:[Cost item]],0),MATCH(P$55,Calc_EnviroSRES_2[[#Headers],[Ausnet]:[United Energy]],0))</f>
        <v>2.843221042152444E-2</v>
      </c>
    </row>
    <row r="86" spans="3:24" outlineLevel="1" x14ac:dyDescent="0.25"/>
    <row r="87" spans="3:24" ht="15.75" outlineLevel="1" x14ac:dyDescent="0.25">
      <c r="C87" s="31" t="s">
        <v>176</v>
      </c>
      <c r="D87" s="73">
        <f>IF(ISNUMBER(SEARCH("Residential",$C$49)),
INDEX(Calc_WholesaleRES_1[[Ausnet]:[United Energy]],MATCH("Wholesale cost",Calc_WholesaleRES_1[[Cost item]:[Cost item]],0),MATCH(D$55,Calc_WholesaleRES_1[[#Headers],[Ausnet]:[United Energy]],0)),
INDEX(Calc_WholesaleSME_1[[Ausnet]:[United Energy]],MATCH("Wholesale cost",Calc_WholesaleSME_1[[Cost item]:[Cost item]],0),MATCH(D$55,Calc_WholesaleSME_1[[#Headers],[Ausnet]:[United Energy]],0)))</f>
        <v>0.12142</v>
      </c>
      <c r="E87" s="73">
        <f>IF(ISNUMBER(SEARCH("Residential",$C$49)),
INDEX(Calc_WholesaleRES_1[[Ausnet]:[United Energy]],MATCH("Wholesale cost",Calc_WholesaleRES_1[[Cost item]:[Cost item]],0),MATCH(E$55,Calc_WholesaleRES_1[[#Headers],[Ausnet]:[United Energy]],0)),
INDEX(Calc_WholesaleSME_1[[Ausnet]:[United Energy]],MATCH("Wholesale cost",Calc_WholesaleSME_1[[Cost item]:[Cost item]],0),MATCH(E$55,Calc_WholesaleSME_1[[#Headers],[Ausnet]:[United Energy]],0)))</f>
        <v>0.10559</v>
      </c>
      <c r="F87" s="73">
        <f>IF(ISNUMBER(SEARCH("Residential",$C$49)),
INDEX(Calc_WholesaleRES_1[[Ausnet]:[United Energy]],MATCH("Wholesale cost",Calc_WholesaleRES_1[[Cost item]:[Cost item]],0),MATCH(F$55,Calc_WholesaleRES_1[[#Headers],[Ausnet]:[United Energy]],0)),
INDEX(Calc_WholesaleSME_1[[Ausnet]:[United Energy]],MATCH("Wholesale cost",Calc_WholesaleSME_1[[Cost item]:[Cost item]],0),MATCH(F$55,Calc_WholesaleSME_1[[#Headers],[Ausnet]:[United Energy]],0)))</f>
        <v>0.1192</v>
      </c>
      <c r="G87" s="73">
        <f>IF(ISNUMBER(SEARCH("Residential",$C$49)),
INDEX(Calc_WholesaleRES_1[[Ausnet]:[United Energy]],MATCH("Wholesale cost",Calc_WholesaleRES_1[[Cost item]:[Cost item]],0),MATCH(G$55,Calc_WholesaleRES_1[[#Headers],[Ausnet]:[United Energy]],0)),
INDEX(Calc_WholesaleSME_1[[Ausnet]:[United Energy]],MATCH("Wholesale cost",Calc_WholesaleSME_1[[Cost item]:[Cost item]],0),MATCH(G$55,Calc_WholesaleSME_1[[#Headers],[Ausnet]:[United Energy]],0)))</f>
        <v>0.12068</v>
      </c>
      <c r="H87" s="73">
        <f>IF(ISNUMBER(SEARCH("Residential",$C$49)),
INDEX(Calc_WholesaleRES_1[[Ausnet]:[United Energy]],MATCH("Wholesale cost",Calc_WholesaleRES_1[[Cost item]:[Cost item]],0),MATCH(H$55,Calc_WholesaleRES_1[[#Headers],[Ausnet]:[United Energy]],0)),
INDEX(Calc_WholesaleSME_1[[Ausnet]:[United Energy]],MATCH("Wholesale cost",Calc_WholesaleSME_1[[Cost item]:[Cost item]],0),MATCH(H$55,Calc_WholesaleSME_1[[#Headers],[Ausnet]:[United Energy]],0)))</f>
        <v>0.1168</v>
      </c>
      <c r="K87" s="31" t="s">
        <v>176</v>
      </c>
      <c r="L87" s="73">
        <f>IF(ISNUMBER(SEARCH("Residential",$K$49)),
INDEX(Calc_WholesaleRES_2[[Ausnet]:[United Energy]],MATCH("Wholesale cost",Calc_WholesaleRES_2[[Cost item]:[Cost item]],0),MATCH(L$55,Calc_WholesaleRES_2[[#Headers],[Ausnet]:[United Energy]],0)),
INDEX(Calc_WholesaleSME_2[[Ausnet]:[United Energy]],MATCH("Wholesale cost",Calc_WholesaleSME_2[[Cost item]:[Cost item]],0),MATCH(L$55,Calc_WholesaleSME_2[[#Headers],[Ausnet]:[United Energy]],0)))</f>
        <v>0.15582341721574622</v>
      </c>
      <c r="M87" s="73">
        <f>IF(ISNUMBER(SEARCH("Residential",$K$49)),
INDEX(Calc_WholesaleRES_2[[Ausnet]:[United Energy]],MATCH("Wholesale cost",Calc_WholesaleRES_2[[Cost item]:[Cost item]],0),MATCH(M$55,Calc_WholesaleRES_2[[#Headers],[Ausnet]:[United Energy]],0)),
INDEX(Calc_WholesaleSME_2[[Ausnet]:[United Energy]],MATCH("Wholesale cost",Calc_WholesaleSME_2[[Cost item]:[Cost item]],0),MATCH(M$55,Calc_WholesaleSME_2[[#Headers],[Ausnet]:[United Energy]],0)))</f>
        <v>0.13699867658724985</v>
      </c>
      <c r="N87" s="73">
        <f>IF(ISNUMBER(SEARCH("Residential",$K$49)),
INDEX(Calc_WholesaleRES_2[[Ausnet]:[United Energy]],MATCH("Wholesale cost",Calc_WholesaleRES_2[[Cost item]:[Cost item]],0),MATCH(N$55,Calc_WholesaleRES_2[[#Headers],[Ausnet]:[United Energy]],0)),
INDEX(Calc_WholesaleSME_2[[Ausnet]:[United Energy]],MATCH("Wholesale cost",Calc_WholesaleSME_2[[Cost item]:[Cost item]],0),MATCH(N$55,Calc_WholesaleSME_2[[#Headers],[Ausnet]:[United Energy]],0)))</f>
        <v>0.15299408314912863</v>
      </c>
      <c r="O87" s="73">
        <f>IF(ISNUMBER(SEARCH("Residential",$K$49)),
INDEX(Calc_WholesaleRES_2[[Ausnet]:[United Energy]],MATCH("Wholesale cost",Calc_WholesaleRES_2[[Cost item]:[Cost item]],0),MATCH(O$55,Calc_WholesaleRES_2[[#Headers],[Ausnet]:[United Energy]],0)),
INDEX(Calc_WholesaleSME_2[[Ausnet]:[United Energy]],MATCH("Wholesale cost",Calc_WholesaleSME_2[[Cost item]:[Cost item]],0),MATCH(O$55,Calc_WholesaleSME_2[[#Headers],[Ausnet]:[United Energy]],0)))</f>
        <v>0.15371489848306913</v>
      </c>
      <c r="P87" s="73">
        <f>IF(ISNUMBER(SEARCH("Residential",$K$49)),
INDEX(Calc_WholesaleRES_2[[Ausnet]:[United Energy]],MATCH("Wholesale cost",Calc_WholesaleRES_2[[Cost item]:[Cost item]],0),MATCH(P$55,Calc_WholesaleRES_2[[#Headers],[Ausnet]:[United Energy]],0)),
INDEX(Calc_WholesaleSME_2[[Ausnet]:[United Energy]],MATCH("Wholesale cost",Calc_WholesaleSME_2[[Cost item]:[Cost item]],0),MATCH(P$55,Calc_WholesaleSME_2[[#Headers],[Ausnet]:[United Energy]],0)))</f>
        <v>0.15046968338948136</v>
      </c>
    </row>
    <row r="88" spans="3:24" outlineLevel="1" x14ac:dyDescent="0.25"/>
    <row r="89" spans="3:24" ht="15.75" outlineLevel="1" x14ac:dyDescent="0.25">
      <c r="C89" s="31" t="s">
        <v>141</v>
      </c>
      <c r="D89" s="73">
        <f>SUMIFS(Calc_OtherCosts_1[Ausnet],Calc_OtherCosts_1[[Fixed/Variable]:[Fixed/Variable]],"Variable")</f>
        <v>7.8047200000000005E-4</v>
      </c>
      <c r="E89" s="73">
        <f>SUMIFS(Calc_OtherCosts_1[Citipower],Calc_OtherCosts_1[[Fixed/Variable]:[Fixed/Variable]],"Variable")</f>
        <v>7.8047200000000005E-4</v>
      </c>
      <c r="F89" s="73">
        <f>SUMIFS(Calc_OtherCosts_1[Jemena],Calc_OtherCosts_1[[Fixed/Variable]:[Fixed/Variable]],"Variable")</f>
        <v>7.8047200000000005E-4</v>
      </c>
      <c r="G89" s="73">
        <f>SUMIFS(Calc_OtherCosts_1[Powercor],Calc_OtherCosts_1[[Fixed/Variable]:[Fixed/Variable]],"Variable")</f>
        <v>7.8047200000000005E-4</v>
      </c>
      <c r="H89" s="73">
        <f>SUMIFS(Calc_OtherCosts_1[United Energy],Calc_OtherCosts_1[[Fixed/Variable]:[Fixed/Variable]],"Variable")</f>
        <v>7.8047200000000005E-4</v>
      </c>
      <c r="K89" s="31" t="s">
        <v>141</v>
      </c>
      <c r="L89" s="73">
        <f>SUMIFS(Calc_OtherCosts_2[Ausnet],Calc_OtherCosts_2[[Fixed/Variable]:[Fixed/Variable]],"Variable")</f>
        <v>1.6791732404258365E-3</v>
      </c>
      <c r="M89" s="73">
        <f>SUMIFS(Calc_OtherCosts_2[Citipower],Calc_OtherCosts_2[[Fixed/Variable]:[Fixed/Variable]],"Variable")</f>
        <v>1.6791732404258365E-3</v>
      </c>
      <c r="N89" s="73">
        <f>SUMIFS(Calc_OtherCosts_2[Jemena],Calc_OtherCosts_2[[Fixed/Variable]:[Fixed/Variable]],"Variable")</f>
        <v>1.6791732404258365E-3</v>
      </c>
      <c r="O89" s="73">
        <f>SUMIFS(Calc_OtherCosts_2[Powercor],Calc_OtherCosts_2[[Fixed/Variable]:[Fixed/Variable]],"Variable")</f>
        <v>1.6791732404258365E-3</v>
      </c>
      <c r="P89" s="73">
        <f>SUMIFS(Calc_OtherCosts_2[United Energy],Calc_OtherCosts_2[[Fixed/Variable]:[Fixed/Variable]],"Variable")</f>
        <v>1.6791732404258365E-3</v>
      </c>
    </row>
    <row r="90" spans="3:24" outlineLevel="1" x14ac:dyDescent="0.25"/>
    <row r="91" spans="3:24" ht="15.75" outlineLevel="1" x14ac:dyDescent="0.25">
      <c r="C91" s="31" t="s">
        <v>527</v>
      </c>
      <c r="K91" s="31" t="s">
        <v>527</v>
      </c>
    </row>
    <row r="92" spans="3:24" outlineLevel="1" x14ac:dyDescent="0.25">
      <c r="C92" t="s">
        <v>68</v>
      </c>
      <c r="D92" s="73">
        <f>SUMIFS(Calc_NetworkV_1[Ausnet],Calc_NetworkV_1[[Cost item]:[Cost item]],$C92,Calc_NetworkV_1[[Customer type]:[Customer type]],IF(ISNUMBER(SEARCH("Residential",$C$49)),"Residential","Small business"))</f>
        <v>0.13469799999999998</v>
      </c>
      <c r="E92" s="73">
        <f>SUMIFS(Calc_NetworkV_1[Citipower],Calc_NetworkV_1[[Cost item]:[Cost item]],$C92,Calc_NetworkV_1[[Customer type]:[Customer type]],IF(ISNUMBER(SEARCH("Residential",$C$49)),"Residential","Small business"))</f>
        <v>0</v>
      </c>
      <c r="F92" s="73">
        <f>SUMIFS(Calc_NetworkV_1[Jemena],Calc_NetworkV_1[[Cost item]:[Cost item]],$C92,Calc_NetworkV_1[[Customer type]:[Customer type]],IF(ISNUMBER(SEARCH("Residential",$C$49)),"Residential","Small business"))</f>
        <v>0</v>
      </c>
      <c r="G92" s="73">
        <f>SUMIFS(Calc_NetworkV_1[Powercor],Calc_NetworkV_1[Cost item],$C92,Calc_NetworkV_1[Customer type],IF(ISNUMBER(SEARCH("Residential",$C$49)),"Residential","Small business"))</f>
        <v>0</v>
      </c>
      <c r="H92" s="73">
        <f>SUMIFS(Calc_NetworkV_1[United Energy],Calc_NetworkV_1[[Cost item]:[Cost item]],$C92,Calc_NetworkV_1[[Customer type]:[Customer type]],IF(ISNUMBER(SEARCH("Residential",$C$49)),"Residential","Small business"))</f>
        <v>0</v>
      </c>
      <c r="K92" t="s">
        <v>68</v>
      </c>
      <c r="L92" s="73">
        <f>SUMIFS(Calc_NetworkV_2[Ausnet],Calc_NetworkV_2[Cost item],$K92,Calc_NetworkV_2[Customer type],IF(ISNUMBER(SEARCH("Residential",$K$49)),"Residential","Small business"))</f>
        <v>0.1309807741874299</v>
      </c>
      <c r="M92" s="73">
        <f>SUMIFS(Calc_NetworkV_2[Citipower],Calc_NetworkV_2[[Cost item]:[Cost item]],$K92,Calc_NetworkV_2[[Customer type]:[Customer type]],IF(ISNUMBER(SEARCH("Residential",$K$49)),"Residential","Small business"))</f>
        <v>0</v>
      </c>
      <c r="N92" s="73">
        <f>SUMIFS(Calc_NetworkV_2[Jemena],Calc_NetworkV_2[[Cost item]:[Cost item]],$K92,Calc_NetworkV_2[[Customer type]:[Customer type]],IF(ISNUMBER(SEARCH("Residential",$K$49)),"Residential","Small business"))</f>
        <v>0</v>
      </c>
      <c r="O92" s="73">
        <f>SUMIFS(Calc_NetworkV_2[Powercor],Calc_NetworkV_2[[Cost item]:[Cost item]],$K92,Calc_NetworkV_2[[Customer type]:[Customer type]],IF(ISNUMBER(SEARCH("Residential",$K$49)),"Residential","Small business"))</f>
        <v>0</v>
      </c>
      <c r="P92" s="73">
        <f>SUMIFS(Calc_NetworkV_2[United Energy],Calc_NetworkV_2[[Cost item]:[Cost item]],$K92,Calc_NetworkV_2[[Customer type]:[Customer type]],IF(ISNUMBER(SEARCH("Residential",$K$49)),"Residential","Small business"))</f>
        <v>0</v>
      </c>
    </row>
    <row r="93" spans="3:24" outlineLevel="1" x14ac:dyDescent="0.25">
      <c r="C93" t="s">
        <v>70</v>
      </c>
      <c r="D93" s="73">
        <f>SUMIFS(Calc_NetworkV_1[Ausnet],Calc_NetworkV_1[[Cost item]:[Cost item]],$C93,Calc_NetworkV_1[[Customer type]:[Customer type]],IF(ISNUMBER(SEARCH("Residential",$C$49)),"Residential","Small business"))</f>
        <v>0.13737199999999999</v>
      </c>
      <c r="E93" s="73">
        <f>SUMIFS(Calc_NetworkV_1[Citipower],Calc_NetworkV_1[[Cost item]:[Cost item]],$C93,Calc_NetworkV_1[[Customer type]:[Customer type]],IF(ISNUMBER(SEARCH("Residential",$C$49)),"Residential","Small business"))</f>
        <v>0</v>
      </c>
      <c r="F93" s="73">
        <f>SUMIFS(Calc_NetworkV_1[Jemena],Calc_NetworkV_1[[Cost item]:[Cost item]],$C93,Calc_NetworkV_1[[Customer type]:[Customer type]],IF(ISNUMBER(SEARCH("Residential",$C$49)),"Residential","Small business"))</f>
        <v>0</v>
      </c>
      <c r="G93" s="73">
        <f>SUMIFS(Calc_NetworkV_1[Powercor],Calc_NetworkV_1[[Cost item]:[Cost item]],$C93,Calc_NetworkV_1[[Customer type]:[Customer type]],IF(ISNUMBER(SEARCH("Residential",$C$49)),"Residential","Small business"))</f>
        <v>0</v>
      </c>
      <c r="H93" s="73">
        <f>SUMIFS(Calc_NetworkV_1[United Energy],Calc_NetworkV_1[[Cost item]:[Cost item]],$C93,Calc_NetworkV_1[[Customer type]:[Customer type]],IF(ISNUMBER(SEARCH("Residential",$C$49)),"Residential","Small business"))</f>
        <v>0</v>
      </c>
      <c r="K93" t="s">
        <v>70</v>
      </c>
      <c r="L93" s="73">
        <f>SUMIFS(Calc_NetworkV_2[Ausnet],Calc_NetworkV_2[[Cost item]:[Cost item]],$K93,Calc_NetworkV_2[[Customer type]:[Customer type]],IF(ISNUMBER(SEARCH("Residential",$K$49)),"Residential","Small business"))</f>
        <v>0.13989069468735993</v>
      </c>
      <c r="M93" s="73">
        <f>SUMIFS(Calc_NetworkV_2[Citipower],Calc_NetworkV_2[[Cost item]:[Cost item]],$K93,Calc_NetworkV_2[[Customer type]:[Customer type]],IF(ISNUMBER(SEARCH("Residential",$K$49)),"Residential","Small business"))</f>
        <v>0</v>
      </c>
      <c r="N93" s="73">
        <f>SUMIFS(Calc_NetworkV_2[Jemena],Calc_NetworkV_2[[Cost item]:[Cost item]],$K93,Calc_NetworkV_2[[Customer type]:[Customer type]],IF(ISNUMBER(SEARCH("Residential",$K$49)),"Residential","Small business"))</f>
        <v>0</v>
      </c>
      <c r="O93" s="73">
        <f>SUMIFS(Calc_NetworkV_2[Powercor],Calc_NetworkV_2[[Cost item]:[Cost item]],$K93,Calc_NetworkV_2[[Customer type]:[Customer type]],IF(ISNUMBER(SEARCH("Residential",$K$49)),"Residential","Small business"))</f>
        <v>0</v>
      </c>
      <c r="P93" s="73">
        <f>SUMIFS(Calc_NetworkV_2[United Energy],Calc_NetworkV_2[[Cost item]:[Cost item]],$K93,Calc_NetworkV_2[[Customer type]:[Customer type]],IF(ISNUMBER(SEARCH("Residential",$K$49)),"Residential","Small business"))</f>
        <v>0</v>
      </c>
    </row>
    <row r="94" spans="3:24" outlineLevel="1" x14ac:dyDescent="0.25">
      <c r="C94" t="s">
        <v>71</v>
      </c>
      <c r="D94" s="73">
        <f>SUMIFS(Calc_NetworkV_1[Ausnet],Calc_NetworkV_1[[Cost item]:[Cost item]],$C94,Calc_NetworkV_1[[Customer type]:[Customer type]],IF(ISNUMBER(SEARCH("Residential",$C$49)),"Residential","Small business"))</f>
        <v>0</v>
      </c>
      <c r="E94" s="73">
        <f>SUMIFS(Calc_NetworkV_1[Citipower],Calc_NetworkV_1[[Cost item]:[Cost item]],$C94,Calc_NetworkV_1[[Customer type]:[Customer type]],IF(ISNUMBER(SEARCH("Residential",$C$49)),"Residential","Small business"))</f>
        <v>8.0299999999999996E-2</v>
      </c>
      <c r="F94" s="73">
        <f>SUMIFS(Calc_NetworkV_1[Jemena],Calc_NetworkV_1[[Cost item]:[Cost item]],$C94,Calc_NetworkV_1[[Customer type]:[Customer type]],IF(ISNUMBER(SEARCH("Residential",$C$49)),"Residential","Small business"))</f>
        <v>0.10189499020000001</v>
      </c>
      <c r="G94" s="73">
        <f>SUMIFS(Calc_NetworkV_1[Powercor],Calc_NetworkV_1[[Cost item]:[Cost item]],$C94,Calc_NetworkV_1[[Customer type]:[Customer type]],IF(ISNUMBER(SEARCH("Residential",$C$49)),"Residential","Small business"))</f>
        <v>9.4700000000000006E-2</v>
      </c>
      <c r="H94" s="73">
        <f>SUMIFS(Calc_NetworkV_1[United Energy],Calc_NetworkV_1[[Cost item]:[Cost item]],$C94,Calc_NetworkV_1[[Customer type]:[Customer type]],IF(ISNUMBER(SEARCH("Residential",$C$49)),"Residential","Small business"))</f>
        <v>8.9700000000000002E-2</v>
      </c>
      <c r="K94" t="s">
        <v>71</v>
      </c>
      <c r="L94" s="73">
        <f>SUMIFS(Calc_NetworkV_2[Ausnet],Calc_NetworkV_2[[Cost item]:[Cost item]],$K94,Calc_NetworkV_2[[Customer type]:[Customer type]],IF(ISNUMBER(SEARCH("Residential",$K$49)),"Residential","Small business"))</f>
        <v>0</v>
      </c>
      <c r="M94" s="73">
        <f>SUMIFS(Calc_NetworkV_2[Citipower],Calc_NetworkV_2[[Cost item]:[Cost item]],$K94,Calc_NetworkV_2[[Customer type]:[Customer type]],IF(ISNUMBER(SEARCH("Residential",$K$49)),"Residential","Small business"))</f>
        <v>7.3700000000000002E-2</v>
      </c>
      <c r="N94" s="73">
        <f>SUMIFS(Calc_NetworkV_2[Jemena],Calc_NetworkV_2[[Cost item]:[Cost item]],$K94,Calc_NetworkV_2[[Customer type]:[Customer type]],IF(ISNUMBER(SEARCH("Residential",$K$49)),"Residential","Small business"))</f>
        <v>8.9770000000000003E-2</v>
      </c>
      <c r="O94" s="73">
        <f>SUMIFS(Calc_NetworkV_2[Powercor],Calc_NetworkV_2[[Cost item]:[Cost item]],$K94,Calc_NetworkV_2[[Customer type]:[Customer type]],IF(ISNUMBER(SEARCH("Residential",$K$49)),"Residential","Small business"))</f>
        <v>8.77E-2</v>
      </c>
      <c r="P94" s="73">
        <f>SUMIFS(Calc_NetworkV_2[United Energy],Calc_NetworkV_2[[Cost item]:[Cost item]],$K94,Calc_NetworkV_2[[Customer type]:[Customer type]],IF(ISNUMBER(SEARCH("Residential",$K$49)),"Residential","Small business"))</f>
        <v>8.5400000000000004E-2</v>
      </c>
    </row>
    <row r="95" spans="3:24" outlineLevel="1" x14ac:dyDescent="0.25"/>
    <row r="96" spans="3:24" ht="15.75" outlineLevel="1" x14ac:dyDescent="0.25">
      <c r="C96" s="31" t="s">
        <v>528</v>
      </c>
      <c r="K96" s="31" t="s">
        <v>528</v>
      </c>
    </row>
    <row r="97" spans="3:16" outlineLevel="1" x14ac:dyDescent="0.25">
      <c r="C97" t="s">
        <v>80</v>
      </c>
      <c r="D97" s="73" t="str" cm="1">
        <f t="array" ref="D97">IF(ISNUMBER(SEARCH("Residential",$C$49)),
INDEX(OP_RatesTU_RES_1[Ausnet],MATCH(1,(OP_RatesTU_RES_1[Cost element]="Network")*(OP_RatesTU_RES_1[Rate name]=CH_CostStack_RES!$C97),0),1),
INDEX(OP_RatesTU_SME_1[Ausnet],MATCH(1,(OP_RatesTU_SME_1[Cost element]="Network")*(OP_RatesTU_SME_1[Rate name]=CH_CostStack_RES!$C97),0),1))</f>
        <v>-</v>
      </c>
      <c r="E97" s="73" t="str" cm="1">
        <f t="array" ref="E97">IF(ISNUMBER(SEARCH("Residential",$C$49)),
INDEX(OP_RatesTU_RES_1[Citipower],MATCH(1,(OP_RatesTU_RES_1[Cost element]="Network")*(OP_RatesTU_RES_1[Rate name]=CH_CostStack_RES!$C97),0),1),
INDEX(OP_RatesTU_SME_1[Citipower],MATCH(1,(OP_RatesTU_SME_1[Cost element]="Network")*(OP_RatesTU_SME_1[Rate name]=CH_CostStack_RES!$C97),0),1))</f>
        <v>-</v>
      </c>
      <c r="F97" s="73" t="str" cm="1">
        <f t="array" ref="F97">IF(ISNUMBER(SEARCH("Residential",$C$49)),
INDEX(OP_RatesTU_RES_1[Jemena],MATCH(1,(OP_RatesTU_RES_1[Cost element]="Network")*(OP_RatesTU_RES_1[Rate name]=CH_CostStack_RES!$C97),0),1),
INDEX(OP_RatesTU_SME_1[Jemena],MATCH(1,(OP_RatesTU_SME_1[Cost element]="Network")*(OP_RatesTU_SME_1[Rate name]=CH_CostStack_RES!$C97),0),1))</f>
        <v>-</v>
      </c>
      <c r="G97" s="73" t="str" cm="1">
        <f t="array" ref="G97">IF(ISNUMBER(SEARCH("Residential",$C$49)),
INDEX(OP_RatesTU_RES_1[Powercor],MATCH(1,(OP_RatesTU_RES_1[Cost element]="Network")*(OP_RatesTU_RES_1[Rate name]=CH_CostStack_RES!$C97),0),1),
INDEX(OP_RatesTU_SME_1[Powercor],MATCH(1,(OP_RatesTU_SME_1[Cost element]="Network")*(OP_RatesTU_SME_1[Rate name]=CH_CostStack_RES!$C97),0),1))</f>
        <v>-</v>
      </c>
      <c r="H97" s="73" t="str" cm="1">
        <f t="array" ref="H97">IF(ISNUMBER(SEARCH("Residential",$C$49)),
INDEX(OP_RatesTU_RES_1[United Energy],MATCH(1,(OP_RatesTU_RES_1[Cost element]="Network")*(OP_RatesTU_RES_1[Rate name]=CH_CostStack_RES!$C97),0),1),
INDEX(OP_RatesTU_SME_1[United Energy],MATCH(1,(OP_RatesTU_SME_1[Cost element]="Network")*(OP_RatesTU_SME_1[Rate name]=CH_CostStack_RES!$C97),0),1))</f>
        <v>-</v>
      </c>
      <c r="K97" t="s">
        <v>80</v>
      </c>
      <c r="L97" s="73" t="str" cm="1">
        <f t="array" ref="L97">IF(ISNUMBER(SEARCH("Residential",$K$49)),
INDEX(OP_RatesTU_RES_2[Ausnet],MATCH(1,(OP_RatesTU_RES_2[Cost element]="Network")*(OP_RatesTU_RES_2[Rate name]=CH_CostStack_RES!$K97),0),1),
INDEX(OP_RatesTU_SME_2[Ausnet],MATCH(1,(OP_RatesTU_SME_2[Cost element]="Network")*(OP_RatesTU_SME_2[Rate name]=CH_CostStack_RES!$K97),0),1))</f>
        <v>-</v>
      </c>
      <c r="M97" s="73" t="str" cm="1">
        <f t="array" ref="M97">IF(ISNUMBER(SEARCH("Residential",$K$49)),
INDEX(OP_RatesTU_RES_2[Citipower],MATCH(1,(OP_RatesTU_RES_2[Cost element]="Network")*(OP_RatesTU_RES_2[Rate name]=CH_CostStack_RES!$K97),0),1),
INDEX(OP_RatesTU_SME_2[Citipower],MATCH(1,(OP_RatesTU_SME_2[Cost element]="Network")*(OP_RatesTU_SME_2[Rate name]=CH_CostStack_RES!$K97),0),1))</f>
        <v>-</v>
      </c>
      <c r="N97" s="73" t="str" cm="1">
        <f t="array" ref="N97">IF(ISNUMBER(SEARCH("Residential",$K$49)),
INDEX(OP_RatesTU_RES_2[Jemena],MATCH(1,(OP_RatesTU_RES_2[Cost element]="Network")*(OP_RatesTU_RES_2[Rate name]=CH_CostStack_RES!$K97),0),1),
INDEX(OP_RatesTU_SME_2[Jemena],MATCH(1,(OP_RatesTU_SME_2[Cost element]="Network")*(OP_RatesTU_SME_2[Rate name]=CH_CostStack_RES!$K97),0),1))</f>
        <v>-</v>
      </c>
      <c r="O97" s="73" t="str" cm="1">
        <f t="array" ref="O97">IF(ISNUMBER(SEARCH("Residential",$K$49)),
INDEX(OP_RatesTU_RES_2[Powercor],MATCH(1,(OP_RatesTU_RES_2[Cost element]="Network")*(OP_RatesTU_RES_2[Rate name]=CH_CostStack_RES!$K97),0),1),
INDEX(OP_RatesTU_SME_2[Powercor],MATCH(1,(OP_RatesTU_SME_2[Cost element]="Network")*(OP_RatesTU_SME_2[Rate name]=CH_CostStack_RES!$K97),0),1))</f>
        <v>-</v>
      </c>
      <c r="P97" s="73" t="str" cm="1">
        <f t="array" ref="P97">IF(ISNUMBER(SEARCH("Residential",$K$49)),
INDEX(OP_RatesTU_RES_2[United Energy],MATCH(1,(OP_RatesTU_RES_2[Cost element]="Network")*(OP_RatesTU_RES_2[Rate name]=CH_CostStack_RES!$K97),0),1),
INDEX(OP_RatesTU_SME_2[United Energy],MATCH(1,(OP_RatesTU_SME_2[Cost element]="Network")*(OP_RatesTU_SME_2[Rate name]=CH_CostStack_RES!$K97),0),1))</f>
        <v>-</v>
      </c>
    </row>
    <row r="98" spans="3:16" outlineLevel="1" x14ac:dyDescent="0.25"/>
    <row r="99" spans="3:16" ht="15.75" outlineLevel="1" x14ac:dyDescent="0.25">
      <c r="C99" s="31" t="s">
        <v>529</v>
      </c>
      <c r="K99" s="31" t="s">
        <v>529</v>
      </c>
    </row>
    <row r="100" spans="3:16" outlineLevel="1" x14ac:dyDescent="0.25">
      <c r="C100" t="s">
        <v>68</v>
      </c>
      <c r="D100" s="73" cm="1">
        <f t="array" ref="D100">IF(ISNUMBER(SEARCH("Residential",$C$49)),
INDEX(OP_RatesTU_RES_1[Ausnet],MATCH(1,(OP_RatesTU_RES_1[Cost element]="Environmental")*(OP_RatesTU_RES_1[Rate name]=CH_CostStack_RES!$C100),0),1),
INDEX(OP_RatesTU_SME_1[Ausnet],MATCH(1,(OP_RatesTU_SME_1[Cost element]="Environmental")*(OP_RatesTU_SME_1[Rate name]=CH_CostStack_RES!$C100),0),1))</f>
        <v>0</v>
      </c>
      <c r="E100" s="73" cm="1">
        <f t="array" ref="E100">IF(ISNUMBER(SEARCH("Residential",$C$49)),
INDEX(OP_RatesTU_RES_1[Citipower],MATCH(1,(OP_RatesTU_RES_1[Cost element]="Environmental")*(OP_RatesTU_RES_1[Rate name]=CH_CostStack_RES!$C100),0),1),
INDEX(OP_RatesTU_SME_1[Citipower],MATCH(1,(OP_RatesTU_SME_1[Cost element]="Environmental")*(OP_RatesTU_SME_1[Rate name]=CH_CostStack_RES!$C100),0),1))</f>
        <v>0</v>
      </c>
      <c r="F100" s="73" cm="1">
        <f t="array" ref="F100">IF(ISNUMBER(SEARCH("Residential",$C$49)),
INDEX(OP_RatesTU_RES_1[Jemena],MATCH(1,(OP_RatesTU_RES_1[Cost element]="Environmental")*(OP_RatesTU_RES_1[Rate name]=CH_CostStack_RES!$C100),0),1),
INDEX(OP_RatesTU_SME_1[Jemena],MATCH(1,(OP_RatesTU_SME_1[Cost element]="Environmental")*(OP_RatesTU_SME_1[Rate name]=CH_CostStack_RES!$C100),0),1))</f>
        <v>0</v>
      </c>
      <c r="G100" s="73" cm="1">
        <f t="array" ref="G100">IF(ISNUMBER(SEARCH("Residential",$C$49)),
INDEX(OP_RatesTU_RES_1[Powercor],MATCH(1,(OP_RatesTU_RES_1[Cost element]="Environmental")*(OP_RatesTU_RES_1[Rate name]=CH_CostStack_RES!$C100),0),1),
INDEX(OP_RatesTU_SME_1[Powercor],MATCH(1,(OP_RatesTU_SME_1[Cost element]="Environmental")*(OP_RatesTU_SME_1[Rate name]=CH_CostStack_RES!$C100),0),1))</f>
        <v>0</v>
      </c>
      <c r="H100" s="73" cm="1">
        <f t="array" ref="H100">IF(ISNUMBER(SEARCH("Residential",$C$49)),
INDEX(OP_RatesTU_RES_1[United Energy],MATCH(1,(OP_RatesTU_RES_1[Cost element]="Environmental")*(OP_RatesTU_RES_1[Rate name]=CH_CostStack_RES!$C100),0),1),
INDEX(OP_RatesTU_SME_1[United Energy],MATCH(1,(OP_RatesTU_SME_1[Cost element]="Environmental")*(OP_RatesTU_SME_1[Rate name]=CH_CostStack_RES!$C100),0),1))</f>
        <v>0</v>
      </c>
      <c r="K100" t="s">
        <v>68</v>
      </c>
      <c r="L100" s="73" cm="1">
        <f t="array" ref="L100">IF(ISNUMBER(SEARCH("Residential",$K$49)),
INDEX(OP_RatesTU_RES_2[Ausnet],MATCH(1,(OP_RatesTU_RES_2[Cost element]="Environmental")*(OP_RatesTU_RES_2[Rate name]=CH_CostStack_RES!$C100),0),1),
INDEX(OP_RatesTU_SME_2[Ausnet],MATCH(1,(OP_RatesTU_SME_2[Cost element]="Environmental")*(OP_RatesTU_SME_2[Rate name]=CH_CostStack_RES!$C100),0),1))</f>
        <v>-1.4451020409271499E-3</v>
      </c>
      <c r="M100" s="73" cm="1">
        <f t="array" ref="M100">IF(ISNUMBER(SEARCH("Residential",$K$49)),
INDEX(OP_RatesTU_RES_2[Citipower],MATCH(1,(OP_RatesTU_RES_2[Cost element]="Environmental")*(OP_RatesTU_RES_2[Rate name]=CH_CostStack_RES!$C100),0),1),
INDEX(OP_RatesTU_SME_2[Citipower],MATCH(1,(OP_RatesTU_SME_2[Cost element]="Environmental")*(OP_RatesTU_SME_2[Rate name]=CH_CostStack_RES!$C100),0),1))</f>
        <v>0</v>
      </c>
      <c r="N100" s="73" cm="1">
        <f t="array" ref="N100">IF(ISNUMBER(SEARCH("Residential",$K$49)),
INDEX(OP_RatesTU_RES_2[Jemena],MATCH(1,(OP_RatesTU_RES_2[Cost element]="Environmental")*(OP_RatesTU_RES_2[Rate name]=CH_CostStack_RES!$C100),0),1),
INDEX(OP_RatesTU_SME_2[Jemena],MATCH(1,(OP_RatesTU_SME_2[Cost element]="Environmental")*(OP_RatesTU_SME_2[Rate name]=CH_CostStack_RES!$C100),0),1))</f>
        <v>0</v>
      </c>
      <c r="O100" s="73" cm="1">
        <f t="array" ref="O100">IF(ISNUMBER(SEARCH("Residential",$K$49)),
INDEX(OP_RatesTU_RES_2[Powercor],MATCH(1,(OP_RatesTU_RES_2[Cost element]="Environmental")*(OP_RatesTU_RES_2[Rate name]=CH_CostStack_RES!$C100),0),1),
INDEX(OP_RatesTU_SME_2[Powercor],MATCH(1,(OP_RatesTU_SME_2[Cost element]="Environmental")*(OP_RatesTU_SME_2[Rate name]=CH_CostStack_RES!$C100),0),1))</f>
        <v>0</v>
      </c>
      <c r="P100" s="73" cm="1">
        <f t="array" ref="P100">IF(ISNUMBER(SEARCH("Residential",$K$49)),
INDEX(OP_RatesTU_RES_2[United Energy],MATCH(1,(OP_RatesTU_RES_2[Cost element]="Environmental")*(OP_RatesTU_RES_2[Rate name]=CH_CostStack_RES!$C100),0),1),
INDEX(OP_RatesTU_SME_2[United Energy],MATCH(1,(OP_RatesTU_SME_2[Cost element]="Environmental")*(OP_RatesTU_SME_2[Rate name]=CH_CostStack_RES!$C100),0),1))</f>
        <v>0</v>
      </c>
    </row>
    <row r="101" spans="3:16" outlineLevel="1" x14ac:dyDescent="0.25">
      <c r="C101" t="s">
        <v>70</v>
      </c>
      <c r="D101" s="73" cm="1">
        <f t="array" ref="D101">IF(ISNUMBER(SEARCH("Residential",$C$49)),
INDEX(OP_RatesTU_RES_1[Ausnet],MATCH(1,(OP_RatesTU_RES_1[Cost element]="Environmental")*(OP_RatesTU_RES_1[Rate name]=CH_CostStack_RES!$C101),0),1),
INDEX(OP_RatesTU_SME_1[Ausnet],MATCH(1,(OP_RatesTU_SME_1[Cost element]="Environmental")*(OP_RatesTU_SME_1[Rate name]=CH_CostStack_RES!$C101),0),1))</f>
        <v>0</v>
      </c>
      <c r="E101" s="73" cm="1">
        <f t="array" ref="E101">IF(ISNUMBER(SEARCH("Residential",$C$49)),
INDEX(OP_RatesTU_RES_1[Citipower],MATCH(1,(OP_RatesTU_RES_1[Cost element]="Environmental")*(OP_RatesTU_RES_1[Rate name]=CH_CostStack_RES!$C101),0),1),
INDEX(OP_RatesTU_SME_1[Citipower],MATCH(1,(OP_RatesTU_SME_1[Cost element]="Environmental")*(OP_RatesTU_SME_1[Rate name]=CH_CostStack_RES!$C101),0),1))</f>
        <v>0</v>
      </c>
      <c r="F101" s="73" cm="1">
        <f t="array" ref="F101">IF(ISNUMBER(SEARCH("Residential",$C$49)),
INDEX(OP_RatesTU_RES_1[Jemena],MATCH(1,(OP_RatesTU_RES_1[Cost element]="Environmental")*(OP_RatesTU_RES_1[Rate name]=CH_CostStack_RES!$C101),0),1),
INDEX(OP_RatesTU_SME_1[Jemena],MATCH(1,(OP_RatesTU_SME_1[Cost element]="Environmental")*(OP_RatesTU_SME_1[Rate name]=CH_CostStack_RES!$C101),0),1))</f>
        <v>0</v>
      </c>
      <c r="G101" s="73" cm="1">
        <f t="array" ref="G101">IF(ISNUMBER(SEARCH("Residential",$C$49)),
INDEX(OP_RatesTU_RES_1[Powercor],MATCH(1,(OP_RatesTU_RES_1[Cost element]="Environmental")*(OP_RatesTU_RES_1[Rate name]=CH_CostStack_RES!$C101),0),1),
INDEX(OP_RatesTU_SME_1[Powercor],MATCH(1,(OP_RatesTU_SME_1[Cost element]="Environmental")*(OP_RatesTU_SME_1[Rate name]=CH_CostStack_RES!$C101),0),1))</f>
        <v>0</v>
      </c>
      <c r="H101" s="73" cm="1">
        <f t="array" ref="H101">IF(ISNUMBER(SEARCH("Residential",$C$49)),
INDEX(OP_RatesTU_RES_1[United Energy],MATCH(1,(OP_RatesTU_RES_1[Cost element]="Environmental")*(OP_RatesTU_RES_1[Rate name]=CH_CostStack_RES!$C101),0),1),
INDEX(OP_RatesTU_SME_1[United Energy],MATCH(1,(OP_RatesTU_SME_1[Cost element]="Environmental")*(OP_RatesTU_SME_1[Rate name]=CH_CostStack_RES!$C101),0),1))</f>
        <v>0</v>
      </c>
      <c r="K101" t="s">
        <v>70</v>
      </c>
      <c r="L101" s="73" cm="1">
        <f t="array" ref="L101">IF(ISNUMBER(SEARCH("Residential",$K$49)),
INDEX(OP_RatesTU_RES_2[Ausnet],MATCH(1,(OP_RatesTU_RES_2[Cost element]="Environmental")*(OP_RatesTU_RES_2[Rate name]=CH_CostStack_RES!$C101),0),1),
INDEX(OP_RatesTU_SME_2[Ausnet],MATCH(1,(OP_RatesTU_SME_2[Cost element]="Environmental")*(OP_RatesTU_SME_2[Rate name]=CH_CostStack_RES!$C101),0),1))</f>
        <v>-1.4451020409271499E-3</v>
      </c>
      <c r="M101" s="73" cm="1">
        <f t="array" ref="M101">IF(ISNUMBER(SEARCH("Residential",$K$49)),
INDEX(OP_RatesTU_RES_2[Citipower],MATCH(1,(OP_RatesTU_RES_2[Cost element]="Environmental")*(OP_RatesTU_RES_2[Rate name]=CH_CostStack_RES!$C101),0),1),
INDEX(OP_RatesTU_SME_2[Citipower],MATCH(1,(OP_RatesTU_SME_2[Cost element]="Environmental")*(OP_RatesTU_SME_2[Rate name]=CH_CostStack_RES!$C101),0),1))</f>
        <v>0</v>
      </c>
      <c r="N101" s="73" cm="1">
        <f t="array" ref="N101">IF(ISNUMBER(SEARCH("Residential",$K$49)),
INDEX(OP_RatesTU_RES_2[Jemena],MATCH(1,(OP_RatesTU_RES_2[Cost element]="Environmental")*(OP_RatesTU_RES_2[Rate name]=CH_CostStack_RES!$C101),0),1),
INDEX(OP_RatesTU_SME_2[Jemena],MATCH(1,(OP_RatesTU_SME_2[Cost element]="Environmental")*(OP_RatesTU_SME_2[Rate name]=CH_CostStack_RES!$C101),0),1))</f>
        <v>0</v>
      </c>
      <c r="O101" s="73" cm="1">
        <f t="array" ref="O101">IF(ISNUMBER(SEARCH("Residential",$K$49)),
INDEX(OP_RatesTU_RES_2[Powercor],MATCH(1,(OP_RatesTU_RES_2[Cost element]="Environmental")*(OP_RatesTU_RES_2[Rate name]=CH_CostStack_RES!$C101),0),1),
INDEX(OP_RatesTU_SME_2[Powercor],MATCH(1,(OP_RatesTU_SME_2[Cost element]="Environmental")*(OP_RatesTU_SME_2[Rate name]=CH_CostStack_RES!$C101),0),1))</f>
        <v>0</v>
      </c>
      <c r="P101" s="73" cm="1">
        <f t="array" ref="P101">IF(ISNUMBER(SEARCH("Residential",$K$49)),
INDEX(OP_RatesTU_RES_2[United Energy],MATCH(1,(OP_RatesTU_RES_2[Cost element]="Environmental")*(OP_RatesTU_RES_2[Rate name]=CH_CostStack_RES!$C101),0),1),
INDEX(OP_RatesTU_SME_2[United Energy],MATCH(1,(OP_RatesTU_SME_2[Cost element]="Environmental")*(OP_RatesTU_SME_2[Rate name]=CH_CostStack_RES!$C101),0),1))</f>
        <v>0</v>
      </c>
    </row>
    <row r="102" spans="3:16" x14ac:dyDescent="0.25">
      <c r="C102" t="s">
        <v>71</v>
      </c>
      <c r="D102" s="73" cm="1">
        <f t="array" ref="D102">IF(ISNUMBER(SEARCH("Residential",$C$49)),
INDEX(OP_RatesTU_RES_1[Ausnet],MATCH(1,(OP_RatesTU_RES_1[Cost element]="Environmental")*(OP_RatesTU_RES_1[Rate name]=CH_CostStack_RES!$C102),0),1),
INDEX(OP_RatesTU_SME_1[Ausnet],MATCH(1,(OP_RatesTU_SME_1[Cost element]="Environmental")*(OP_RatesTU_SME_1[Rate name]=CH_CostStack_RES!$C102),0),1))</f>
        <v>0</v>
      </c>
      <c r="E102" s="73" cm="1">
        <f t="array" ref="E102">IF(ISNUMBER(SEARCH("Residential",$C$49)),
INDEX(OP_RatesTU_RES_1[Citipower],MATCH(1,(OP_RatesTU_RES_1[Cost element]="Environmental")*(OP_RatesTU_RES_1[Rate name]=CH_CostStack_RES!$C102),0),1),
INDEX(OP_RatesTU_SME_1[Citipower],MATCH(1,(OP_RatesTU_SME_1[Cost element]="Environmental")*(OP_RatesTU_SME_1[Rate name]=CH_CostStack_RES!$C102),0),1))</f>
        <v>0</v>
      </c>
      <c r="F102" s="73" cm="1">
        <f t="array" ref="F102">IF(ISNUMBER(SEARCH("Residential",$C$49)),
INDEX(OP_RatesTU_RES_1[Jemena],MATCH(1,(OP_RatesTU_RES_1[Cost element]="Environmental")*(OP_RatesTU_RES_1[Rate name]=CH_CostStack_RES!$C102),0),1),
INDEX(OP_RatesTU_SME_1[Jemena],MATCH(1,(OP_RatesTU_SME_1[Cost element]="Environmental")*(OP_RatesTU_SME_1[Rate name]=CH_CostStack_RES!$C102),0),1))</f>
        <v>0</v>
      </c>
      <c r="G102" s="73" cm="1">
        <f t="array" ref="G102">IF(ISNUMBER(SEARCH("Residential",$C$49)),
INDEX(OP_RatesTU_RES_1[Powercor],MATCH(1,(OP_RatesTU_RES_1[Cost element]="Environmental")*(OP_RatesTU_RES_1[Rate name]=CH_CostStack_RES!$C102),0),1),
INDEX(OP_RatesTU_SME_1[Powercor],MATCH(1,(OP_RatesTU_SME_1[Cost element]="Environmental")*(OP_RatesTU_SME_1[Rate name]=CH_CostStack_RES!$C102),0),1))</f>
        <v>0</v>
      </c>
      <c r="H102" s="73" cm="1">
        <f t="array" ref="H102">IF(ISNUMBER(SEARCH("Residential",$C$49)),
INDEX(OP_RatesTU_RES_1[United Energy],MATCH(1,(OP_RatesTU_RES_1[Cost element]="Environmental")*(OP_RatesTU_RES_1[Rate name]=CH_CostStack_RES!$C102),0),1),
INDEX(OP_RatesTU_SME_1[United Energy],MATCH(1,(OP_RatesTU_SME_1[Cost element]="Environmental")*(OP_RatesTU_SME_1[Rate name]=CH_CostStack_RES!$C102),0),1))</f>
        <v>0</v>
      </c>
      <c r="K102" t="s">
        <v>71</v>
      </c>
      <c r="L102" s="73" cm="1">
        <f t="array" ref="L102">IF(ISNUMBER(SEARCH("Residential",$K$49)),
INDEX(OP_RatesTU_RES_2[Ausnet],MATCH(1,(OP_RatesTU_RES_2[Cost element]="Environmental")*(OP_RatesTU_RES_2[Rate name]=CH_CostStack_RES!$C102),0),1),
INDEX(OP_RatesTU_SME_2[Ausnet],MATCH(1,(OP_RatesTU_SME_2[Cost element]="Environmental")*(OP_RatesTU_SME_2[Rate name]=CH_CostStack_RES!$C102),0),1))</f>
        <v>0</v>
      </c>
      <c r="M102" s="73" cm="1">
        <f t="array" ref="M102">IF(ISNUMBER(SEARCH("Residential",$K$49)),
INDEX(OP_RatesTU_RES_2[Citipower],MATCH(1,(OP_RatesTU_RES_2[Cost element]="Environmental")*(OP_RatesTU_RES_2[Rate name]=CH_CostStack_RES!$C102),0),1),
INDEX(OP_RatesTU_SME_2[Citipower],MATCH(1,(OP_RatesTU_SME_2[Cost element]="Environmental")*(OP_RatesTU_SME_2[Rate name]=CH_CostStack_RES!$C102),0),1))</f>
        <v>-1.4016011881474891E-3</v>
      </c>
      <c r="N102" s="73" cm="1">
        <f t="array" ref="N102">IF(ISNUMBER(SEARCH("Residential",$K$49)),
INDEX(OP_RatesTU_RES_2[Jemena],MATCH(1,(OP_RatesTU_RES_2[Cost element]="Environmental")*(OP_RatesTU_RES_2[Rate name]=CH_CostStack_RES!$C102),0),1),
INDEX(OP_RatesTU_SME_2[Jemena],MATCH(1,(OP_RatesTU_SME_2[Cost element]="Environmental")*(OP_RatesTU_SME_2[Rate name]=CH_CostStack_RES!$C102),0),1))</f>
        <v>-1.3896720485833702E-3</v>
      </c>
      <c r="O102" s="73" cm="1">
        <f t="array" ref="O102">IF(ISNUMBER(SEARCH("Residential",$K$49)),
INDEX(OP_RatesTU_RES_2[Powercor],MATCH(1,(OP_RatesTU_RES_2[Cost element]="Environmental")*(OP_RatesTU_RES_2[Rate name]=CH_CostStack_RES!$C102),0),1),
INDEX(OP_RatesTU_SME_2[Powercor],MATCH(1,(OP_RatesTU_SME_2[Cost element]="Environmental")*(OP_RatesTU_SME_2[Rate name]=CH_CostStack_RES!$C102),0),1))</f>
        <v>-1.432313335205126E-3</v>
      </c>
      <c r="P102" s="73" cm="1">
        <f t="array" ref="P102">IF(ISNUMBER(SEARCH("Residential",$K$49)),
INDEX(OP_RatesTU_RES_2[United Energy],MATCH(1,(OP_RatesTU_RES_2[Cost element]="Environmental")*(OP_RatesTU_RES_2[Rate name]=CH_CostStack_RES!$C102),0),1),
INDEX(OP_RatesTU_SME_2[United Energy],MATCH(1,(OP_RatesTU_SME_2[Cost element]="Environmental")*(OP_RatesTU_SME_2[Rate name]=CH_CostStack_RES!$C102),0),1))</f>
        <v>-1.3977880905040913E-3</v>
      </c>
    </row>
    <row r="108" spans="3:16" x14ac:dyDescent="0.25">
      <c r="D108" s="84"/>
    </row>
  </sheetData>
  <sheetProtection algorithmName="SHA-512" hashValue="QyEH7/mqQV1CsGP1ifaWnN1slkBuWBhr07pctfQpX+NFiayg9YrE2CHvXQDaUw537d5gS8KKJKt0Zb47QMlLcg==" saltValue="4tY2WHJ+SP9IH4WvT/9++Q==" spinCount="100000" sheet="1" objects="1" scenarios="1"/>
  <mergeCells count="2">
    <mergeCell ref="A2:A3"/>
    <mergeCell ref="C42:K42"/>
  </mergeCells>
  <phoneticPr fontId="30" type="noConversion"/>
  <dataValidations count="2">
    <dataValidation type="list" allowBlank="1" showInputMessage="1" showErrorMessage="1" sqref="D31" xr:uid="{6D9C8EE1-F855-4BC6-9C7E-6DE152AE4502}">
      <formula1>$D$55:$I$55</formula1>
    </dataValidation>
    <dataValidation type="list" allowBlank="1" showInputMessage="1" showErrorMessage="1" sqref="D32" xr:uid="{D6C4B3A0-FEB8-4CE8-ADEB-CCB000A06EB7}">
      <formula1>"Residential,Small business"</formula1>
    </dataValidation>
  </dataValidations>
  <pageMargins left="0.7" right="0.7" top="0.75" bottom="0.75" header="0.3" footer="0.3"/>
  <pageSetup paperSize="9" orientation="portrait" r:id="rId1"/>
  <headerFooter>
    <oddHeader>&amp;C&amp;B&amp;"Arial"&amp;12&amp;Kff0000​‌OFFICIAL‌​</oddHeader>
  </headerFooter>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ADB17121-8300-469F-8CE9-8202E01ED7A4}">
          <x14:formula1>
            <xm:f>'Lookup refs'!$I$8:$I$13</xm:f>
          </x14:formula1>
          <xm:sqref>C49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1C72-3D7D-4B21-9A91-1CD2662F8BE7}">
  <sheetPr>
    <tabColor rgb="FFFFB13F"/>
    <pageSetUpPr autoPageBreaks="0"/>
  </sheetPr>
  <dimension ref="A1:X107"/>
  <sheetViews>
    <sheetView showGridLines="0" topLeftCell="B1" zoomScale="85" zoomScaleNormal="85" workbookViewId="0">
      <pane ySplit="3" topLeftCell="A4" activePane="bottomLeft" state="frozen"/>
      <selection activeCell="B33" sqref="B33"/>
      <selection pane="bottomLeft"/>
    </sheetView>
  </sheetViews>
  <sheetFormatPr defaultColWidth="9.42578125" defaultRowHeight="15" outlineLevelRow="1" outlineLevelCol="1" x14ac:dyDescent="0.25"/>
  <cols>
    <col min="1" max="1" width="100.5703125" hidden="1" customWidth="1" outlineLevel="1"/>
    <col min="2" max="2" width="10.5703125" style="5" customWidth="1" collapsed="1"/>
    <col min="3" max="17" width="25.5703125" customWidth="1"/>
    <col min="18" max="18" width="5.5703125" customWidth="1"/>
    <col min="19" max="19" width="11.42578125" bestFit="1" customWidth="1"/>
    <col min="22" max="22" width="13.42578125" bestFit="1" customWidth="1"/>
  </cols>
  <sheetData>
    <row r="1" spans="1:18" ht="15" customHeight="1" x14ac:dyDescent="0.25">
      <c r="A1" s="1" t="s">
        <v>32</v>
      </c>
      <c r="B1" s="16"/>
      <c r="C1" s="17"/>
      <c r="D1" s="17"/>
      <c r="E1" s="17"/>
      <c r="F1" s="87" t="s">
        <v>52</v>
      </c>
      <c r="G1" s="70"/>
      <c r="H1" s="17"/>
      <c r="I1" s="17"/>
      <c r="J1" s="17"/>
      <c r="K1" s="17"/>
      <c r="L1" s="17"/>
      <c r="M1" s="17"/>
      <c r="N1" s="17"/>
      <c r="O1" s="17"/>
      <c r="P1" s="17"/>
      <c r="Q1" s="17"/>
      <c r="R1" s="17"/>
    </row>
    <row r="2" spans="1:18" s="3" customFormat="1" ht="50.1" customHeight="1" x14ac:dyDescent="0.25">
      <c r="A2" s="234" t="s">
        <v>33</v>
      </c>
      <c r="B2" s="20"/>
      <c r="C2" s="20" t="str">
        <f>Disclaimer!$B$1</f>
        <v>VDO calculation model</v>
      </c>
      <c r="D2" s="20"/>
      <c r="E2" s="20"/>
      <c r="F2" s="129" t="str">
        <f>Calc_Rates!$D$5</f>
        <v>VDO 2024-25 - Draft</v>
      </c>
      <c r="G2" s="129" t="str">
        <f>Calc_Rates!$D$266</f>
        <v>VDO 2023-24 - Final</v>
      </c>
      <c r="H2" s="20"/>
      <c r="I2" s="20"/>
      <c r="J2" s="20"/>
      <c r="K2" s="20"/>
      <c r="L2" s="20"/>
      <c r="M2" s="20"/>
      <c r="N2" s="20"/>
      <c r="O2" s="20"/>
      <c r="P2" s="20"/>
      <c r="Q2" s="20"/>
      <c r="R2" s="20"/>
    </row>
    <row r="3" spans="1:18" s="3" customFormat="1" ht="30" customHeight="1" x14ac:dyDescent="0.25">
      <c r="A3" s="235"/>
      <c r="B3" s="22">
        <f ca="1">_xlfn.SHEET()</f>
        <v>12</v>
      </c>
      <c r="C3" s="21" t="s">
        <v>508</v>
      </c>
      <c r="D3" s="21"/>
      <c r="E3" s="21"/>
      <c r="F3" s="69">
        <f>SUM(D68:H68,M35)</f>
        <v>0</v>
      </c>
      <c r="G3" s="69">
        <f>SUM(L68:P68,M36)</f>
        <v>0</v>
      </c>
      <c r="H3" s="21"/>
      <c r="I3" s="21"/>
      <c r="J3" s="21"/>
      <c r="K3" s="21"/>
      <c r="L3" s="21"/>
      <c r="M3" s="21"/>
      <c r="N3" s="21"/>
      <c r="O3" s="21"/>
      <c r="P3" s="21"/>
      <c r="Q3" s="21"/>
      <c r="R3" s="21"/>
    </row>
    <row r="4" spans="1:18" x14ac:dyDescent="0.25">
      <c r="B4"/>
    </row>
    <row r="5" spans="1:18" ht="16.5" thickBot="1" x14ac:dyDescent="0.3">
      <c r="A5" s="1" t="s">
        <v>35</v>
      </c>
      <c r="B5" s="161">
        <f ca="1">MAX(B$3:B4)+0.01</f>
        <v>12.01</v>
      </c>
      <c r="C5" s="200" t="str">
        <f>"VDO cost stack chart - Flat VDO - "&amp;IF(ISNUMBER(SEARCH("Residential",$C$48)),"Residential","Small business")</f>
        <v>VDO cost stack chart - Flat VDO - Small business</v>
      </c>
      <c r="D5" s="200"/>
      <c r="E5" s="200" t="s">
        <v>547</v>
      </c>
      <c r="F5" s="200"/>
      <c r="G5" s="200"/>
      <c r="H5" s="200"/>
      <c r="I5" s="200"/>
      <c r="J5" s="200"/>
      <c r="K5" s="200"/>
      <c r="L5" s="200"/>
      <c r="M5" s="200"/>
      <c r="N5" s="200"/>
      <c r="O5" s="200"/>
      <c r="P5" s="200"/>
      <c r="Q5" s="200"/>
      <c r="R5" s="23"/>
    </row>
    <row r="6" spans="1:18" outlineLevel="1" x14ac:dyDescent="0.25">
      <c r="B6"/>
    </row>
    <row r="7" spans="1:18" outlineLevel="1" x14ac:dyDescent="0.25">
      <c r="B7"/>
    </row>
    <row r="8" spans="1:18" outlineLevel="1" x14ac:dyDescent="0.25">
      <c r="B8"/>
    </row>
    <row r="9" spans="1:18" outlineLevel="1" x14ac:dyDescent="0.25">
      <c r="B9"/>
    </row>
    <row r="10" spans="1:18" outlineLevel="1" x14ac:dyDescent="0.25">
      <c r="B10"/>
      <c r="K10" t="s">
        <v>376</v>
      </c>
    </row>
    <row r="11" spans="1:18" outlineLevel="1" x14ac:dyDescent="0.25">
      <c r="B11"/>
    </row>
    <row r="12" spans="1:18" outlineLevel="1" x14ac:dyDescent="0.25">
      <c r="B12"/>
    </row>
    <row r="13" spans="1:18" outlineLevel="1" x14ac:dyDescent="0.25">
      <c r="B13"/>
    </row>
    <row r="14" spans="1:18" outlineLevel="1" x14ac:dyDescent="0.25">
      <c r="B14"/>
    </row>
    <row r="15" spans="1:18" outlineLevel="1" x14ac:dyDescent="0.25">
      <c r="B15"/>
    </row>
    <row r="16" spans="1:18" outlineLevel="1" x14ac:dyDescent="0.25">
      <c r="B16"/>
    </row>
    <row r="17" spans="2:16" outlineLevel="1" x14ac:dyDescent="0.25">
      <c r="B17"/>
    </row>
    <row r="18" spans="2:16" outlineLevel="1" x14ac:dyDescent="0.25">
      <c r="B18"/>
    </row>
    <row r="19" spans="2:16" outlineLevel="1" x14ac:dyDescent="0.25">
      <c r="B19"/>
    </row>
    <row r="20" spans="2:16" outlineLevel="1" x14ac:dyDescent="0.25">
      <c r="B20"/>
    </row>
    <row r="21" spans="2:16" outlineLevel="1" x14ac:dyDescent="0.25">
      <c r="B21"/>
    </row>
    <row r="22" spans="2:16" outlineLevel="1" x14ac:dyDescent="0.25">
      <c r="B22"/>
      <c r="L22" s="85"/>
    </row>
    <row r="23" spans="2:16" outlineLevel="1" x14ac:dyDescent="0.25">
      <c r="B23"/>
      <c r="L23" s="216"/>
    </row>
    <row r="24" spans="2:16" outlineLevel="1" x14ac:dyDescent="0.25">
      <c r="B24"/>
    </row>
    <row r="25" spans="2:16" outlineLevel="1" x14ac:dyDescent="0.25">
      <c r="B25"/>
    </row>
    <row r="26" spans="2:16" outlineLevel="1" x14ac:dyDescent="0.25">
      <c r="B26"/>
    </row>
    <row r="27" spans="2:16" outlineLevel="1" x14ac:dyDescent="0.25">
      <c r="B27"/>
    </row>
    <row r="28" spans="2:16" outlineLevel="1" x14ac:dyDescent="0.25">
      <c r="B28"/>
    </row>
    <row r="29" spans="2:16" outlineLevel="1" x14ac:dyDescent="0.25">
      <c r="B29"/>
    </row>
    <row r="30" spans="2:16" outlineLevel="1" x14ac:dyDescent="0.25">
      <c r="B30"/>
    </row>
    <row r="31" spans="2:16" ht="15.75" outlineLevel="1" x14ac:dyDescent="0.25">
      <c r="B31"/>
      <c r="C31" s="31" t="s">
        <v>509</v>
      </c>
      <c r="D31" s="76" t="s">
        <v>510</v>
      </c>
    </row>
    <row r="32" spans="2:16" ht="15.75" outlineLevel="1" x14ac:dyDescent="0.25">
      <c r="B32"/>
      <c r="C32" s="31" t="s">
        <v>511</v>
      </c>
      <c r="D32" s="76" t="s">
        <v>67</v>
      </c>
      <c r="P32" s="62"/>
    </row>
    <row r="33" spans="1:22" outlineLevel="1" x14ac:dyDescent="0.25">
      <c r="B33"/>
    </row>
    <row r="34" spans="1:22" ht="15.75" outlineLevel="1" x14ac:dyDescent="0.25">
      <c r="B34"/>
      <c r="C34" s="31" t="s">
        <v>512</v>
      </c>
      <c r="D34" s="31" t="s">
        <v>176</v>
      </c>
      <c r="E34" s="31" t="s">
        <v>81</v>
      </c>
      <c r="F34" s="31" t="s">
        <v>130</v>
      </c>
      <c r="G34" s="31" t="s">
        <v>83</v>
      </c>
      <c r="H34" s="31" t="s">
        <v>141</v>
      </c>
      <c r="I34" s="31" t="s">
        <v>257</v>
      </c>
      <c r="J34" s="31" t="s">
        <v>360</v>
      </c>
      <c r="K34" s="31" t="s">
        <v>513</v>
      </c>
    </row>
    <row r="35" spans="1:22" ht="15.75" outlineLevel="1" x14ac:dyDescent="0.25">
      <c r="B35"/>
      <c r="C35" s="60" t="str">
        <f>$L$45</f>
        <v>VDO 2023-24 - Final</v>
      </c>
      <c r="D35" s="77">
        <f>INDEX(CostStackCalcs_SME_4[[Ausnet]:[Average]],MATCH(D$34,CostStackCalcs_SME_4[Labels],0),MATCH($D$31,CostStackCalcs_SME_4[[#Headers],[Ausnet]:[Average]],0))</f>
        <v>1357.5515346254031</v>
      </c>
      <c r="E35" s="77">
        <f>INDEX(CostStackCalcs_SME_4[[Ausnet]:[Average]],MATCH(E$34,CostStackCalcs_SME_4[[Labels]:[Labels]],0),MATCH($D$31,CostStackCalcs_SME_4[[#Headers],[Ausnet]:[Average]],0))</f>
        <v>1395.1974513925231</v>
      </c>
      <c r="F35" s="77">
        <f>INDEX(CostStackCalcs_SME_4[[Ausnet]:[Average]],MATCH(F$34,CostStackCalcs_SME_4[[Labels]:[Labels]],0),MATCH($D$31,CostStackCalcs_SME_4[[#Headers],[Ausnet]:[Average]],0))</f>
        <v>175.92415101117138</v>
      </c>
      <c r="G35" s="77">
        <f>INDEX(CostStackCalcs_SME_4[[Ausnet]:[Average]],MATCH("Environmental schemes",CostStackCalcs_SME_4[[Labels]:[Labels]],0),MATCH($D$31,CostStackCalcs_SME_4[[#Headers],[Ausnet]:[Average]],0))+
INDEX(CostStackCalcs_SME_4[[Ausnet]:[Average]],MATCH("FiT",CostStackCalcs_SME_4[[Labels]:[Labels]],0),MATCH($D$31,CostStackCalcs_SME_4[[#Headers],[Ausnet]:[Average]],0))+
IF(INDEX(CostStackCalcs_SME_4[[Ausnet]:[Average]],MATCH("Environmental true up",CostStackCalcs_SME_4[[Labels]:[Labels]],0),MATCH($D$31,CostStackCalcs_SME_4[[#Headers],[Ausnet]:[Average]],0))="-",0,
INDEX(CostStackCalcs_SME_4[[Ausnet]:[Average]],MATCH("Environmental true up",CostStackCalcs_SME_4[[Labels]:[Labels]],0),MATCH($D$31,CostStackCalcs_SME_4[[#Headers],[Ausnet]:[Average]],0)))</f>
        <v>303.8221071248704</v>
      </c>
      <c r="H35" s="77">
        <f>INDEX(CostStackCalcs_SME_4[[Ausnet]:[Average]],MATCH(H$34,CostStackCalcs_SME_4[[Labels]:[Labels]],0),MATCH($D$31,CostStackCalcs_SME_4[[#Headers],[Ausnet]:[Average]],0))</f>
        <v>28.443481536271662</v>
      </c>
      <c r="I35" s="77">
        <f>INDEX(CostStackCalcs_SME_4[[Ausnet]:[Average]],MATCH(I$34,CostStackCalcs_SME_4[[Labels]:[Labels]],0),MATCH($D$31,CostStackCalcs_SME_4[[#Headers],[Ausnet]:[Average]],0))</f>
        <v>183.40618237296695</v>
      </c>
      <c r="J35" s="77">
        <f>INDEX(CostStackCalcs_SME_4[[Ausnet]:[Average]],MATCH(J$34,CostStackCalcs_SME_4[[Labels]:[Labels]],0),MATCH($D$31,CostStackCalcs_SME_4[[#Headers],[Ausnet]:[Average]],0))</f>
        <v>345.8516581890234</v>
      </c>
      <c r="K35" s="77">
        <f>INDEX(CostStackCalcs_SME_4[[Ausnet]:[Average]],MATCH(K$34,CostStackCalcs_SME_4[[Labels]:[Labels]],0),MATCH($D$31,CostStackCalcs_SME_4[[#Headers],[Ausnet]:[Average]],0))</f>
        <v>3791</v>
      </c>
      <c r="M35" s="213">
        <f>IF(OR(ROUNDUP(SUM(D35:J35),0)-K35&lt;1,ROUNDUP(SUM(D35:J35),0)-K35&gt;-1),0,1)</f>
        <v>0</v>
      </c>
    </row>
    <row r="36" spans="1:22" ht="15.75" outlineLevel="1" x14ac:dyDescent="0.25">
      <c r="B36"/>
      <c r="C36" s="60" t="str">
        <f>$D$45</f>
        <v>VDO 2024-25 - Draft</v>
      </c>
      <c r="D36" s="77">
        <f>INDEX(CostStackCalcs_SME_3[[Ausnet]:[Average]],MATCH(D$34,CostStackCalcs_SME_3[[Labels]:[Labels]],0),MATCH($D$31,CostStackCalcs_SME_3[[#Headers],[Ausnet]:[Average]],0))</f>
        <v>1038.1604782186</v>
      </c>
      <c r="E36" s="77">
        <f>INDEX(CostStackCalcs_SME_3[[Ausnet]:[Average]],MATCH(E$34,CostStackCalcs_SME_3[[Labels]:[Labels]],0),MATCH($D$31,CostStackCalcs_SME_3[[#Headers],[Ausnet]:[Average]],0))</f>
        <v>1479.8298286433071</v>
      </c>
      <c r="F36" s="77">
        <f>INDEX(CostStackCalcs_SME_3[[Ausnet]:[Average]],MATCH(F$34,CostStackCalcs_SME_3[[Labels]:[Labels]],0),MATCH($D$31,CostStackCalcs_SME_3[[#Headers],[Ausnet]:[Average]],0))</f>
        <v>187.59415017239178</v>
      </c>
      <c r="G36" s="77">
        <f>INDEX(CostStackCalcs_SME_3[[Ausnet]:[Average]],MATCH("Environmental schemes",CostStackCalcs_SME_3[[Labels]:[Labels]],0),MATCH($D$31,CostStackCalcs_SME_3[[#Headers],[Ausnet]:[Average]],0))+
INDEX(CostStackCalcs_SME_3[[Ausnet]:[Average]],MATCH("FiT",CostStackCalcs_SME_3[[Labels]:[Labels]],0),MATCH($D$31,CostStackCalcs_SME_3[[#Headers],[Ausnet]:[Average]],0))+
IF(INDEX(CostStackCalcs_SME_3[[Ausnet]:[Average]],MATCH("Environmental true up",CostStackCalcs_SME_3[[Labels]:[Labels]],0),MATCH($D$31,CostStackCalcs_SME_3[[#Headers],[Ausnet]:[Average]],0))="-",0,
INDEX(CostStackCalcs_SME_3[[Ausnet]:[Average]],MATCH("Environmental true up",CostStackCalcs_SME_3[[Labels]:[Labels]],0),MATCH($D$31,CostStackCalcs_SME_3[[#Headers],[Ausnet]:[Average]],0)))</f>
        <v>308.70186031983332</v>
      </c>
      <c r="H36" s="77">
        <f>INDEX(CostStackCalcs_SME_3[[Ausnet]:[Average]],MATCH(H$34,CostStackCalcs_SME_3[[Labels]:[Labels]],0),MATCH($D$31,CostStackCalcs_SME_3[[#Headers],[Ausnet]:[Average]],0))</f>
        <v>19.338661788715836</v>
      </c>
      <c r="I36" s="77">
        <f>INDEX(CostStackCalcs_SME_3[[Ausnet]:[Average]],MATCH(I$34,CostStackCalcs_SME_3[[Labels]:[Labels]],0),MATCH($D$31,CostStackCalcs_SME_3[[#Headers],[Ausnet]:[Average]],0))</f>
        <v>169.88299883199949</v>
      </c>
      <c r="J36" s="77">
        <f>INDEX(CostStackCalcs_SME_3[[Ausnet]:[Average]],MATCH(J$34,CostStackCalcs_SME_3[[Labels]:[Labels]],0),MATCH($D$31,CostStackCalcs_SME_3[[#Headers],[Ausnet]:[Average]],0))</f>
        <v>320.35079779748474</v>
      </c>
      <c r="K36" s="77">
        <f>INDEX(CostStackCalcs_SME_3[[Ausnet]:[Average]],MATCH(K$34,CostStackCalcs_SME_3[[Labels]:[Labels]],0),MATCH($D$31,CostStackCalcs_SME_3[[#Headers],[Ausnet]:[Average]],0))</f>
        <v>3525</v>
      </c>
      <c r="M36" s="213">
        <f>IF(OR(ROUNDUP(SUM(D36:J36),0)-K36&lt;1,ROUNDUP(SUM(D36:J36),0)-K36&gt;-1),0,1)</f>
        <v>0</v>
      </c>
    </row>
    <row r="37" spans="1:22" outlineLevel="1" x14ac:dyDescent="0.25">
      <c r="B37"/>
      <c r="M37" s="86"/>
      <c r="N37" s="85"/>
    </row>
    <row r="38" spans="1:22" outlineLevel="1" x14ac:dyDescent="0.25">
      <c r="B38"/>
      <c r="C38" s="60" t="str">
        <f>$L$45</f>
        <v>VDO 2023-24 - Final</v>
      </c>
      <c r="D38" s="84">
        <f>D35/$K35</f>
        <v>0.35809853195077895</v>
      </c>
      <c r="E38" s="84">
        <f t="shared" ref="E38:K39" si="0">E35/$K35</f>
        <v>0.36802887137761098</v>
      </c>
      <c r="F38" s="84">
        <f t="shared" si="0"/>
        <v>4.6405737539216931E-2</v>
      </c>
      <c r="G38" s="84">
        <f t="shared" si="0"/>
        <v>8.0142998450242781E-2</v>
      </c>
      <c r="H38" s="84">
        <f t="shared" si="0"/>
        <v>7.5028967386630606E-3</v>
      </c>
      <c r="I38" s="84">
        <f t="shared" si="0"/>
        <v>4.8379367547604052E-2</v>
      </c>
      <c r="J38" s="84">
        <f t="shared" si="0"/>
        <v>9.1229664518339068E-2</v>
      </c>
      <c r="K38" s="84">
        <f t="shared" si="0"/>
        <v>1</v>
      </c>
    </row>
    <row r="39" spans="1:22" outlineLevel="1" x14ac:dyDescent="0.25">
      <c r="B39"/>
      <c r="C39" s="60" t="str">
        <f>$D$45</f>
        <v>VDO 2024-25 - Draft</v>
      </c>
      <c r="D39" s="84">
        <f>D36/$K36</f>
        <v>0.29451361084215605</v>
      </c>
      <c r="E39" s="84">
        <f>E36/$K36</f>
        <v>0.41980988046618639</v>
      </c>
      <c r="F39" s="84">
        <f t="shared" si="0"/>
        <v>5.321819863046575E-2</v>
      </c>
      <c r="G39" s="84">
        <f>G36/$K36</f>
        <v>8.7574995835413713E-2</v>
      </c>
      <c r="H39" s="84">
        <f t="shared" si="0"/>
        <v>5.4861451882881806E-3</v>
      </c>
      <c r="I39" s="84">
        <f t="shared" si="0"/>
        <v>4.8193758533900566E-2</v>
      </c>
      <c r="J39" s="84">
        <f t="shared" si="0"/>
        <v>9.0879658949641062E-2</v>
      </c>
      <c r="K39" s="84">
        <f t="shared" si="0"/>
        <v>1</v>
      </c>
    </row>
    <row r="40" spans="1:22" ht="15.75" outlineLevel="1" x14ac:dyDescent="0.25">
      <c r="B40"/>
      <c r="C40" s="24" t="s">
        <v>514</v>
      </c>
      <c r="D40" s="84">
        <f>(D36-D35)/D35</f>
        <v>-0.23526993138786031</v>
      </c>
      <c r="E40" s="84">
        <f t="shared" ref="E40:J40" si="1">(E36-E35)/E35</f>
        <v>6.0659784868667743E-2</v>
      </c>
      <c r="F40" s="84">
        <f t="shared" si="1"/>
        <v>6.6335401331448496E-2</v>
      </c>
      <c r="G40" s="84">
        <f>(G36-G35)/G35</f>
        <v>1.6061218326543121E-2</v>
      </c>
      <c r="H40" s="84">
        <f t="shared" si="1"/>
        <v>-0.32010215542514331</v>
      </c>
      <c r="I40" s="84">
        <f t="shared" si="1"/>
        <v>-7.373352068071129E-2</v>
      </c>
      <c r="J40" s="84">
        <f t="shared" si="1"/>
        <v>-7.3733520680711304E-2</v>
      </c>
      <c r="K40" s="84">
        <f>(K36-K35)/K35</f>
        <v>-7.0166183065154319E-2</v>
      </c>
    </row>
    <row r="41" spans="1:22" ht="15.75" hidden="1" outlineLevel="1" x14ac:dyDescent="0.25">
      <c r="B41"/>
      <c r="C41" s="24" t="s">
        <v>515</v>
      </c>
      <c r="D41" s="84">
        <f t="shared" ref="D41:J41" si="2">D38*D40</f>
        <v>-8.4249817042153272E-2</v>
      </c>
      <c r="E41" s="84">
        <f t="shared" si="2"/>
        <v>2.2324552163224473E-2</v>
      </c>
      <c r="F41" s="84">
        <f t="shared" si="2"/>
        <v>3.0783432237458204E-3</v>
      </c>
      <c r="G41" s="84">
        <f t="shared" si="2"/>
        <v>1.2871941954531562E-3</v>
      </c>
      <c r="H41" s="84">
        <f t="shared" si="2"/>
        <v>-2.4016934179783237E-3</v>
      </c>
      <c r="I41" s="84">
        <f t="shared" si="2"/>
        <v>-3.567181097590996E-3</v>
      </c>
      <c r="J41" s="84">
        <f t="shared" si="2"/>
        <v>-6.7266843554573078E-3</v>
      </c>
      <c r="K41" s="84">
        <f>SUM(D41:J41)</f>
        <v>-7.025528633075645E-2</v>
      </c>
      <c r="M41" s="213">
        <f>IF(ROUND(K41,2)=ROUND(K40,2),0,1)</f>
        <v>0</v>
      </c>
    </row>
    <row r="42" spans="1:22" x14ac:dyDescent="0.25">
      <c r="B42"/>
      <c r="K42" s="85"/>
      <c r="L42" s="86"/>
    </row>
    <row r="43" spans="1:22" ht="16.5" thickBot="1" x14ac:dyDescent="0.3">
      <c r="A43" s="1" t="s">
        <v>35</v>
      </c>
      <c r="B43" s="161">
        <f ca="1">MAX(B$3:B42)+0.01</f>
        <v>12.02</v>
      </c>
      <c r="C43" s="200" t="str">
        <f>"VDO cost stack calcs - Flat VDO - "&amp;IF(ISNUMBER(SEARCH("Residential",$C$48)),"Residential","Small business")</f>
        <v>VDO cost stack calcs - Flat VDO - Small business</v>
      </c>
      <c r="D43" s="200"/>
      <c r="E43" s="200"/>
      <c r="F43" s="200"/>
      <c r="G43" s="200"/>
      <c r="H43" s="200"/>
      <c r="I43" s="200"/>
      <c r="J43" s="200"/>
      <c r="K43" s="200"/>
      <c r="L43" s="200"/>
      <c r="M43" s="200"/>
      <c r="N43" s="200"/>
      <c r="O43" s="200"/>
      <c r="P43" s="200"/>
      <c r="Q43" s="200"/>
      <c r="R43" s="23"/>
    </row>
    <row r="44" spans="1:22" outlineLevel="1" x14ac:dyDescent="0.25">
      <c r="V44" s="84"/>
    </row>
    <row r="45" spans="1:22" ht="15.75" outlineLevel="1" x14ac:dyDescent="0.25">
      <c r="C45" s="39" t="s">
        <v>47</v>
      </c>
      <c r="D45" s="30" t="str">
        <f>FY</f>
        <v>VDO 2024-25 - Draft</v>
      </c>
      <c r="K45" s="39" t="s">
        <v>47</v>
      </c>
      <c r="L45" s="30" t="str">
        <f>PY</f>
        <v>VDO 2023-24 - Final</v>
      </c>
    </row>
    <row r="46" spans="1:22" ht="15.75" outlineLevel="1" x14ac:dyDescent="0.25">
      <c r="C46" s="24"/>
      <c r="K46" s="24"/>
    </row>
    <row r="47" spans="1:22" ht="15.75" outlineLevel="1" x14ac:dyDescent="0.25">
      <c r="C47" s="31" t="s">
        <v>85</v>
      </c>
      <c r="D47" s="35" t="s">
        <v>516</v>
      </c>
      <c r="F47" s="24"/>
      <c r="K47" s="31" t="s">
        <v>85</v>
      </c>
      <c r="L47" s="35" t="s">
        <v>516</v>
      </c>
    </row>
    <row r="48" spans="1:22" outlineLevel="1" x14ac:dyDescent="0.25">
      <c r="C48" s="214" t="s">
        <v>87</v>
      </c>
      <c r="D48" s="151">
        <f>INDEX(Input_Usage[],MATCH(C48&amp;" - Annual",Input_Usage[Ref],0),MATCH($D$45,Inputs!$C$147:$BA$147,0))</f>
        <v>10000</v>
      </c>
      <c r="K48" s="60" t="str">
        <f>$C$48</f>
        <v>Small business - small</v>
      </c>
      <c r="L48" s="151">
        <f>INDEX(Input_Usage[],MATCH(K48&amp;" - Annual",Input_Usage[Ref],0),MATCH($L$45,Inputs!$C$147:$BA$147,0))</f>
        <v>10000</v>
      </c>
    </row>
    <row r="49" spans="3:24" ht="15.75" outlineLevel="1" x14ac:dyDescent="0.25">
      <c r="C49" s="24"/>
      <c r="K49" s="24"/>
    </row>
    <row r="50" spans="3:24" ht="15.75" outlineLevel="1" x14ac:dyDescent="0.25">
      <c r="C50" s="31" t="s">
        <v>68</v>
      </c>
      <c r="D50" s="151">
        <f>INDEX(Input_Usage[],MATCH(C$48&amp;" - "&amp;C50,Input_Usage[Ref],0),MATCH(D$45,Inputs!$C$147:$BA$147,0))</f>
        <v>4080</v>
      </c>
      <c r="G50" s="39" t="s">
        <v>299</v>
      </c>
      <c r="H50" s="60" t="str">
        <f>FY</f>
        <v>VDO 2024-25 - Draft</v>
      </c>
      <c r="I50" s="54">
        <f>INDEX(Input_TU_Periods[],1,MATCH(H50,Inputs!$C$203:$BM$203,0))</f>
        <v>365</v>
      </c>
      <c r="K50" s="31" t="s">
        <v>68</v>
      </c>
      <c r="L50" s="151">
        <f>INDEX(Input_Usage[],MATCH(K$48&amp;" - "&amp;K50,Input_Usage[Ref],0),MATCH(L$45,Inputs!$C$147:$BA$147,0))</f>
        <v>4080</v>
      </c>
      <c r="O50" s="39" t="s">
        <v>299</v>
      </c>
      <c r="P50" s="60" t="str">
        <f>PY</f>
        <v>VDO 2023-24 - Final</v>
      </c>
      <c r="Q50" s="54">
        <f>INDEX(Input_TU_Periods[],1,MATCH(P50,Inputs!$C$203:$BM$203,0))</f>
        <v>365</v>
      </c>
    </row>
    <row r="51" spans="3:24" ht="15.75" outlineLevel="1" x14ac:dyDescent="0.25">
      <c r="C51" s="31" t="s">
        <v>70</v>
      </c>
      <c r="D51" s="151">
        <f>INDEX(Input_Usage[],MATCH(C$48&amp;" - "&amp;C51,Input_Usage[Ref],0),MATCH(D$45,Inputs!$C$147:$BA$147,0))</f>
        <v>5920</v>
      </c>
      <c r="G51" s="39" t="s">
        <v>102</v>
      </c>
      <c r="H51" s="60" t="str">
        <f>FY</f>
        <v>VDO 2024-25 - Draft</v>
      </c>
      <c r="I51" s="54">
        <f>INDEX(Input_TU_Periods[],2,MATCH(H51,Inputs!$C$203:$BM$203,0))</f>
        <v>365</v>
      </c>
      <c r="K51" s="31" t="s">
        <v>70</v>
      </c>
      <c r="L51" s="151">
        <f>INDEX(Input_Usage[],MATCH(K$48&amp;" - "&amp;K51,Input_Usage[Ref],0),MATCH(L$45,Inputs!$C$147:$BA$147,0))</f>
        <v>5920</v>
      </c>
      <c r="O51" s="39" t="s">
        <v>102</v>
      </c>
      <c r="P51" s="60" t="str">
        <f>PY</f>
        <v>VDO 2023-24 - Final</v>
      </c>
      <c r="Q51" s="54">
        <f>INDEX(Input_TU_Periods[],2,MATCH(P51,Inputs!$C$203:$BM$203,0))</f>
        <v>366</v>
      </c>
    </row>
    <row r="52" spans="3:24" ht="15.75" outlineLevel="1" x14ac:dyDescent="0.25">
      <c r="C52" s="24"/>
      <c r="D52" s="82"/>
      <c r="G52" s="39" t="s">
        <v>481</v>
      </c>
      <c r="I52" s="141">
        <f>I50/I51</f>
        <v>1</v>
      </c>
      <c r="K52" s="24"/>
      <c r="O52" s="39" t="s">
        <v>481</v>
      </c>
      <c r="Q52" s="141">
        <f>Q50/Q51</f>
        <v>0.99726775956284153</v>
      </c>
    </row>
    <row r="53" spans="3:24" ht="15.75" outlineLevel="1" x14ac:dyDescent="0.25">
      <c r="C53" s="24"/>
      <c r="D53" s="82"/>
      <c r="K53" s="24"/>
    </row>
    <row r="54" spans="3:24" ht="15.75" outlineLevel="1" x14ac:dyDescent="0.25">
      <c r="C54" s="32" t="s">
        <v>517</v>
      </c>
      <c r="D54" s="43" t="s">
        <v>59</v>
      </c>
      <c r="E54" s="43" t="s">
        <v>60</v>
      </c>
      <c r="F54" s="43" t="s">
        <v>61</v>
      </c>
      <c r="G54" s="43" t="s">
        <v>62</v>
      </c>
      <c r="H54" s="43" t="s">
        <v>63</v>
      </c>
      <c r="I54" s="43" t="s">
        <v>510</v>
      </c>
      <c r="K54" s="32" t="s">
        <v>517</v>
      </c>
      <c r="L54" s="43" t="s">
        <v>59</v>
      </c>
      <c r="M54" s="43" t="s">
        <v>60</v>
      </c>
      <c r="N54" s="43" t="s">
        <v>61</v>
      </c>
      <c r="O54" s="43" t="s">
        <v>62</v>
      </c>
      <c r="P54" s="43" t="s">
        <v>63</v>
      </c>
      <c r="Q54" s="43" t="s">
        <v>510</v>
      </c>
    </row>
    <row r="55" spans="3:24" outlineLevel="1" x14ac:dyDescent="0.25">
      <c r="C55" s="18" t="s">
        <v>176</v>
      </c>
      <c r="D55" s="74">
        <f>D$86*($D$48*(1+D$72))</f>
        <v>1066.4370382500001</v>
      </c>
      <c r="E55" s="74">
        <f>E$86*($D$48*(1+E$72))</f>
        <v>992.75000000000011</v>
      </c>
      <c r="F55" s="74">
        <f>F$86*($D$48*(1+F$72))</f>
        <v>1052.2259770119999</v>
      </c>
      <c r="G55" s="74">
        <f>G$86*($D$48*(1+G$72))</f>
        <v>1033.3944093200002</v>
      </c>
      <c r="H55" s="74">
        <f>H$86*($D$48*(1+H$72))</f>
        <v>1045.994966511</v>
      </c>
      <c r="I55" s="75">
        <f>AVERAGE(D55:H55)</f>
        <v>1038.1604782186</v>
      </c>
      <c r="K55" s="18" t="s">
        <v>176</v>
      </c>
      <c r="L55" s="74">
        <f>L$86*($L$48*(1+L$72))</f>
        <v>1395.4483407377236</v>
      </c>
      <c r="M55" s="74">
        <f>M$86*($L$48*(1+M$72))</f>
        <v>1321.7487583813038</v>
      </c>
      <c r="N55" s="74">
        <f>N$86*($L$48*(1+N$72))</f>
        <v>1361.1562465934878</v>
      </c>
      <c r="O55" s="74">
        <f>O$86*($L$48*(1+O$72))</f>
        <v>1344.4418315543239</v>
      </c>
      <c r="P55" s="74">
        <f>P$86*($L$48*(1+P$72))</f>
        <v>1364.9624958601773</v>
      </c>
      <c r="Q55" s="75">
        <f>AVERAGE(L55:P55)</f>
        <v>1357.5515346254031</v>
      </c>
      <c r="U55" s="134"/>
      <c r="V55" s="133"/>
    </row>
    <row r="56" spans="3:24" outlineLevel="1" x14ac:dyDescent="0.25">
      <c r="C56" s="18" t="s">
        <v>81</v>
      </c>
      <c r="D56" s="74">
        <f>D$77+(D$91*$D$50)+(D$92*$D$51)+(D$93*$D$48)</f>
        <v>2223.327489338817</v>
      </c>
      <c r="E56" s="74">
        <f>E$77+(E$91*$D$50)+(E$92*$D$51)+(E$93*$D$48)</f>
        <v>1110.158296658981</v>
      </c>
      <c r="F56" s="74">
        <f>F$77+(F$91*$D$50)+(F$92*$D$51)+(F$93*$D$48)</f>
        <v>1573.3744176425187</v>
      </c>
      <c r="G56" s="74">
        <f>G$77+(G$91*$D$50)+(G$92*$D$51)+(G$93*$D$48)</f>
        <v>1307.4087457940466</v>
      </c>
      <c r="H56" s="74">
        <f>H$77+(H$91*$D$50)+(H$92*$D$51)+(H$93*$D$48)</f>
        <v>1184.8801937821715</v>
      </c>
      <c r="I56" s="75">
        <f t="shared" ref="I56:I63" si="3">AVERAGE(D56:H56)</f>
        <v>1479.8298286433071</v>
      </c>
      <c r="K56" s="18" t="s">
        <v>81</v>
      </c>
      <c r="L56" s="74">
        <f>L$77+(L$91*$L$50)+(L$92*$L$51)+(L$93*$L$48)</f>
        <v>2196.3965757831479</v>
      </c>
      <c r="M56" s="74">
        <f>M$77+(M$91*$L$50)+(M$92*$L$51)+(M$93*$L$48)</f>
        <v>1034.759895686956</v>
      </c>
      <c r="N56" s="74">
        <f>N$77+(N$91*$L$50)+(N$92*$L$51)+(N$93*$L$48)</f>
        <v>1391.2703427550439</v>
      </c>
      <c r="O56" s="74">
        <f>O$77+(O$91*$L$50)+(O$92*$L$51)+(O$93*$L$48)</f>
        <v>1227.2371551055203</v>
      </c>
      <c r="P56" s="74">
        <f>P$77+(P$91*$L$50)+(P$92*$L$51)+(P$93*$L$48)</f>
        <v>1126.3232876319478</v>
      </c>
      <c r="Q56" s="75">
        <f t="shared" ref="Q56:Q63" si="4">AVERAGE(L56:P56)</f>
        <v>1395.1974513925231</v>
      </c>
      <c r="T56" s="85"/>
      <c r="U56" s="134"/>
      <c r="V56" s="133"/>
      <c r="X56" s="62"/>
    </row>
    <row r="57" spans="3:24" outlineLevel="1" x14ac:dyDescent="0.25">
      <c r="C57" s="18" t="s">
        <v>130</v>
      </c>
      <c r="D57" s="74">
        <f>D$75</f>
        <v>187.59415017239178</v>
      </c>
      <c r="E57" s="74">
        <f>E$75</f>
        <v>187.59415017239178</v>
      </c>
      <c r="F57" s="74">
        <f>F$75</f>
        <v>187.59415017239178</v>
      </c>
      <c r="G57" s="74">
        <f>G$75</f>
        <v>187.59415017239178</v>
      </c>
      <c r="H57" s="74">
        <f>H$75</f>
        <v>187.59415017239178</v>
      </c>
      <c r="I57" s="75">
        <f t="shared" si="3"/>
        <v>187.59415017239178</v>
      </c>
      <c r="K57" s="18" t="s">
        <v>130</v>
      </c>
      <c r="L57" s="74">
        <f>L$75</f>
        <v>175.92415101117138</v>
      </c>
      <c r="M57" s="74">
        <f>M$75</f>
        <v>175.92415101117138</v>
      </c>
      <c r="N57" s="74">
        <f>N$75</f>
        <v>175.92415101117138</v>
      </c>
      <c r="O57" s="74">
        <f>O$75</f>
        <v>175.92415101117138</v>
      </c>
      <c r="P57" s="74">
        <f>P$75</f>
        <v>175.92415101117138</v>
      </c>
      <c r="Q57" s="75">
        <f t="shared" si="4"/>
        <v>175.92415101117138</v>
      </c>
      <c r="U57" s="134"/>
      <c r="V57" s="133"/>
      <c r="X57" s="62"/>
    </row>
    <row r="58" spans="3:24" outlineLevel="1" x14ac:dyDescent="0.25">
      <c r="C58" s="18" t="s">
        <v>518</v>
      </c>
      <c r="D58" s="74">
        <f>(D$84*($D$48*(1+D$72)))</f>
        <v>298.30622141583598</v>
      </c>
      <c r="E58" s="74">
        <f>(E$84*($D$48*(1+E$72)))</f>
        <v>287.19438220000001</v>
      </c>
      <c r="F58" s="74">
        <f>(F$84*($D$48*(1+F$72)))</f>
        <v>287.28420121243119</v>
      </c>
      <c r="G58" s="74">
        <f>(G$84*($D$48*(1+G$72)))</f>
        <v>294.51918559918403</v>
      </c>
      <c r="H58" s="74">
        <f>(H$84*($D$48*(1+H$72)))</f>
        <v>287.72678012262361</v>
      </c>
      <c r="I58" s="75">
        <f t="shared" si="3"/>
        <v>291.00615411001502</v>
      </c>
      <c r="K58" s="18" t="s">
        <v>518</v>
      </c>
      <c r="L58" s="74">
        <f>(L$84*($L$48*(1+L$72)))</f>
        <v>308.60880974690025</v>
      </c>
      <c r="M58" s="74">
        <f>(M$84*($L$48*(1+M$72)))</f>
        <v>297.11362773894132</v>
      </c>
      <c r="N58" s="74">
        <f>(N$84*($L$48*(1+N$72)))</f>
        <v>297.21694683758682</v>
      </c>
      <c r="O58" s="74">
        <f>(O$84*($L$48*(1+O$72)))</f>
        <v>304.63155774375548</v>
      </c>
      <c r="P58" s="74">
        <f>(P$84*($L$48*(1+P$72)))</f>
        <v>297.67010011809043</v>
      </c>
      <c r="Q58" s="75">
        <f>AVERAGE(L58:P58)</f>
        <v>301.04820843705483</v>
      </c>
      <c r="U58" s="134"/>
      <c r="V58" s="133"/>
      <c r="X58" s="62"/>
    </row>
    <row r="59" spans="3:24" outlineLevel="1" x14ac:dyDescent="0.25">
      <c r="C59" s="18" t="s">
        <v>519</v>
      </c>
      <c r="D59" s="74">
        <f>D81</f>
        <v>17.695706209818297</v>
      </c>
      <c r="E59" s="74">
        <f>E81</f>
        <v>17.695706209818297</v>
      </c>
      <c r="F59" s="74">
        <f>F81</f>
        <v>17.695706209818297</v>
      </c>
      <c r="G59" s="74">
        <f>G81</f>
        <v>17.695706209818297</v>
      </c>
      <c r="H59" s="74">
        <f>H81</f>
        <v>17.695706209818297</v>
      </c>
      <c r="I59" s="75">
        <f>AVERAGE(D59:H59)</f>
        <v>17.695706209818297</v>
      </c>
      <c r="K59" s="18" t="s">
        <v>519</v>
      </c>
      <c r="L59" s="74">
        <f>L81</f>
        <v>16.945572514842485</v>
      </c>
      <c r="M59" s="74">
        <f>M81</f>
        <v>16.945572514842485</v>
      </c>
      <c r="N59" s="74">
        <f>N81</f>
        <v>16.945572514842485</v>
      </c>
      <c r="O59" s="74">
        <f>O81</f>
        <v>16.945572514842485</v>
      </c>
      <c r="P59" s="74">
        <f>P81</f>
        <v>16.945572514842485</v>
      </c>
      <c r="Q59" s="75">
        <f>AVERAGE(L59:P59)</f>
        <v>16.945572514842485</v>
      </c>
      <c r="U59" s="134"/>
      <c r="V59" s="133"/>
    </row>
    <row r="60" spans="3:24" outlineLevel="1" x14ac:dyDescent="0.25">
      <c r="C60" s="18" t="s">
        <v>141</v>
      </c>
      <c r="D60" s="74">
        <f>D$79+(D$88*($D$48*(1+D$72)))</f>
        <v>19.545973836415516</v>
      </c>
      <c r="E60" s="74">
        <f>E$79+(E$88*($D$48*(1+E$72)))</f>
        <v>19.230412616903518</v>
      </c>
      <c r="F60" s="74">
        <f>F$79+(F$88*($D$48*(1+F$72)))</f>
        <v>19.232963355493915</v>
      </c>
      <c r="G60" s="74">
        <f>G$79+(G$88*($D$48*(1+G$72)))</f>
        <v>19.438427136231518</v>
      </c>
      <c r="H60" s="74">
        <f>H$79+(H$88*($D$48*(1+H$72)))</f>
        <v>19.245531998534716</v>
      </c>
      <c r="I60" s="75">
        <f t="shared" si="3"/>
        <v>19.338661788715836</v>
      </c>
      <c r="K60" s="18" t="s">
        <v>141</v>
      </c>
      <c r="L60" s="74">
        <f>L$79+(L$88*($L$48*(1+L$72)))</f>
        <v>28.890001845906461</v>
      </c>
      <c r="M60" s="74">
        <f>M$79+(M$88*($L$48*(1+M$72)))</f>
        <v>28.211109781750366</v>
      </c>
      <c r="N60" s="74">
        <f>N$79+(N$88*($L$48*(1+N$72)))</f>
        <v>28.217211687409421</v>
      </c>
      <c r="O60" s="74">
        <f>O$79+(O$88*($L$48*(1+O$72)))</f>
        <v>28.655109973797398</v>
      </c>
      <c r="P60" s="74">
        <f>P$79+(P$88*($L$48*(1+P$72)))</f>
        <v>28.243974392494664</v>
      </c>
      <c r="Q60" s="75">
        <f t="shared" si="4"/>
        <v>28.443481536271662</v>
      </c>
      <c r="U60" s="134"/>
      <c r="V60" s="133"/>
    </row>
    <row r="61" spans="3:24" outlineLevel="1" x14ac:dyDescent="0.25">
      <c r="C61" s="18" t="s">
        <v>257</v>
      </c>
      <c r="D61" s="74">
        <f>SUM(D55:D60)*D$70</f>
        <v>213.52276843650361</v>
      </c>
      <c r="E61" s="74">
        <f>SUM(E55:E60)*E$70</f>
        <v>146.41888508005329</v>
      </c>
      <c r="F61" s="74">
        <f>SUM(F55:F60)*F$70</f>
        <v>175.69481527386063</v>
      </c>
      <c r="G61" s="74">
        <f>SUM(G55:G60)*G$70</f>
        <v>160.16283495697363</v>
      </c>
      <c r="H61" s="74">
        <f>SUM(H55:H60)*H$70</f>
        <v>153.61569041260623</v>
      </c>
      <c r="I61" s="75">
        <f t="shared" si="3"/>
        <v>169.88299883199949</v>
      </c>
      <c r="K61" s="18" t="s">
        <v>257</v>
      </c>
      <c r="L61" s="74">
        <f>SUM(L55:L60)*L$70</f>
        <v>230.84395329182274</v>
      </c>
      <c r="M61" s="74">
        <f>SUM(M55:M60)*M$70</f>
        <v>160.98337444643806</v>
      </c>
      <c r="N61" s="74">
        <f>SUM(N55:N60)*N$70</f>
        <v>183.16090639837435</v>
      </c>
      <c r="O61" s="74">
        <f>SUM(O55:O60)*O$70</f>
        <v>173.47878116259102</v>
      </c>
      <c r="P61" s="74">
        <f>SUM(P55:P60)*P$70</f>
        <v>168.56389656560856</v>
      </c>
      <c r="Q61" s="75">
        <f t="shared" si="4"/>
        <v>183.40618237296695</v>
      </c>
      <c r="U61" s="134"/>
      <c r="V61" s="133"/>
    </row>
    <row r="62" spans="3:24" outlineLevel="1" x14ac:dyDescent="0.25">
      <c r="C62" s="18" t="s">
        <v>360</v>
      </c>
      <c r="D62" s="74">
        <f>SUM(D55:D61)*GST</f>
        <v>402.64293476597823</v>
      </c>
      <c r="E62" s="74">
        <f>SUM(E55:E61)*GST</f>
        <v>276.1041832938148</v>
      </c>
      <c r="F62" s="74">
        <f>SUM(F55:F61)*GST</f>
        <v>331.31022308785145</v>
      </c>
      <c r="G62" s="74">
        <f>SUM(G55:G61)*GST</f>
        <v>302.0213459188646</v>
      </c>
      <c r="H62" s="74">
        <f>SUM(H55:H61)*GST</f>
        <v>289.67530192091465</v>
      </c>
      <c r="I62" s="75">
        <f t="shared" si="3"/>
        <v>320.35079779748474</v>
      </c>
      <c r="K62" s="18" t="s">
        <v>360</v>
      </c>
      <c r="L62" s="74">
        <f>SUM(L55:L61)*GST</f>
        <v>435.30574049315146</v>
      </c>
      <c r="M62" s="74">
        <f>SUM(M55:M61)*GST</f>
        <v>303.56864895614035</v>
      </c>
      <c r="N62" s="74">
        <f>SUM(N55:N61)*GST</f>
        <v>345.38913777979161</v>
      </c>
      <c r="O62" s="74">
        <f>SUM(O55:O61)*GST</f>
        <v>327.13141590660024</v>
      </c>
      <c r="P62" s="74">
        <f>SUM(P55:P61)*GST</f>
        <v>317.86334780943326</v>
      </c>
      <c r="Q62" s="75">
        <f t="shared" si="4"/>
        <v>345.8516581890234</v>
      </c>
      <c r="U62" s="134"/>
      <c r="V62" s="133"/>
    </row>
    <row r="63" spans="3:24" outlineLevel="1" x14ac:dyDescent="0.25">
      <c r="C63" s="18" t="s">
        <v>520</v>
      </c>
      <c r="D63" s="92">
        <f>(D$99*($D$50/$I$52))+(D$100*($D$51/$I$52))+(D$101*($D$48/$I$52))</f>
        <v>0</v>
      </c>
      <c r="E63" s="92">
        <f>(E$99*($D$50/$I$52))+(E$100*($D$51/$I$52))+(E$101*($D$48/$I$52))</f>
        <v>0</v>
      </c>
      <c r="F63" s="92">
        <f>(F$99*($D$50/$I$52))+(F$100*($D$51/$I$52))+(F$101*($D$48/$I$52))</f>
        <v>0</v>
      </c>
      <c r="G63" s="92">
        <f>(G$99*($D$50/$I$52))+(G$100*($D$51/$I$52))+(G$101*($D$48/$I$52))</f>
        <v>0</v>
      </c>
      <c r="H63" s="92">
        <f>(H$99*($D$50/$I$52))+(H$100*($D$51/$I$52))+(H$101*($D$48/$I$52))</f>
        <v>0</v>
      </c>
      <c r="I63" s="75">
        <f t="shared" si="3"/>
        <v>0</v>
      </c>
      <c r="K63" s="18" t="s">
        <v>520</v>
      </c>
      <c r="L63" s="92">
        <f>(L$99*($L$50/$Q$52))+(L$100*($L$51/$Q$52))+(L$101*($L$48/$Q$52))</f>
        <v>-14.490612246009229</v>
      </c>
      <c r="M63" s="92">
        <f>(M$99*($L$50/$Q$52))+(M$100*($L$51/$Q$52))+(M$101*($L$48/$Q$52))</f>
        <v>-14.054411914026876</v>
      </c>
      <c r="N63" s="92">
        <f>(N$99*($L$50/$Q$52))+(N$100*($L$51/$Q$52))+(N$101*($L$48/$Q$52))</f>
        <v>-13.934793692644204</v>
      </c>
      <c r="O63" s="92">
        <f>(O$99*($L$50/$Q$52))+(O$100*($L$51/$Q$52))+(O$101*($L$48/$Q$52))</f>
        <v>-14.362374813289756</v>
      </c>
      <c r="P63" s="92">
        <f>(P$99*($L$50/$Q$52))+(P$100*($L$51/$Q$52))+(P$101*($L$48/$Q$52))</f>
        <v>-14.016176469164312</v>
      </c>
      <c r="Q63" s="75">
        <f t="shared" si="4"/>
        <v>-14.171673827026876</v>
      </c>
      <c r="U63" s="134"/>
      <c r="V63" s="133"/>
    </row>
    <row r="64" spans="3:24" outlineLevel="1" x14ac:dyDescent="0.25">
      <c r="C64" s="33" t="s">
        <v>521</v>
      </c>
      <c r="D64" s="136">
        <f>ROUNDUP(SUM(D55:D63),0)</f>
        <v>4430</v>
      </c>
      <c r="E64" s="136">
        <f>ROUNDUP(SUM(E55:E63),0)</f>
        <v>3038</v>
      </c>
      <c r="F64" s="136">
        <f>ROUNDUP(SUM(F55:F63),0)</f>
        <v>3645</v>
      </c>
      <c r="G64" s="136">
        <f>ROUNDUP(SUM(G55:G63),0)</f>
        <v>3323</v>
      </c>
      <c r="H64" s="136">
        <f>ROUNDUP(SUM(H55:H63),0)</f>
        <v>3187</v>
      </c>
      <c r="I64" s="75">
        <f>AVERAGE(D64:H64)</f>
        <v>3524.6</v>
      </c>
      <c r="K64" s="33" t="s">
        <v>521</v>
      </c>
      <c r="L64" s="136">
        <f>ROUNDUP(SUM(L55:L63),0)</f>
        <v>4774</v>
      </c>
      <c r="M64" s="136">
        <f>ROUNDUP(SUM(M55:M63),0)</f>
        <v>3326</v>
      </c>
      <c r="N64" s="136">
        <f>ROUNDUP(SUM(N55:N63),0)</f>
        <v>3786</v>
      </c>
      <c r="O64" s="136">
        <f>ROUNDUP(SUM(O55:O63),0)</f>
        <v>3585</v>
      </c>
      <c r="P64" s="136">
        <f>ROUNDUP(SUM(P55:P63),0)</f>
        <v>3483</v>
      </c>
      <c r="Q64" s="75">
        <f>AVERAGE(L64:P64)</f>
        <v>3790.8</v>
      </c>
      <c r="T64" s="82"/>
      <c r="U64" s="134"/>
      <c r="V64" s="133"/>
      <c r="X64" s="62"/>
    </row>
    <row r="65" spans="3:24" outlineLevel="1" x14ac:dyDescent="0.25">
      <c r="C65" s="18"/>
      <c r="D65" s="74"/>
      <c r="E65" s="74"/>
      <c r="F65" s="74"/>
      <c r="G65" s="74"/>
      <c r="H65" s="74"/>
      <c r="I65" s="75"/>
      <c r="K65" s="18"/>
      <c r="L65" s="74"/>
      <c r="M65" s="74"/>
      <c r="N65" s="74"/>
      <c r="O65" s="74"/>
      <c r="P65" s="74"/>
      <c r="Q65" s="75"/>
      <c r="S65" s="79"/>
      <c r="V65" s="133"/>
    </row>
    <row r="66" spans="3:24" outlineLevel="1" x14ac:dyDescent="0.25">
      <c r="C66" s="18" t="s">
        <v>513</v>
      </c>
      <c r="D66" s="75">
        <f>IF($D$32="Residential",
ROUNDUP(
(INDEX(OP_Rates_RES_1[[Ausnet]:[United Energy]],MATCH("Anytime - supply",OP_Rates_RES_1[[Rate name]:[Rate name]],0),MATCH(CostStackCalcs_RES_1[[#Headers],[Ausnet]],OP_Rates_RES_1[[#Headers],[Ausnet]:[United Energy]],0))*DiY)+
(IFERROR((INDEX(OP_Rates_RES_1[[Ausnet]:[United Energy]],MATCH("Block 1",OP_Rates_RES_1[[Rate name]:[Rate name]],0),MATCH(CostStackCalcs_RES_1[[#Headers],[Ausnet]],OP_Rates_RES_1[[#Headers],[Ausnet]:[United Energy]],0))*$D$50),0)+
IFERROR((INDEX(OP_Rates_RES_1[[Ausnet]:[United Energy]],MATCH("Balance",OP_Rates_RES_1[[Rate name]:[Rate name]],0),MATCH(CostStackCalcs_RES_1[[#Headers],[Ausnet]],OP_Rates_RES_1[[#Headers],[Ausnet]:[United Energy]],0))*$D$51),0)+
IFERROR((INDEX(OP_Rates_RES_1[[Ausnet]:[United Energy]],MATCH("Single rate",OP_Rates_RES_1[[Rate name]:[Rate name]],0),MATCH(CostStackCalcs_RES_1[[#Headers],[Ausnet]],OP_Rates_RES_1[[#Headers],[Ausnet]:[United Energy]],0))*$D$48),0))
+
(IFERROR((INDEX(OP_RatesTU_RES_1[[Ausnet]:[United Energy]],MATCH("Block 1",OP_RatesTU_RES_1[[Rate name]:[Rate name]],0),MATCH(CostStackCalcs_RES_1[[#Headers],[Ausnet]],OP_RatesTU_RES_1[[#Headers],[Ausnet]:[United Energy]],0))*($D$50/$I$52)),0)+
IFERROR((INDEX(OP_RatesTU_RES_1[[Ausnet]:[United Energy]],MATCH("Balance",OP_RatesTU_RES_1[[Rate name]:[Rate name]],0),MATCH(CostStackCalcs_RES_1[[#Headers],[Ausnet]],OP_RatesTU_RES_1[[#Headers],[Ausnet]:[United Energy]],0))*($D$51/$I$52)),0)+
IFERROR((INDEX(OP_RatesTU_RES_1[[Ausnet]:[United Energy]],MATCH("Single rate",OP_RatesTU_RES_1[[Rate name]:[Rate name]],0),MATCH(CostStackCalcs_RES_1[[#Headers],[Ausnet]],OP_RatesTU_RES_1[[#Headers],[Ausnet]:[United Energy]],0))*($D$48/$I$52)),0)),0),ROUNDUP(
(INDEX(OP_Rates_SME_1[[Ausnet]:[United Energy]],MATCH("Anytime - supply",OP_Rates_SME_1[[Rate name]:[Rate name]],0),MATCH(CostStackCalcs_SME_3[[#Headers],[Ausnet]],OP_Rates_SME_1[[#Headers],[Ausnet]:[United Energy]],0))*DiY)+
(IFERROR((INDEX(OP_Rates_SME_1[[Ausnet]:[United Energy]],MATCH("Block 1",OP_Rates_SME_1[[Rate name]:[Rate name]],0),MATCH(CostStackCalcs_SME_3[[#Headers],[Ausnet]],OP_Rates_SME_1[[#Headers],[Ausnet]:[United Energy]],0))*$D$50),0)+
IFERROR((INDEX(OP_Rates_SME_1[[Ausnet]:[United Energy]],MATCH("Balance",OP_Rates_SME_1[[Rate name]:[Rate name]],0),MATCH(CostStackCalcs_SME_3[[#Headers],[Ausnet]],OP_Rates_SME_1[[#Headers],[Ausnet]:[United Energy]],0))*$D$51),0)+
IFERROR((INDEX(OP_Rates_SME_1[[Ausnet]:[United Energy]],MATCH("Single rate",OP_Rates_SME_1[[Rate name]:[Rate name]],0),MATCH(CostStackCalcs_SME_3[[#Headers],[Ausnet]],OP_Rates_SME_1[[#Headers],[Ausnet]:[United Energy]],0))*$D$48),0))
+
(IFERROR((INDEX(OP_RatesTU_SME_1[[Ausnet]:[United Energy]],MATCH("Block 1",OP_RatesTU_SME_1[[Rate name]:[Rate name]],0),MATCH(CostStackCalcs_SME_3[[#Headers],[Ausnet]],OP_RatesTU_SME_1[[#Headers],[Ausnet]:[United Energy]],0))*($D$50/$I$52)),0)+
IFERROR((INDEX(OP_RatesTU_SME_1[[Ausnet]:[United Energy]],MATCH("Balance",OP_RatesTU_SME_1[[Rate name]:[Rate name]],0),MATCH(CostStackCalcs_SME_3[[#Headers],[Ausnet]],OP_RatesTU_SME_1[[#Headers],[Ausnet]:[United Energy]],0))*($D$51/$I$52)),0)+
IFERROR((INDEX(OP_RatesTU_SME_1[[Ausnet]:[United Energy]],MATCH("Single rate",OP_RatesTU_SME_1[[Rate name]:[Rate name]],0),MATCH(CostStackCalcs_SME_3[[#Headers],[Ausnet]],OP_RatesTU_SME_1[[#Headers],[Ausnet]:[United Energy]],0))*($D$48/$I$52)),0)),0))</f>
        <v>4430</v>
      </c>
      <c r="E66" s="75">
        <f>IF($D$32="Residential",
ROUNDUP(
(INDEX(OP_Rates_RES_1[[Ausnet]:[United Energy]],MATCH("Anytime - supply",OP_Rates_RES_1[[Rate name]:[Rate name]],0),MATCH(CostStackCalcs_RES_1[[#Headers],[Citipower]],OP_Rates_RES_1[[#Headers],[Ausnet]:[United Energy]],0))*DiY)+
(IFERROR((INDEX(OP_Rates_RES_1[[Ausnet]:[United Energy]],MATCH("Block 1",OP_Rates_RES_1[[Rate name]:[Rate name]],0),MATCH(CostStackCalcs_RES_1[[#Headers],[Citipower]],OP_Rates_RES_1[[#Headers],[Ausnet]:[United Energy]],0))*$D$50),0)+
IFERROR((INDEX(OP_Rates_RES_1[[Ausnet]:[United Energy]],MATCH("Balance",OP_Rates_RES_1[[Rate name]:[Rate name]],0),MATCH(CostStackCalcs_RES_1[[#Headers],[Citipower]],OP_Rates_RES_1[[#Headers],[Ausnet]:[United Energy]],0))*$D$51),0)+
IFERROR((INDEX(OP_Rates_RES_1[[Ausnet]:[United Energy]],MATCH("Single rate",OP_Rates_RES_1[[Rate name]:[Rate name]],0),MATCH(CostStackCalcs_RES_1[[#Headers],[Citipower]],OP_Rates_RES_1[[#Headers],[Ausnet]:[United Energy]],0))*$D$48),0))
+
(IFERROR((INDEX(OP_RatesTU_RES_1[[Ausnet]:[United Energy]],MATCH("Block 1",OP_RatesTU_RES_1[[Rate name]:[Rate name]],0),MATCH(CostStackCalcs_RES_1[[#Headers],[Citipower]],OP_RatesTU_RES_1[[#Headers],[Ausnet]:[United Energy]],0))*($D$50/$I$52)),0)+
IFERROR((INDEX(OP_RatesTU_RES_1[[Ausnet]:[United Energy]],MATCH("Balance",OP_RatesTU_RES_1[[Rate name]:[Rate name]],0),MATCH(CostStackCalcs_RES_1[[#Headers],[Citipower]],OP_RatesTU_RES_1[[#Headers],[Ausnet]:[United Energy]],0))*($D$51/$I$52)),0)+
IFERROR((INDEX(OP_RatesTU_RES_1[[Ausnet]:[United Energy]],MATCH("Single rate",OP_RatesTU_RES_1[[Rate name]:[Rate name]],0),MATCH(CostStackCalcs_RES_1[[#Headers],[Citipower]],OP_RatesTU_RES_1[[#Headers],[Ausnet]:[United Energy]],0))*($D$48/$I$52)),0)),0),ROUNDUP(
(INDEX(OP_Rates_SME_1[[Ausnet]:[United Energy]],MATCH("Anytime - supply",OP_Rates_SME_1[[Rate name]:[Rate name]],0),MATCH(CostStackCalcs_SME_3[[#Headers],[Citipower]],OP_Rates_SME_1[[#Headers],[Ausnet]:[United Energy]],0))*DiY)+
(IFERROR((INDEX(OP_Rates_SME_1[[Ausnet]:[United Energy]],MATCH("Block 1",OP_Rates_SME_1[[Rate name]:[Rate name]],0),MATCH(CostStackCalcs_SME_3[[#Headers],[Citipower]],OP_Rates_SME_1[[#Headers],[Ausnet]:[United Energy]],0))*$D$50),0)+
IFERROR((INDEX(OP_Rates_SME_1[[Ausnet]:[United Energy]],MATCH("Balance",OP_Rates_SME_1[[Rate name]:[Rate name]],0),MATCH(CostStackCalcs_SME_3[[#Headers],[Citipower]],OP_Rates_SME_1[[#Headers],[Ausnet]:[United Energy]],0))*$D$51),0)+
IFERROR((INDEX(OP_Rates_SME_1[[Ausnet]:[United Energy]],MATCH("Single rate",OP_Rates_SME_1[[Rate name]:[Rate name]],0),MATCH(CostStackCalcs_SME_3[[#Headers],[Citipower]],OP_Rates_SME_1[[#Headers],[Ausnet]:[United Energy]],0))*$D$48),0))
+
(IFERROR((INDEX(OP_RatesTU_SME_1[[Ausnet]:[United Energy]],MATCH("Block 1",OP_RatesTU_SME_1[[Rate name]:[Rate name]],0),MATCH(CostStackCalcs_SME_3[[#Headers],[Citipower]],OP_RatesTU_SME_1[[#Headers],[Ausnet]:[United Energy]],0))*($D$50/$I$52)),0)+
IFERROR((INDEX(OP_RatesTU_SME_1[[Ausnet]:[United Energy]],MATCH("Balance",OP_RatesTU_SME_1[[Rate name]:[Rate name]],0),MATCH(CostStackCalcs_SME_3[[#Headers],[Citipower]],OP_RatesTU_SME_1[[#Headers],[Ausnet]:[United Energy]],0))*($D$51/$I$52)),0)+
IFERROR((INDEX(OP_RatesTU_SME_1[[Ausnet]:[United Energy]],MATCH("Single rate",OP_RatesTU_SME_1[[Rate name]:[Rate name]],0),MATCH(CostStackCalcs_SME_3[[#Headers],[Citipower]],OP_RatesTU_SME_1[[#Headers],[Ausnet]:[United Energy]],0))*($D$48/$I$52)),0)),0))</f>
        <v>3038</v>
      </c>
      <c r="F66" s="75">
        <f>IF($D$32="Residential",
ROUNDUP(
(INDEX(OP_Rates_RES_1[[Ausnet]:[United Energy]],MATCH("Anytime - supply",OP_Rates_RES_1[[Rate name]:[Rate name]],0),MATCH(CostStackCalcs_RES_1[[#Headers],[Jemena]],OP_Rates_RES_1[[#Headers],[Ausnet]:[United Energy]],0))*DiY)+
(IFERROR((INDEX(OP_Rates_RES_1[[Ausnet]:[United Energy]],MATCH("Block 1",OP_Rates_RES_1[[Rate name]:[Rate name]],0),MATCH(CostStackCalcs_RES_1[[#Headers],[Jemena]],OP_Rates_RES_1[[#Headers],[Ausnet]:[United Energy]],0))*$D$50),0)+
IFERROR((INDEX(OP_Rates_RES_1[[Ausnet]:[United Energy]],MATCH("Balance",OP_Rates_RES_1[[Rate name]:[Rate name]],0),MATCH(CostStackCalcs_RES_1[[#Headers],[Jemena]],OP_Rates_RES_1[[#Headers],[Ausnet]:[United Energy]],0))*$D$51),0)+
IFERROR((INDEX(OP_Rates_RES_1[[Ausnet]:[United Energy]],MATCH("Single rate",OP_Rates_RES_1[[Rate name]:[Rate name]],0),MATCH(CostStackCalcs_RES_1[[#Headers],[Jemena]],OP_Rates_RES_1[[#Headers],[Ausnet]:[United Energy]],0))*$D$48),0))
+
(IFERROR((INDEX(OP_RatesTU_RES_1[[Ausnet]:[United Energy]],MATCH("Block 1",OP_RatesTU_RES_1[[Rate name]:[Rate name]],0),MATCH(CostStackCalcs_RES_1[[#Headers],[Jemena]],OP_RatesTU_RES_1[[#Headers],[Ausnet]:[United Energy]],0))*($D$50/$I$52)),0)+
IFERROR((INDEX(OP_RatesTU_RES_1[[Ausnet]:[United Energy]],MATCH("Balance",OP_RatesTU_RES_1[[Rate name]:[Rate name]],0),MATCH(CostStackCalcs_RES_1[[#Headers],[Jemena]],OP_RatesTU_RES_1[[#Headers],[Ausnet]:[United Energy]],0))*($D$51/$I$52)),0)+
IFERROR((INDEX(OP_RatesTU_RES_1[[Ausnet]:[United Energy]],MATCH("Single rate",OP_RatesTU_RES_1[[Rate name]:[Rate name]],0),MATCH(CostStackCalcs_RES_1[[#Headers],[Jemena]],OP_RatesTU_RES_1[[#Headers],[Ausnet]:[United Energy]],0))*($D$48/$I$52)),0)),0),ROUNDUP(
(INDEX(OP_Rates_SME_1[[Ausnet]:[United Energy]],MATCH("Anytime - supply",OP_Rates_SME_1[[Rate name]:[Rate name]],0),MATCH(CostStackCalcs_SME_3[[#Headers],[Jemena]],OP_Rates_SME_1[[#Headers],[Ausnet]:[United Energy]],0))*DiY)+
(IFERROR((INDEX(OP_Rates_SME_1[[Ausnet]:[United Energy]],MATCH("Block 1",OP_Rates_SME_1[[Rate name]:[Rate name]],0),MATCH(CostStackCalcs_SME_3[[#Headers],[Jemena]],OP_Rates_SME_1[[#Headers],[Ausnet]:[United Energy]],0))*$D$50),0)+
IFERROR((INDEX(OP_Rates_SME_1[[Ausnet]:[United Energy]],MATCH("Balance",OP_Rates_SME_1[[Rate name]:[Rate name]],0),MATCH(CostStackCalcs_SME_3[[#Headers],[Jemena]],OP_Rates_SME_1[[#Headers],[Ausnet]:[United Energy]],0))*$D$51),0)+
IFERROR((INDEX(OP_Rates_SME_1[[Ausnet]:[United Energy]],MATCH("Single rate",OP_Rates_SME_1[[Rate name]:[Rate name]],0),MATCH(CostStackCalcs_SME_3[[#Headers],[Jemena]],OP_Rates_SME_1[[#Headers],[Ausnet]:[United Energy]],0))*$D$48),0))
+
(IFERROR((INDEX(OP_RatesTU_SME_1[[Ausnet]:[United Energy]],MATCH("Block 1",OP_RatesTU_SME_1[[Rate name]:[Rate name]],0),MATCH(CostStackCalcs_SME_3[[#Headers],[Jemena]],OP_RatesTU_SME_1[[#Headers],[Ausnet]:[United Energy]],0))*($D$50/$I$52)),0)+
IFERROR((INDEX(OP_RatesTU_SME_1[[Ausnet]:[United Energy]],MATCH("Balance",OP_RatesTU_SME_1[[Rate name]:[Rate name]],0),MATCH(CostStackCalcs_SME_3[[#Headers],[Jemena]],OP_RatesTU_SME_1[[#Headers],[Ausnet]:[United Energy]],0))*($D$51/$I$52)),0)+
IFERROR((INDEX(OP_RatesTU_SME_1[[Ausnet]:[United Energy]],MATCH("Single rate",OP_RatesTU_SME_1[[Rate name]:[Rate name]],0),MATCH(CostStackCalcs_SME_3[[#Headers],[Jemena]],OP_RatesTU_SME_1[[#Headers],[Ausnet]:[United Energy]],0))*($D$48/$I$52)),0)),0))</f>
        <v>3645</v>
      </c>
      <c r="G66" s="75">
        <f>IF($D$32="Residential",
ROUNDUP(
(INDEX(OP_Rates_RES_1[[Ausnet]:[United Energy]],MATCH("Anytime - supply",OP_Rates_RES_1[[Rate name]:[Rate name]],0),MATCH(CostStackCalcs_RES_1[[#Headers],[Powercor]],OP_Rates_RES_1[[#Headers],[Ausnet]:[United Energy]],0))*DiY)+
(IFERROR((INDEX(OP_Rates_RES_1[[Ausnet]:[United Energy]],MATCH("Block 1",OP_Rates_RES_1[[Rate name]:[Rate name]],0),MATCH(CostStackCalcs_RES_1[[#Headers],[Powercor]],OP_Rates_RES_1[[#Headers],[Ausnet]:[United Energy]],0))*$D$50),0)+
IFERROR((INDEX(OP_Rates_RES_1[[Ausnet]:[United Energy]],MATCH("Balance",OP_Rates_RES_1[[Rate name]:[Rate name]],0),MATCH(CostStackCalcs_RES_1[[#Headers],[Powercor]],OP_Rates_RES_1[[#Headers],[Ausnet]:[United Energy]],0))*$D$51),0)+
IFERROR((INDEX(OP_Rates_RES_1[[Ausnet]:[United Energy]],MATCH("Single rate",OP_Rates_RES_1[[Rate name]:[Rate name]],0),MATCH(CostStackCalcs_RES_1[[#Headers],[Powercor]],OP_Rates_RES_1[[#Headers],[Ausnet]:[United Energy]],0))*$D$48),0))
+
(IFERROR((INDEX(OP_RatesTU_RES_1[[Ausnet]:[United Energy]],MATCH("Block 1",OP_RatesTU_RES_1[[Rate name]:[Rate name]],0),MATCH(CostStackCalcs_RES_1[[#Headers],[Powercor]],OP_RatesTU_RES_1[[#Headers],[Ausnet]:[United Energy]],0))*($D$50/$I$52)),0)+
IFERROR((INDEX(OP_RatesTU_RES_1[[Ausnet]:[United Energy]],MATCH("Balance",OP_RatesTU_RES_1[[Rate name]:[Rate name]],0),MATCH(CostStackCalcs_RES_1[[#Headers],[Powercor]],OP_RatesTU_RES_1[[#Headers],[Ausnet]:[United Energy]],0))*($D$51/$I$52)),0)+
IFERROR((INDEX(OP_RatesTU_RES_1[[Ausnet]:[United Energy]],MATCH("Single rate",OP_RatesTU_RES_1[[Rate name]:[Rate name]],0),MATCH(CostStackCalcs_RES_1[[#Headers],[Powercor]],OP_RatesTU_RES_1[[#Headers],[Ausnet]:[United Energy]],0))*($D$48/$I$52)),0)),0),ROUNDUP(
(INDEX(OP_Rates_SME_1[[Ausnet]:[United Energy]],MATCH("Anytime - supply",OP_Rates_SME_1[[Rate name]:[Rate name]],0),MATCH(CostStackCalcs_SME_3[[#Headers],[Powercor]],OP_Rates_SME_1[[#Headers],[Ausnet]:[United Energy]],0))*DiY)+
(IFERROR((INDEX(OP_Rates_SME_1[[Ausnet]:[United Energy]],MATCH("Block 1",OP_Rates_SME_1[[Rate name]:[Rate name]],0),MATCH(CostStackCalcs_SME_3[[#Headers],[Powercor]],OP_Rates_SME_1[[#Headers],[Ausnet]:[United Energy]],0))*$D$50),0)+
IFERROR((INDEX(OP_Rates_SME_1[[Ausnet]:[United Energy]],MATCH("Balance",OP_Rates_SME_1[[Rate name]:[Rate name]],0),MATCH(CostStackCalcs_SME_3[[#Headers],[Powercor]],OP_Rates_SME_1[[#Headers],[Ausnet]:[United Energy]],0))*$D$51),0)+
IFERROR((INDEX(OP_Rates_SME_1[[Ausnet]:[United Energy]],MATCH("Single rate",OP_Rates_SME_1[[Rate name]:[Rate name]],0),MATCH(CostStackCalcs_SME_3[[#Headers],[Powercor]],OP_Rates_SME_1[[#Headers],[Ausnet]:[United Energy]],0))*$D$48),0))
+
(IFERROR((INDEX(OP_RatesTU_SME_1[[Ausnet]:[United Energy]],MATCH("Block 1",OP_RatesTU_SME_1[[Rate name]:[Rate name]],0),MATCH(CostStackCalcs_SME_3[[#Headers],[Powercor]],OP_RatesTU_SME_1[[#Headers],[Ausnet]:[United Energy]],0))*($D$50/$I$52)),0)+
IFERROR((INDEX(OP_RatesTU_SME_1[[Ausnet]:[United Energy]],MATCH("Balance",OP_RatesTU_SME_1[[Rate name]:[Rate name]],0),MATCH(CostStackCalcs_SME_3[[#Headers],[Powercor]],OP_RatesTU_SME_1[[#Headers],[Ausnet]:[United Energy]],0))*($D$51/$I$52)),0)+
IFERROR((INDEX(OP_RatesTU_SME_1[[Ausnet]:[United Energy]],MATCH("Single rate",OP_RatesTU_SME_1[[Rate name]:[Rate name]],0),MATCH(CostStackCalcs_SME_3[[#Headers],[Powercor]],OP_RatesTU_SME_1[[#Headers],[Ausnet]:[United Energy]],0))*($D$48/$I$52)),0)),0))</f>
        <v>3323</v>
      </c>
      <c r="H66" s="75">
        <f>IF($D$32="Residential",
ROUNDUP(
(INDEX(OP_Rates_RES_1[[Ausnet]:[United Energy]],MATCH("Anytime - supply",OP_Rates_RES_1[[Rate name]:[Rate name]],0),MATCH(CostStackCalcs_RES_1[[#Headers],[United Energy]],OP_Rates_RES_1[[#Headers],[Ausnet]:[United Energy]],0))*DiY)+
(IFERROR((INDEX(OP_Rates_RES_1[[Ausnet]:[United Energy]],MATCH("Block 1",OP_Rates_RES_1[[Rate name]:[Rate name]],0),MATCH(CostStackCalcs_RES_1[[#Headers],[United Energy]],OP_Rates_RES_1[[#Headers],[Ausnet]:[United Energy]],0))*$D$50),0)+
IFERROR((INDEX(OP_Rates_RES_1[[Ausnet]:[United Energy]],MATCH("Balance",OP_Rates_RES_1[[Rate name]:[Rate name]],0),MATCH(CostStackCalcs_RES_1[[#Headers],[United Energy]],OP_Rates_RES_1[[#Headers],[Ausnet]:[United Energy]],0))*$D$51),0)+
IFERROR((INDEX(OP_Rates_RES_1[[Ausnet]:[United Energy]],MATCH("Single rate",OP_Rates_RES_1[[Rate name]:[Rate name]],0),MATCH(CostStackCalcs_RES_1[[#Headers],[United Energy]],OP_Rates_RES_1[[#Headers],[Ausnet]:[United Energy]],0))*$D$48),0))
+
(IFERROR((INDEX(OP_RatesTU_RES_1[[Ausnet]:[United Energy]],MATCH("Block 1",OP_RatesTU_RES_1[[Rate name]:[Rate name]],0),MATCH(CostStackCalcs_RES_1[[#Headers],[United Energy]],OP_RatesTU_RES_1[[#Headers],[Ausnet]:[United Energy]],0))*($D$50/$I$52)),0)+
IFERROR((INDEX(OP_RatesTU_RES_1[[Ausnet]:[United Energy]],MATCH("Balance",OP_RatesTU_RES_1[[Rate name]:[Rate name]],0),MATCH(CostStackCalcs_RES_1[[#Headers],[United Energy]],OP_RatesTU_RES_1[[#Headers],[Ausnet]:[United Energy]],0))*($D$51/$I$52)),0)+
IFERROR((INDEX(OP_RatesTU_RES_1[[Ausnet]:[United Energy]],MATCH("Single rate",OP_RatesTU_RES_1[[Rate name]:[Rate name]],0),MATCH(CostStackCalcs_RES_1[[#Headers],[United Energy]],OP_RatesTU_RES_1[[#Headers],[Ausnet]:[United Energy]],0))*($D$48/$I$52)),0)),0),ROUNDUP(
(INDEX(OP_Rates_SME_1[[Ausnet]:[United Energy]],MATCH("Anytime - supply",OP_Rates_SME_1[[Rate name]:[Rate name]],0),MATCH(CostStackCalcs_SME_3[[#Headers],[United Energy]],OP_Rates_SME_1[[#Headers],[Ausnet]:[United Energy]],0))*DiY)+
(IFERROR((INDEX(OP_Rates_SME_1[[Ausnet]:[United Energy]],MATCH("Block 1",OP_Rates_SME_1[[Rate name]:[Rate name]],0),MATCH(CostStackCalcs_SME_3[[#Headers],[United Energy]],OP_Rates_SME_1[[#Headers],[Ausnet]:[United Energy]],0))*$D$50),0)+
IFERROR((INDEX(OP_Rates_SME_1[[Ausnet]:[United Energy]],MATCH("Balance",OP_Rates_SME_1[[Rate name]:[Rate name]],0),MATCH(CostStackCalcs_SME_3[[#Headers],[United Energy]],OP_Rates_SME_1[[#Headers],[Ausnet]:[United Energy]],0))*$D$51),0)+
IFERROR((INDEX(OP_Rates_SME_1[[Ausnet]:[United Energy]],MATCH("Single rate",OP_Rates_SME_1[[Rate name]:[Rate name]],0),MATCH(CostStackCalcs_SME_3[[#Headers],[United Energy]],OP_Rates_SME_1[[#Headers],[Ausnet]:[United Energy]],0))*$D$48),0))
+
(IFERROR((INDEX(OP_RatesTU_SME_1[[Ausnet]:[United Energy]],MATCH("Block 1",OP_RatesTU_SME_1[[Rate name]:[Rate name]],0),MATCH(CostStackCalcs_SME_3[[#Headers],[United Energy]],OP_RatesTU_SME_1[[#Headers],[Ausnet]:[United Energy]],0))*($D$50/$I$52)),0)+
IFERROR((INDEX(OP_RatesTU_SME_1[[Ausnet]:[United Energy]],MATCH("Balance",OP_RatesTU_SME_1[[Rate name]:[Rate name]],0),MATCH(CostStackCalcs_SME_3[[#Headers],[United Energy]],OP_RatesTU_SME_1[[#Headers],[Ausnet]:[United Energy]],0))*($D$51/$I$52)),0)+
IFERROR((INDEX(OP_RatesTU_SME_1[[Ausnet]:[United Energy]],MATCH("Single rate",OP_RatesTU_SME_1[[Rate name]:[Rate name]],0),MATCH(CostStackCalcs_SME_3[[#Headers],[United Energy]],OP_RatesTU_SME_1[[#Headers],[Ausnet]:[United Energy]],0))*($D$48/$I$52)),0)),0))</f>
        <v>3187</v>
      </c>
      <c r="I66" s="75">
        <f>ROUND(AVERAGE(D66:H66),0)</f>
        <v>3525</v>
      </c>
      <c r="K66" s="18" t="s">
        <v>513</v>
      </c>
      <c r="L66" s="75">
        <f>IF($D$32="Residential",
ROUNDUP(
(INDEX(OP_Rates_RES_2[[Ausnet]:[United Energy]],MATCH("Anytime - supply",OP_Rates_RES_2[[Rate name]:[Rate name]],0),MATCH(CostStackCalcs_RES_2[[#Headers],[Ausnet]],OP_Rates_RES_2[[#Headers],[Ausnet]:[United Energy]],0))*DiPY)+
(IFERROR((INDEX(OP_Rates_RES_2[[Ausnet]:[United Energy]],MATCH("Block 1",OP_Rates_RES_2[[Rate name]:[Rate name]],0),MATCH(CostStackCalcs_RES_2[[#Headers],[Ausnet]],OP_Rates_RES_2[[#Headers],[Ausnet]:[United Energy]],0))*$L$50),0)+
IFERROR((INDEX(OP_Rates_RES_2[[Ausnet]:[United Energy]],MATCH("Balance",OP_Rates_RES_2[[Rate name]:[Rate name]],0),MATCH(CostStackCalcs_RES_2[[#Headers],[Ausnet]],OP_Rates_RES_2[[#Headers],[Ausnet]:[United Energy]],0))*$L$51),0)+
IFERROR((INDEX(OP_Rates_RES_2[[Ausnet]:[United Energy]],MATCH("Single rate",OP_Rates_RES_2[[Rate name]:[Rate name]],0),MATCH(CostStackCalcs_RES_2[[#Headers],[Ausnet]],OP_Rates_RES_2[[#Headers],[Ausnet]:[United Energy]],0))*$L$48),0))
+
(IFERROR((INDEX(OP_RatesTU_RES_2[[Ausnet]:[United Energy]],MATCH("Block 1",OP_RatesTU_RES_2[[Rate name]:[Rate name]],0),MATCH(CostStackCalcs_RES_2[[#Headers],[Ausnet]],OP_RatesTU_RES_2[[#Headers],[Ausnet]:[United Energy]],0))*($L$50/$Q$52)),0)+
IFERROR((INDEX(OP_RatesTU_RES_2[[Ausnet]:[United Energy]],MATCH("Balance",OP_RatesTU_RES_2[[Rate name]:[Rate name]],0),MATCH(CostStackCalcs_RES_2[[#Headers],[Ausnet]],OP_RatesTU_RES_2[[#Headers],[Ausnet]:[United Energy]],0))*($L$51/$Q$52)),0)+
IFERROR((INDEX(OP_RatesTU_RES_2[[Ausnet]:[United Energy]],MATCH("Single rate",OP_RatesTU_RES_2[[Rate name]:[Rate name]],0),MATCH(CostStackCalcs_RES_2[[#Headers],[Ausnet]],OP_RatesTU_RES_2[[#Headers],[Ausnet]:[United Energy]],0))*($L$48/$Q$52)),0)),0),ROUNDUP(
(INDEX(OP_Rates_SME_2[[Ausnet]:[United Energy]],MATCH("Anytime - supply",OP_Rates_SME_2[[Rate name]:[Rate name]],0),MATCH(CostStackCalcs_SME_4[[#Headers],[Ausnet]],OP_Rates_SME_2[[#Headers],[Ausnet]:[United Energy]],0))*DiPY)+
(IFERROR((INDEX(OP_Rates_SME_2[[Ausnet]:[United Energy]],MATCH("Block 1",OP_Rates_SME_2[[Rate name]:[Rate name]],0),MATCH(CostStackCalcs_SME_4[[#Headers],[Ausnet]],OP_Rates_SME_2[[#Headers],[Ausnet]:[United Energy]],0))*$L$50),0)+
IFERROR((INDEX(OP_Rates_SME_2[[Ausnet]:[United Energy]],MATCH("Balance",OP_Rates_SME_2[[Rate name]:[Rate name]],0),MATCH(CostStackCalcs_SME_4[[#Headers],[Ausnet]],OP_Rates_SME_2[[#Headers],[Ausnet]:[United Energy]],0))*$L$51),0)+
IFERROR((INDEX(OP_Rates_SME_2[[Ausnet]:[United Energy]],MATCH("Single rate",OP_Rates_SME_2[[Rate name]:[Rate name]],0),MATCH(CostStackCalcs_SME_4[[#Headers],[Ausnet]],OP_Rates_SME_2[[#Headers],[Ausnet]:[United Energy]],0))*$L$48),0))
+
(IFERROR((INDEX(OP_RatesTU_SME_2[[Ausnet]:[United Energy]],MATCH("Block 1",OP_RatesTU_SME_2[[Rate name]:[Rate name]],0),MATCH(CostStackCalcs_SME_4[[#Headers],[Ausnet]],OP_RatesTU_SME_2[[#Headers],[Ausnet]:[United Energy]],0))*($L$50/$Q$52)),0)+
IFERROR((INDEX(OP_RatesTU_SME_2[[Ausnet]:[United Energy]],MATCH("Balance",OP_RatesTU_SME_2[[Rate name]:[Rate name]],0),MATCH(CostStackCalcs_SME_4[[#Headers],[Ausnet]],OP_RatesTU_SME_2[[#Headers],[Ausnet]:[United Energy]],0))*($L$51/$Q$52)),0)+
IFERROR((INDEX(OP_RatesTU_SME_2[[Ausnet]:[United Energy]],MATCH("Single rate",OP_RatesTU_SME_2[[Rate name]:[Rate name]],0),MATCH(CostStackCalcs_SME_4[[#Headers],[Ausnet]],OP_RatesTU_SME_2[[#Headers],[Ausnet]:[United Energy]],0))*($L$48/$Q$52)),0)),0))</f>
        <v>4774</v>
      </c>
      <c r="M66" s="75">
        <f>IF($D$32="Residential",
ROUNDUP(
(INDEX(OP_Rates_RES_2[[Ausnet]:[United Energy]],MATCH("Anytime - supply",OP_Rates_RES_2[[Rate name]:[Rate name]],0),MATCH(CostStackCalcs_RES_2[[#Headers],[Citipower]],OP_Rates_RES_2[[#Headers],[Ausnet]:[United Energy]],0))*DiPY)+
(IFERROR((INDEX(OP_Rates_RES_2[[Ausnet]:[United Energy]],MATCH("Block 1",OP_Rates_RES_2[[Rate name]:[Rate name]],0),MATCH(CostStackCalcs_RES_2[[#Headers],[Citipower]],OP_Rates_RES_2[[#Headers],[Ausnet]:[United Energy]],0))*$L$50),0)+
IFERROR((INDEX(OP_Rates_RES_2[[Ausnet]:[United Energy]],MATCH("Balance",OP_Rates_RES_2[[Rate name]:[Rate name]],0),MATCH(CostStackCalcs_RES_2[[#Headers],[Citipower]],OP_Rates_RES_2[[#Headers],[Ausnet]:[United Energy]],0))*$L$51),0)+
IFERROR((INDEX(OP_Rates_RES_2[[Ausnet]:[United Energy]],MATCH("Single rate",OP_Rates_RES_2[[Rate name]:[Rate name]],0),MATCH(CostStackCalcs_RES_2[[#Headers],[Citipower]],OP_Rates_RES_2[[#Headers],[Ausnet]:[United Energy]],0))*$L$48),0))
+
(IFERROR((INDEX(OP_RatesTU_RES_2[[Ausnet]:[United Energy]],MATCH("Block 1",OP_RatesTU_RES_2[[Rate name]:[Rate name]],0),MATCH(CostStackCalcs_RES_2[[#Headers],[Citipower]],OP_RatesTU_RES_2[[#Headers],[Ausnet]:[United Energy]],0))*($L$50/$Q$52)),0)+
IFERROR((INDEX(OP_RatesTU_RES_2[[Ausnet]:[United Energy]],MATCH("Balance",OP_RatesTU_RES_2[[Rate name]:[Rate name]],0),MATCH(CostStackCalcs_RES_2[[#Headers],[Citipower]],OP_RatesTU_RES_2[[#Headers],[Ausnet]:[United Energy]],0))*($L$51/$Q$52)),0)+
IFERROR((INDEX(OP_RatesTU_RES_2[[Ausnet]:[United Energy]],MATCH("Single rate",OP_RatesTU_RES_2[[Rate name]:[Rate name]],0),MATCH(CostStackCalcs_RES_2[[#Headers],[Citipower]],OP_RatesTU_RES_2[[#Headers],[Ausnet]:[United Energy]],0))*($L$48/$Q$52)),0)),0),ROUNDUP(
(INDEX(OP_Rates_SME_2[[Ausnet]:[United Energy]],MATCH("Anytime - supply",OP_Rates_SME_2[[Rate name]:[Rate name]],0),MATCH(CostStackCalcs_SME_4[[#Headers],[Citipower]],OP_Rates_SME_2[[#Headers],[Ausnet]:[United Energy]],0))*DiPY)+
(IFERROR((INDEX(OP_Rates_SME_2[[Ausnet]:[United Energy]],MATCH("Block 1",OP_Rates_SME_2[[Rate name]:[Rate name]],0),MATCH(CostStackCalcs_SME_4[[#Headers],[Citipower]],OP_Rates_SME_2[[#Headers],[Ausnet]:[United Energy]],0))*$L$50),0)+
IFERROR((INDEX(OP_Rates_SME_2[[Ausnet]:[United Energy]],MATCH("Balance",OP_Rates_SME_2[[Rate name]:[Rate name]],0),MATCH(CostStackCalcs_SME_4[[#Headers],[Citipower]],OP_Rates_SME_2[[#Headers],[Ausnet]:[United Energy]],0))*$L$51),0)+
IFERROR((INDEX(OP_Rates_SME_2[[Ausnet]:[United Energy]],MATCH("Single rate",OP_Rates_SME_2[[Rate name]:[Rate name]],0),MATCH(CostStackCalcs_SME_4[[#Headers],[Citipower]],OP_Rates_SME_2[[#Headers],[Ausnet]:[United Energy]],0))*$L$48),0))
+
(IFERROR((INDEX(OP_RatesTU_SME_2[[Ausnet]:[United Energy]],MATCH("Block 1",OP_RatesTU_SME_2[[Rate name]:[Rate name]],0),MATCH(CostStackCalcs_SME_4[[#Headers],[Citipower]],OP_RatesTU_SME_2[[#Headers],[Ausnet]:[United Energy]],0))*($L$50/$Q$52)),0)+
IFERROR((INDEX(OP_RatesTU_SME_2[[Ausnet]:[United Energy]],MATCH("Balance",OP_RatesTU_SME_2[[Rate name]:[Rate name]],0),MATCH(CostStackCalcs_SME_4[[#Headers],[Citipower]],OP_RatesTU_SME_2[[#Headers],[Ausnet]:[United Energy]],0))*($L$51/$Q$52)),0)+
IFERROR((INDEX(OP_RatesTU_SME_2[[Ausnet]:[United Energy]],MATCH("Single rate",OP_RatesTU_SME_2[[Rate name]:[Rate name]],0),MATCH(CostStackCalcs_SME_4[[#Headers],[Citipower]],OP_RatesTU_SME_2[[#Headers],[Ausnet]:[United Energy]],0))*($L$48/$Q$52)),0)),0))</f>
        <v>3326</v>
      </c>
      <c r="N66" s="75">
        <f>IF($D$32="Residential",
ROUNDUP(
(INDEX(OP_Rates_RES_2[[Ausnet]:[United Energy]],MATCH("Anytime - supply",OP_Rates_RES_2[[Rate name]:[Rate name]],0),MATCH(CostStackCalcs_RES_2[[#Headers],[Jemena]],OP_Rates_RES_2[[#Headers],[Ausnet]:[United Energy]],0))*DiPY)+
(IFERROR((INDEX(OP_Rates_RES_2[[Ausnet]:[United Energy]],MATCH("Block 1",OP_Rates_RES_2[[Rate name]:[Rate name]],0),MATCH(CostStackCalcs_RES_2[[#Headers],[Jemena]],OP_Rates_RES_2[[#Headers],[Ausnet]:[United Energy]],0))*$L$50),0)+
IFERROR((INDEX(OP_Rates_RES_2[[Ausnet]:[United Energy]],MATCH("Balance",OP_Rates_RES_2[[Rate name]:[Rate name]],0),MATCH(CostStackCalcs_RES_2[[#Headers],[Jemena]],OP_Rates_RES_2[[#Headers],[Ausnet]:[United Energy]],0))*$L$51),0)+
IFERROR((INDEX(OP_Rates_RES_2[[Ausnet]:[United Energy]],MATCH("Single rate",OP_Rates_RES_2[[Rate name]:[Rate name]],0),MATCH(CostStackCalcs_RES_2[[#Headers],[Jemena]],OP_Rates_RES_2[[#Headers],[Ausnet]:[United Energy]],0))*$L$48),0))
+
(IFERROR((INDEX(OP_RatesTU_RES_2[[Ausnet]:[United Energy]],MATCH("Block 1",OP_RatesTU_RES_2[[Rate name]:[Rate name]],0),MATCH(CostStackCalcs_RES_2[[#Headers],[Jemena]],OP_RatesTU_RES_2[[#Headers],[Ausnet]:[United Energy]],0))*($L$50/$Q$52)),0)+
IFERROR((INDEX(OP_RatesTU_RES_2[[Ausnet]:[United Energy]],MATCH("Balance",OP_RatesTU_RES_2[[Rate name]:[Rate name]],0),MATCH(CostStackCalcs_RES_2[[#Headers],[Jemena]],OP_RatesTU_RES_2[[#Headers],[Ausnet]:[United Energy]],0))*($L$51/$Q$52)),0)+
IFERROR((INDEX(OP_RatesTU_RES_2[[Ausnet]:[United Energy]],MATCH("Single rate",OP_RatesTU_RES_2[[Rate name]:[Rate name]],0),MATCH(CostStackCalcs_RES_2[[#Headers],[Jemena]],OP_RatesTU_RES_2[[#Headers],[Ausnet]:[United Energy]],0))*($L$48/$Q$52)),0)),0),ROUNDUP(
(INDEX(OP_Rates_SME_2[[Ausnet]:[United Energy]],MATCH("Anytime - supply",OP_Rates_SME_2[[Rate name]:[Rate name]],0),MATCH(CostStackCalcs_SME_4[[#Headers],[Jemena]],OP_Rates_SME_2[[#Headers],[Ausnet]:[United Energy]],0))*DiPY)+
(IFERROR((INDEX(OP_Rates_SME_2[[Ausnet]:[United Energy]],MATCH("Block 1",OP_Rates_SME_2[[Rate name]:[Rate name]],0),MATCH(CostStackCalcs_SME_4[[#Headers],[Jemena]],OP_Rates_SME_2[[#Headers],[Ausnet]:[United Energy]],0))*$L$50),0)+
IFERROR((INDEX(OP_Rates_SME_2[[Ausnet]:[United Energy]],MATCH("Balance",OP_Rates_SME_2[[Rate name]:[Rate name]],0),MATCH(CostStackCalcs_SME_4[[#Headers],[Jemena]],OP_Rates_SME_2[[#Headers],[Ausnet]:[United Energy]],0))*$L$51),0)+
IFERROR((INDEX(OP_Rates_SME_2[[Ausnet]:[United Energy]],MATCH("Single rate",OP_Rates_SME_2[[Rate name]:[Rate name]],0),MATCH(CostStackCalcs_SME_4[[#Headers],[Jemena]],OP_Rates_SME_2[[#Headers],[Ausnet]:[United Energy]],0))*$L$48),0))
+
(IFERROR((INDEX(OP_RatesTU_SME_2[[Ausnet]:[United Energy]],MATCH("Block 1",OP_RatesTU_SME_2[[Rate name]:[Rate name]],0),MATCH(CostStackCalcs_SME_4[[#Headers],[Jemena]],OP_RatesTU_SME_2[[#Headers],[Ausnet]:[United Energy]],0))*($L$50/$Q$52)),0)+
IFERROR((INDEX(OP_RatesTU_SME_2[[Ausnet]:[United Energy]],MATCH("Balance",OP_RatesTU_SME_2[[Rate name]:[Rate name]],0),MATCH(CostStackCalcs_SME_4[[#Headers],[Jemena]],OP_RatesTU_SME_2[[#Headers],[Ausnet]:[United Energy]],0))*($L$51/$Q$52)),0)+
IFERROR((INDEX(OP_RatesTU_SME_2[[Ausnet]:[United Energy]],MATCH("Single rate",OP_RatesTU_SME_2[[Rate name]:[Rate name]],0),MATCH(CostStackCalcs_SME_4[[#Headers],[Jemena]],OP_RatesTU_SME_2[[#Headers],[Ausnet]:[United Energy]],0))*($L$48/$Q$52)),0)),0))</f>
        <v>3786</v>
      </c>
      <c r="O66" s="75">
        <f>IF($D$32="Residential",
ROUNDUP(
(INDEX(OP_Rates_RES_2[[Ausnet]:[United Energy]],MATCH("Anytime - supply",OP_Rates_RES_2[[Rate name]:[Rate name]],0),MATCH(CostStackCalcs_RES_2[[#Headers],[Powercor]],OP_Rates_RES_2[[#Headers],[Ausnet]:[United Energy]],0))*DiPY)+
(IFERROR((INDEX(OP_Rates_RES_2[[Ausnet]:[United Energy]],MATCH("Block 1",OP_Rates_RES_2[[Rate name]:[Rate name]],0),MATCH(CostStackCalcs_RES_2[[#Headers],[Powercor]],OP_Rates_RES_2[[#Headers],[Ausnet]:[United Energy]],0))*$L$50),0)+
IFERROR((INDEX(OP_Rates_RES_2[[Ausnet]:[United Energy]],MATCH("Balance",OP_Rates_RES_2[[Rate name]:[Rate name]],0),MATCH(CostStackCalcs_RES_2[[#Headers],[Powercor]],OP_Rates_RES_2[[#Headers],[Ausnet]:[United Energy]],0))*$L$51),0)+
IFERROR((INDEX(OP_Rates_RES_2[[Ausnet]:[United Energy]],MATCH("Single rate",OP_Rates_RES_2[[Rate name]:[Rate name]],0),MATCH(CostStackCalcs_RES_2[[#Headers],[Powercor]],OP_Rates_RES_2[[#Headers],[Ausnet]:[United Energy]],0))*$L$48),0))
+
(IFERROR((INDEX(OP_RatesTU_RES_2[[Ausnet]:[United Energy]],MATCH("Block 1",OP_RatesTU_RES_2[[Rate name]:[Rate name]],0),MATCH(CostStackCalcs_RES_2[[#Headers],[Powercor]],OP_RatesTU_RES_2[[#Headers],[Ausnet]:[United Energy]],0))*($L$50/$Q$52)),0)+
IFERROR((INDEX(OP_RatesTU_RES_2[[Ausnet]:[United Energy]],MATCH("Balance",OP_RatesTU_RES_2[[Rate name]:[Rate name]],0),MATCH(CostStackCalcs_RES_2[[#Headers],[Powercor]],OP_RatesTU_RES_2[[#Headers],[Ausnet]:[United Energy]],0))*($L$51/$Q$52)),0)+
IFERROR((INDEX(OP_RatesTU_RES_2[[Ausnet]:[United Energy]],MATCH("Single rate",OP_RatesTU_RES_2[[Rate name]:[Rate name]],0),MATCH(CostStackCalcs_RES_2[[#Headers],[Powercor]],OP_RatesTU_RES_2[[#Headers],[Ausnet]:[United Energy]],0))*($L$48/$Q$52)),0)),0),ROUNDUP(
(INDEX(OP_Rates_SME_2[[Ausnet]:[United Energy]],MATCH("Anytime - supply",OP_Rates_SME_2[[Rate name]:[Rate name]],0),MATCH(CostStackCalcs_SME_4[[#Headers],[Powercor]],OP_Rates_SME_2[[#Headers],[Ausnet]:[United Energy]],0))*DiPY)+
(IFERROR((INDEX(OP_Rates_SME_2[[Ausnet]:[United Energy]],MATCH("Block 1",OP_Rates_SME_2[[Rate name]:[Rate name]],0),MATCH(CostStackCalcs_SME_4[[#Headers],[Powercor]],OP_Rates_SME_2[[#Headers],[Ausnet]:[United Energy]],0))*$L$50),0)+
IFERROR((INDEX(OP_Rates_SME_2[[Ausnet]:[United Energy]],MATCH("Balance",OP_Rates_SME_2[[Rate name]:[Rate name]],0),MATCH(CostStackCalcs_SME_4[[#Headers],[Powercor]],OP_Rates_SME_2[[#Headers],[Ausnet]:[United Energy]],0))*$L$51),0)+
IFERROR((INDEX(OP_Rates_SME_2[[Ausnet]:[United Energy]],MATCH("Single rate",OP_Rates_SME_2[[Rate name]:[Rate name]],0),MATCH(CostStackCalcs_SME_4[[#Headers],[Powercor]],OP_Rates_SME_2[[#Headers],[Ausnet]:[United Energy]],0))*$L$48),0))
+
(IFERROR((INDEX(OP_RatesTU_SME_2[[Ausnet]:[United Energy]],MATCH("Block 1",OP_RatesTU_SME_2[[Rate name]:[Rate name]],0),MATCH(CostStackCalcs_SME_4[[#Headers],[Powercor]],OP_RatesTU_SME_2[[#Headers],[Ausnet]:[United Energy]],0))*($L$50/$Q$52)),0)+
IFERROR((INDEX(OP_RatesTU_SME_2[[Ausnet]:[United Energy]],MATCH("Balance",OP_RatesTU_SME_2[[Rate name]:[Rate name]],0),MATCH(CostStackCalcs_SME_4[[#Headers],[Powercor]],OP_RatesTU_SME_2[[#Headers],[Ausnet]:[United Energy]],0))*($L$51/$Q$52)),0)+
IFERROR((INDEX(OP_RatesTU_SME_2[[Ausnet]:[United Energy]],MATCH("Single rate",OP_RatesTU_SME_2[[Rate name]:[Rate name]],0),MATCH(CostStackCalcs_SME_4[[#Headers],[Powercor]],OP_RatesTU_SME_2[[#Headers],[Ausnet]:[United Energy]],0))*($L$48/$Q$52)),0)),0))</f>
        <v>3585</v>
      </c>
      <c r="P66" s="75">
        <f>IF($D$32="Residential",
ROUNDUP(
(INDEX(OP_Rates_RES_2[[Ausnet]:[United Energy]],MATCH("Anytime - supply",OP_Rates_RES_2[[Rate name]:[Rate name]],0),MATCH(CostStackCalcs_RES_2[[#Headers],[United Energy]],OP_Rates_RES_2[[#Headers],[Ausnet]:[United Energy]],0))*DiPY)+
(IFERROR((INDEX(OP_Rates_RES_2[[Ausnet]:[United Energy]],MATCH("Block 1",OP_Rates_RES_2[[Rate name]:[Rate name]],0),MATCH(CostStackCalcs_RES_2[[#Headers],[United Energy]],OP_Rates_RES_2[[#Headers],[Ausnet]:[United Energy]],0))*$L$50),0)+
IFERROR((INDEX(OP_Rates_RES_2[[Ausnet]:[United Energy]],MATCH("Balance",OP_Rates_RES_2[[Rate name]:[Rate name]],0),MATCH(CostStackCalcs_RES_2[[#Headers],[United Energy]],OP_Rates_RES_2[[#Headers],[Ausnet]:[United Energy]],0))*$L$51),0)+
IFERROR((INDEX(OP_Rates_RES_2[[Ausnet]:[United Energy]],MATCH("Single rate",OP_Rates_RES_2[[Rate name]:[Rate name]],0),MATCH(CostStackCalcs_RES_2[[#Headers],[United Energy]],OP_Rates_RES_2[[#Headers],[Ausnet]:[United Energy]],0))*$L$48),0))
+
(IFERROR((INDEX(OP_RatesTU_RES_2[[Ausnet]:[United Energy]],MATCH("Block 1",OP_RatesTU_RES_2[[Rate name]:[Rate name]],0),MATCH(CostStackCalcs_RES_2[[#Headers],[United Energy]],OP_RatesTU_RES_2[[#Headers],[Ausnet]:[United Energy]],0))*($L$50/$Q$52)),0)+
IFERROR((INDEX(OP_RatesTU_RES_2[[Ausnet]:[United Energy]],MATCH("Balance",OP_RatesTU_RES_2[[Rate name]:[Rate name]],0),MATCH(CostStackCalcs_RES_2[[#Headers],[United Energy]],OP_RatesTU_RES_2[[#Headers],[Ausnet]:[United Energy]],0))*($L$51/$Q$52)),0)+
IFERROR((INDEX(OP_RatesTU_RES_2[[Ausnet]:[United Energy]],MATCH("Single rate",OP_RatesTU_RES_2[[Rate name]:[Rate name]],0),MATCH(CostStackCalcs_RES_2[[#Headers],[United Energy]],OP_RatesTU_RES_2[[#Headers],[Ausnet]:[United Energy]],0))*($L$48/$Q$52)),0)),0),ROUNDUP(
(INDEX(OP_Rates_SME_2[[Ausnet]:[United Energy]],MATCH("Anytime - supply",OP_Rates_SME_2[[Rate name]:[Rate name]],0),MATCH(CostStackCalcs_SME_4[[#Headers],[United Energy]],OP_Rates_SME_2[[#Headers],[Ausnet]:[United Energy]],0))*DiPY)+
(IFERROR((INDEX(OP_Rates_SME_2[[Ausnet]:[United Energy]],MATCH("Block 1",OP_Rates_SME_2[[Rate name]:[Rate name]],0),MATCH(CostStackCalcs_SME_4[[#Headers],[United Energy]],OP_Rates_SME_2[[#Headers],[Ausnet]:[United Energy]],0))*$L$50),0)+
IFERROR((INDEX(OP_Rates_SME_2[[Ausnet]:[United Energy]],MATCH("Balance",OP_Rates_SME_2[[Rate name]:[Rate name]],0),MATCH(CostStackCalcs_SME_4[[#Headers],[United Energy]],OP_Rates_SME_2[[#Headers],[Ausnet]:[United Energy]],0))*$L$51),0)+
IFERROR((INDEX(OP_Rates_SME_2[[Ausnet]:[United Energy]],MATCH("Single rate",OP_Rates_SME_2[[Rate name]:[Rate name]],0),MATCH(CostStackCalcs_SME_4[[#Headers],[United Energy]],OP_Rates_SME_2[[#Headers],[Ausnet]:[United Energy]],0))*$L$48),0))
+
(IFERROR((INDEX(OP_RatesTU_SME_2[[Ausnet]:[United Energy]],MATCH("Block 1",OP_RatesTU_SME_2[[Rate name]:[Rate name]],0),MATCH(CostStackCalcs_SME_4[[#Headers],[United Energy]],OP_RatesTU_SME_2[[#Headers],[Ausnet]:[United Energy]],0))*($L$50/$Q$52)),0)+
IFERROR((INDEX(OP_RatesTU_SME_2[[Ausnet]:[United Energy]],MATCH("Balance",OP_RatesTU_SME_2[[Rate name]:[Rate name]],0),MATCH(CostStackCalcs_SME_4[[#Headers],[United Energy]],OP_RatesTU_SME_2[[#Headers],[Ausnet]:[United Energy]],0))*($L$51/$Q$52)),0)+
IFERROR((INDEX(OP_RatesTU_SME_2[[Ausnet]:[United Energy]],MATCH("Single rate",OP_RatesTU_SME_2[[Rate name]:[Rate name]],0),MATCH(CostStackCalcs_SME_4[[#Headers],[United Energy]],OP_RatesTU_SME_2[[#Headers],[Ausnet]:[United Energy]],0))*($L$48/$Q$52)),0)),0))</f>
        <v>3483</v>
      </c>
      <c r="Q66" s="75">
        <f>ROUND(AVERAGE(L66:P66),0)</f>
        <v>3791</v>
      </c>
    </row>
    <row r="67" spans="3:24" outlineLevel="1" x14ac:dyDescent="0.25"/>
    <row r="68" spans="3:24" ht="15.75" outlineLevel="1" x14ac:dyDescent="0.25">
      <c r="C68" s="78" t="s">
        <v>16</v>
      </c>
      <c r="D68" s="215">
        <f t="shared" ref="D68:I68" si="5">IF(AND(D66-D64&lt;=1,D66-D64&gt;=-1),0,1)</f>
        <v>0</v>
      </c>
      <c r="E68" s="215">
        <f t="shared" si="5"/>
        <v>0</v>
      </c>
      <c r="F68" s="215">
        <f t="shared" si="5"/>
        <v>0</v>
      </c>
      <c r="G68" s="215">
        <f t="shared" si="5"/>
        <v>0</v>
      </c>
      <c r="H68" s="215">
        <f t="shared" si="5"/>
        <v>0</v>
      </c>
      <c r="I68" s="215">
        <f t="shared" si="5"/>
        <v>0</v>
      </c>
      <c r="K68" s="78" t="s">
        <v>16</v>
      </c>
      <c r="L68" s="215">
        <f t="shared" ref="L68:Q68" si="6">IF(AND(L66-L64&lt;=1,L66-L64&gt;=-1),0,1)</f>
        <v>0</v>
      </c>
      <c r="M68" s="215">
        <f t="shared" si="6"/>
        <v>0</v>
      </c>
      <c r="N68" s="215">
        <f t="shared" si="6"/>
        <v>0</v>
      </c>
      <c r="O68" s="215">
        <f t="shared" si="6"/>
        <v>0</v>
      </c>
      <c r="P68" s="215">
        <f t="shared" si="6"/>
        <v>0</v>
      </c>
      <c r="Q68" s="215">
        <f t="shared" si="6"/>
        <v>0</v>
      </c>
    </row>
    <row r="69" spans="3:24" outlineLevel="1" x14ac:dyDescent="0.25">
      <c r="T69" s="62"/>
    </row>
    <row r="70" spans="3:24" ht="15.75" outlineLevel="1" x14ac:dyDescent="0.25">
      <c r="C70" s="31" t="s">
        <v>258</v>
      </c>
      <c r="D70" s="72">
        <f>INDEX(Input_ForRateCalc[],MATCH($C70,Input_ForRateCalc[[Cost item]:[Cost item]],0),MATCH($D$45,Inputs!$C$15:$AZ$15,0))</f>
        <v>5.6000000000000001E-2</v>
      </c>
      <c r="E70" s="72">
        <f>INDEX(Input_ForRateCalc[],MATCH($C70,Input_ForRateCalc[[Cost item]:[Cost item]],0),MATCH($D$45,Inputs!$C$15:$AZ$15,0))</f>
        <v>5.6000000000000001E-2</v>
      </c>
      <c r="F70" s="72">
        <f>INDEX(Input_ForRateCalc[],MATCH($C70,Input_ForRateCalc[[Cost item]:[Cost item]],0),MATCH($D$45,Inputs!$C$15:$AZ$15,0))</f>
        <v>5.6000000000000001E-2</v>
      </c>
      <c r="G70" s="72">
        <f>INDEX(Input_ForRateCalc[],MATCH($C70,Input_ForRateCalc[[Cost item]:[Cost item]],0),MATCH($D$45,Inputs!$C$15:$AZ$15,0))</f>
        <v>5.6000000000000001E-2</v>
      </c>
      <c r="H70" s="72">
        <f>INDEX(Input_ForRateCalc[],MATCH($C70,Input_ForRateCalc[[Cost item]:[Cost item]],0),MATCH($D$45,Inputs!$C$15:$AZ$15,0))</f>
        <v>5.6000000000000001E-2</v>
      </c>
      <c r="K70" s="31" t="s">
        <v>258</v>
      </c>
      <c r="L70" s="72">
        <f>INDEX(Input_ForRateCalc[],MATCH($K70,Input_ForRateCalc[[Cost item]:[Cost item]],0),MATCH($L$45,Inputs!$C$15:$AZ$15,0))</f>
        <v>5.6000000000000001E-2</v>
      </c>
      <c r="M70" s="72">
        <f>INDEX(Input_ForRateCalc[],MATCH($K70,Input_ForRateCalc[[Cost item]:[Cost item]],0),MATCH($L$45,Inputs!$C$15:$AZ$15,0))</f>
        <v>5.6000000000000001E-2</v>
      </c>
      <c r="N70" s="72">
        <f>INDEX(Input_ForRateCalc[],MATCH($K70,Input_ForRateCalc[[Cost item]:[Cost item]],0),MATCH($L$45,Inputs!$C$15:$AZ$15,0))</f>
        <v>5.6000000000000001E-2</v>
      </c>
      <c r="O70" s="72">
        <f>INDEX(Input_ForRateCalc[],MATCH($K70,Input_ForRateCalc[[Cost item]:[Cost item]],0),MATCH($L$45,Inputs!$C$15:$AZ$15,0))</f>
        <v>5.6000000000000001E-2</v>
      </c>
      <c r="P70" s="72">
        <f>INDEX(Input_ForRateCalc[],MATCH($K70,Input_ForRateCalc[[Cost item]:[Cost item]],0),MATCH($L$45,Inputs!$C$15:$AZ$15,0))</f>
        <v>5.6000000000000001E-2</v>
      </c>
      <c r="U70" s="85"/>
    </row>
    <row r="71" spans="3:24" outlineLevel="1" x14ac:dyDescent="0.25">
      <c r="U71" s="84"/>
    </row>
    <row r="72" spans="3:24" ht="15.75" outlineLevel="1" x14ac:dyDescent="0.25">
      <c r="C72" s="31" t="s">
        <v>366</v>
      </c>
      <c r="D72" s="72">
        <f>INDEX(Calc_Losses_1[[Ausnet]:[United Energy]],MATCH("Total loss factor",Calc_Losses_1[Cost item],0),MATCH(D$54,Calc_Losses_1[[#Headers],[Ausnet]:[United Energy]],0))</f>
        <v>8.5432100000000011E-2</v>
      </c>
      <c r="E72" s="72">
        <f>INDEX(Calc_Losses_1[[Ausnet]:[United Energy]],MATCH("Total loss factor",Calc_Losses_1[Cost item],0),MATCH(E$54,Calc_Losses_1[[#Headers],[Ausnet]:[United Energy]],0))</f>
        <v>4.4999999999999929E-2</v>
      </c>
      <c r="F72" s="72">
        <f>INDEX(Calc_Losses_1[[Ausnet]:[United Energy]],MATCH("Total loss factor",Calc_Losses_1[Cost item],0),MATCH(F$54,Calc_Losses_1[[#Headers],[Ausnet]:[United Energy]],0))</f>
        <v>4.5326819999999879E-2</v>
      </c>
      <c r="G72" s="72">
        <f>INDEX(Calc_Losses_1[[Ausnet]:[United Energy]],MATCH("Total loss factor",Calc_Losses_1[Cost item],0),MATCH(G$54,Calc_Losses_1[[#Headers],[Ausnet]:[United Energy]],0))</f>
        <v>7.165240000000006E-2</v>
      </c>
      <c r="H72" s="72">
        <f>INDEX(Calc_Losses_1[[Ausnet]:[United Energy]],MATCH("Total loss factor",Calc_Losses_1[Cost item],0),MATCH(H$54,Calc_Losses_1[[#Headers],[Ausnet]:[United Energy]],0))</f>
        <v>4.6937210000000062E-2</v>
      </c>
      <c r="K72" s="31" t="s">
        <v>366</v>
      </c>
      <c r="L72" s="72">
        <f>INDEX(Calc_Losses_2[[Ausnet]:[United Energy]],MATCH("Total loss factor",Calc_Losses_2[Cost item],0),MATCH(L$54,Calc_Losses_2[[#Headers],[Ausnet]:[United Energy]],0))</f>
        <v>8.5419688344982481E-2</v>
      </c>
      <c r="M72" s="72">
        <f>INDEX(Calc_Losses_2[[Ausnet]:[United Energy]],MATCH("Total loss factor",Calc_Losses_2[Cost item],0),MATCH(M$54,Calc_Losses_2[[#Headers],[Ausnet]:[United Energy]],0))</f>
        <v>4.4989549999999934E-2</v>
      </c>
      <c r="N72" s="72">
        <f>INDEX(Calc_Losses_2[[Ausnet]:[United Energy]],MATCH("Total loss factor",Calc_Losses_2[Cost item],0),MATCH(N$54,Calc_Losses_2[[#Headers],[Ausnet]:[United Energy]],0))</f>
        <v>4.5352937499999912E-2</v>
      </c>
      <c r="O72" s="72">
        <f>INDEX(Calc_Losses_2[[Ausnet]:[United Energy]],MATCH("Total loss factor",Calc_Losses_2[Cost item],0),MATCH(O$54,Calc_Losses_2[[#Headers],[Ausnet]:[United Energy]],0))</f>
        <v>7.1431145265919538E-2</v>
      </c>
      <c r="P72" s="72">
        <f>INDEX(Calc_Losses_2[[Ausnet]:[United Energy]],MATCH("Total loss factor",Calc_Losses_2[Cost item],0),MATCH(P$54,Calc_Losses_2[[#Headers],[Ausnet]:[United Energy]],0))</f>
        <v>4.6946740000000098E-2</v>
      </c>
    </row>
    <row r="73" spans="3:24" outlineLevel="1" x14ac:dyDescent="0.25">
      <c r="U73" s="143"/>
    </row>
    <row r="74" spans="3:24" ht="15.75" outlineLevel="1" x14ac:dyDescent="0.25">
      <c r="C74" s="24" t="s">
        <v>522</v>
      </c>
      <c r="K74" s="24" t="s">
        <v>522</v>
      </c>
    </row>
    <row r="75" spans="3:24" ht="15.75" outlineLevel="1" x14ac:dyDescent="0.25">
      <c r="C75" s="31" t="s">
        <v>523</v>
      </c>
      <c r="D75" s="73">
        <f>SUM(Calc_Retail_1[Ausnet])</f>
        <v>187.59415017239178</v>
      </c>
      <c r="E75" s="73">
        <f>SUM(Calc_Retail_1[Citipower])</f>
        <v>187.59415017239178</v>
      </c>
      <c r="F75" s="73">
        <f>SUM(Calc_Retail_1[Jemena])</f>
        <v>187.59415017239178</v>
      </c>
      <c r="G75" s="73">
        <f>SUM(Calc_Retail_1[Powercor])</f>
        <v>187.59415017239178</v>
      </c>
      <c r="H75" s="73">
        <f>SUM(Calc_Retail_1[United Energy])</f>
        <v>187.59415017239178</v>
      </c>
      <c r="K75" s="31" t="s">
        <v>523</v>
      </c>
      <c r="L75" s="73">
        <f>SUM(Calc_Retail_2[Ausnet])</f>
        <v>175.92415101117138</v>
      </c>
      <c r="M75" s="73">
        <f>SUM(Calc_Retail_2[Citipower])</f>
        <v>175.92415101117138</v>
      </c>
      <c r="N75" s="73">
        <f>SUM(Calc_Retail_2[Jemena])</f>
        <v>175.92415101117138</v>
      </c>
      <c r="O75" s="73">
        <f>SUM(Calc_Retail_2[Powercor])</f>
        <v>175.92415101117138</v>
      </c>
      <c r="P75" s="73">
        <f>SUM(Calc_Retail_2[United Energy])</f>
        <v>175.92415101117138</v>
      </c>
    </row>
    <row r="76" spans="3:24" outlineLevel="1" x14ac:dyDescent="0.25">
      <c r="T76" s="62"/>
      <c r="V76" s="80"/>
    </row>
    <row r="77" spans="3:24" ht="15.75" outlineLevel="1" x14ac:dyDescent="0.25">
      <c r="C77" s="31" t="s">
        <v>524</v>
      </c>
      <c r="D77" s="73">
        <f>INDEX(Calc_NetworkF_1[[Ausnet]:[United Energy]],MATCH("Metering",Calc_NetworkF_1[[Cost item]:[Cost item]],0),MATCH(D$54,Calc_NetworkF_1[[#Headers],[Ausnet]:[United Energy]],0))+
SUMIFS(Calc_NetworkF_1[Ausnet],Calc_NetworkF_1[[Cost item]:[Cost item]],"Anytime - supply",Calc_NetworkF_1[[Customer type]:[Customer type]],IF(ISNUMBER(SEARCH("Residential",$C$48)),"Residential","Small business"))</f>
        <v>225.54324933881708</v>
      </c>
      <c r="E77" s="73">
        <f>INDEX(Calc_NetworkF_1[[Ausnet]:[United Energy]],MATCH("Metering",Calc_NetworkF_1[[Cost item]:[Cost item]],0),MATCH(E$54,Calc_NetworkF_1[[#Headers],[Ausnet]:[United Energy]],0))+
SUMIFS(Calc_NetworkF_1[Citipower],Calc_NetworkF_1[[Cost item]:[Cost item]],"Anytime - supply",Calc_NetworkF_1[[Customer type]:[Customer type]],IF(ISNUMBER(SEARCH("Residential",$C$48)),"Residential","Small business"))</f>
        <v>222.15829665898102</v>
      </c>
      <c r="F77" s="73">
        <f>INDEX(Calc_NetworkF_1[[Ausnet]:[United Energy]],MATCH("Metering",Calc_NetworkF_1[[Cost item]:[Cost item]],0),MATCH(F$54,Calc_NetworkF_1[[#Headers],[Ausnet]:[United Energy]],0))+
SUMIFS(Calc_NetworkF_1[Jemena],Calc_NetworkF_1[[Cost item]:[Cost item]],"Anytime - supply",Calc_NetworkF_1[[Customer type]:[Customer type]],IF(ISNUMBER(SEARCH("Residential",$C$48)),"Residential","Small business"))</f>
        <v>232.84068064251872</v>
      </c>
      <c r="G77" s="73">
        <f>INDEX(Calc_NetworkF_1[[Ausnet]:[United Energy]],MATCH("Metering",Calc_NetworkF_1[[Cost item]:[Cost item]],0),MATCH(G$54,Calc_NetworkF_1[[#Headers],[Ausnet]:[United Energy]],0))+
SUMIFS(Calc_NetworkF_1[Powercor],Calc_NetworkF_1[[Cost item]:[Cost item]],"Anytime - supply",Calc_NetworkF_1[[Customer type]:[Customer type]],IF(ISNUMBER(SEARCH("Residential",$C$48)),"Residential","Small business"))</f>
        <v>248.40874579404667</v>
      </c>
      <c r="H77" s="73">
        <f>INDEX(Calc_NetworkF_1[[Ausnet]:[United Energy]],MATCH("Metering",Calc_NetworkF_1[[Cost item]:[Cost item]],0),MATCH(H$54,Calc_NetworkF_1[[#Headers],[Ausnet]:[United Energy]],0))+
SUMIFS(Calc_NetworkF_1[United Energy],Calc_NetworkF_1[[Cost item]:[Cost item]],"Anytime - supply",Calc_NetworkF_1[[Customer type]:[Customer type]],IF(ISNUMBER(SEARCH("Residential",$C$48)),"Residential","Small business"))</f>
        <v>198.88019378217172</v>
      </c>
      <c r="K77" s="31" t="s">
        <v>524</v>
      </c>
      <c r="L77" s="73">
        <f>INDEX(Calc_NetworkF_2[[Ausnet]:[United Energy]],MATCH("Metering",Calc_NetworkF_2[[Cost item]:[Cost item]],0),MATCH(L$54,Calc_NetworkF_2[[#Headers],[Ausnet]:[United Energy]],0))+
SUMIFS(Calc_NetworkF_2[Ausnet],Calc_NetworkF_2[[Cost item]:[Cost item]],"Anytime - supply",Calc_NetworkF_2[[Customer type]:[Customer type]],IF(ISNUMBER(SEARCH("Residential",$K$48)),"Residential","Small business"))</f>
        <v>213.97054227419011</v>
      </c>
      <c r="M77" s="73">
        <f>INDEX(Calc_NetworkF_2[[Ausnet]:[United Energy]],MATCH("Metering",Calc_NetworkF_2[[Cost item]:[Cost item]],0),MATCH(M$54,Calc_NetworkF_2[[#Headers],[Ausnet]:[United Energy]],0))+
SUMIFS(Calc_NetworkF_2[Citipower],Calc_NetworkF_2[[Cost item]:[Cost item]],"Anytime - supply",Calc_NetworkF_2[[Customer type]:[Customer type]],IF(ISNUMBER(SEARCH("Residential",$K$48)),"Residential","Small business"))</f>
        <v>219.75989568695607</v>
      </c>
      <c r="N77" s="73">
        <f>INDEX(Calc_NetworkF_2[[Ausnet]:[United Energy]],MATCH("Metering",Calc_NetworkF_2[[Cost item]:[Cost item]],0),MATCH(N$54,Calc_NetworkF_2[[#Headers],[Ausnet]:[United Energy]],0))+
SUMIFS(Calc_NetworkF_2[Jemena],Calc_NetworkF_2[[Cost item]:[Cost item]],"Anytime - supply",Calc_NetworkF_2[[Customer type]:[Customer type]],IF(ISNUMBER(SEARCH("Residential",$K$48)),"Residential","Small business"))</f>
        <v>207.87034275504374</v>
      </c>
      <c r="O77" s="73">
        <f>INDEX(Calc_NetworkF_2[[Ausnet]:[United Energy]],MATCH("Metering",Calc_NetworkF_2[[Cost item]:[Cost item]],0),MATCH(O$54,Calc_NetworkF_2[[#Headers],[Ausnet]:[United Energy]],0))+
SUMIFS(Calc_NetworkF_2[Powercor],Calc_NetworkF_2[[Cost item]:[Cost item]],"Anytime - supply",Calc_NetworkF_2[[Customer type]:[Customer type]],IF(ISNUMBER(SEARCH("Residential",$K$48)),"Residential","Small business"))</f>
        <v>246.23715510552023</v>
      </c>
      <c r="P77" s="73">
        <f>INDEX(Calc_NetworkF_2[[Ausnet]:[United Energy]],MATCH("Metering",Calc_NetworkF_2[[Cost item]:[Cost item]],0),MATCH(P$54,Calc_NetworkF_2[[#Headers],[Ausnet]:[United Energy]],0))+
SUMIFS(Calc_NetworkF_2[United Energy],Calc_NetworkF_2[[Cost item]:[Cost item]],"Anytime - supply",Calc_NetworkF_2[[Customer type]:[Customer type]],IF(ISNUMBER(SEARCH("Residential",$K$48)),"Residential","Small business"))</f>
        <v>187.32328763194758</v>
      </c>
      <c r="T77" s="62"/>
      <c r="V77" s="80"/>
    </row>
    <row r="78" spans="3:24" outlineLevel="1" x14ac:dyDescent="0.25">
      <c r="V78" s="80"/>
    </row>
    <row r="79" spans="3:24" ht="15.75" outlineLevel="1" x14ac:dyDescent="0.25">
      <c r="C79" s="31" t="s">
        <v>141</v>
      </c>
      <c r="D79" s="73">
        <f>SUMIFS(Calc_OtherCosts_1[Ausnet],Calc_OtherCosts_1[[Fixed/Variable]:[Fixed/Variable]],"Fixed")</f>
        <v>11.074480216903517</v>
      </c>
      <c r="E79" s="73">
        <f>SUMIFS(Calc_OtherCosts_1[Citipower],Calc_OtherCosts_1[[Fixed/Variable]:[Fixed/Variable]],"Fixed")</f>
        <v>11.074480216903517</v>
      </c>
      <c r="F79" s="73">
        <f>SUMIFS(Calc_OtherCosts_1[Jemena],Calc_OtherCosts_1[[Fixed/Variable]:[Fixed/Variable]],"Fixed")</f>
        <v>11.074480216903517</v>
      </c>
      <c r="G79" s="73">
        <f>SUMIFS(Calc_OtherCosts_1[Powercor],Calc_OtherCosts_1[[Fixed/Variable]:[Fixed/Variable]],"Fixed")</f>
        <v>11.074480216903517</v>
      </c>
      <c r="H79" s="73">
        <f>SUMIFS(Calc_OtherCosts_1[United Energy],Calc_OtherCosts_1[[Fixed/Variable]:[Fixed/Variable]],"Fixed")</f>
        <v>11.074480216903517</v>
      </c>
      <c r="K79" s="31" t="s">
        <v>141</v>
      </c>
      <c r="L79" s="73">
        <f>SUMIFS(Calc_OtherCosts_2[Ausnet],Calc_OtherCosts_2[[Fixed/Variable]:[Fixed/Variable]],"Fixed")</f>
        <v>10.663924892904003</v>
      </c>
      <c r="M79" s="73">
        <f>SUMIFS(Calc_OtherCosts_2[Citipower],Calc_OtherCosts_2[[Fixed/Variable]:[Fixed/Variable]],"Fixed")</f>
        <v>10.663924892904003</v>
      </c>
      <c r="N79" s="73">
        <f>SUMIFS(Calc_OtherCosts_2[Jemena],Calc_OtherCosts_2[[Fixed/Variable]:[Fixed/Variable]],"Fixed")</f>
        <v>10.663924892904003</v>
      </c>
      <c r="O79" s="73">
        <f>SUMIFS(Calc_OtherCosts_2[Powercor],Calc_OtherCosts_2[[Fixed/Variable]:[Fixed/Variable]],"Fixed")</f>
        <v>10.663924892904003</v>
      </c>
      <c r="P79" s="73">
        <f>SUMIFS(Calc_OtherCosts_2[United Energy],Calc_OtherCosts_2[[Fixed/Variable]:[Fixed/Variable]],"Fixed")</f>
        <v>10.663924892904003</v>
      </c>
      <c r="T79" s="62"/>
      <c r="V79" s="80"/>
    </row>
    <row r="80" spans="3:24" outlineLevel="1" x14ac:dyDescent="0.25">
      <c r="V80" s="80"/>
      <c r="X80" s="79"/>
    </row>
    <row r="81" spans="3:16" ht="15.75" outlineLevel="1" x14ac:dyDescent="0.25">
      <c r="C81" s="31" t="s">
        <v>525</v>
      </c>
      <c r="D81" s="73">
        <f>INDEX(Calc_FiT_1[[Ausnet]:[United Energy]],1,MATCH(D$54,Calc_FiT_1[[#Headers],[Ausnet]:[United Energy]],0))</f>
        <v>17.695706209818297</v>
      </c>
      <c r="E81" s="73">
        <f>INDEX(Calc_FiT_1[[Ausnet]:[United Energy]],1,MATCH(E$54,Calc_FiT_1[[#Headers],[Ausnet]:[United Energy]],0))</f>
        <v>17.695706209818297</v>
      </c>
      <c r="F81" s="73">
        <f>INDEX(Calc_FiT_1[[Ausnet]:[United Energy]],1,MATCH(F$54,Calc_FiT_1[[#Headers],[Ausnet]:[United Energy]],0))</f>
        <v>17.695706209818297</v>
      </c>
      <c r="G81" s="73">
        <f>INDEX(Calc_FiT_1[[Ausnet]:[United Energy]],1,MATCH(G$54,Calc_FiT_1[[#Headers],[Ausnet]:[United Energy]],0))</f>
        <v>17.695706209818297</v>
      </c>
      <c r="H81" s="73">
        <f>INDEX(Calc_FiT_1[[Ausnet]:[United Energy]],1,MATCH(H$54,Calc_FiT_1[[#Headers],[Ausnet]:[United Energy]],0))</f>
        <v>17.695706209818297</v>
      </c>
      <c r="K81" s="31" t="s">
        <v>525</v>
      </c>
      <c r="L81" s="73">
        <f>INDEX(Calc_FiT_2[[Ausnet]:[United Energy]],1,MATCH(L$54,Calc_FiT_2[[#Headers],[Ausnet]:[United Energy]],0))</f>
        <v>16.945572514842485</v>
      </c>
      <c r="M81" s="73">
        <f>INDEX(Calc_FiT_2[[Ausnet]:[United Energy]],1,MATCH(M$54,Calc_FiT_2[[#Headers],[Ausnet]:[United Energy]],0))</f>
        <v>16.945572514842485</v>
      </c>
      <c r="N81" s="73">
        <f>INDEX(Calc_FiT_2[[Ausnet]:[United Energy]],1,MATCH(N$54,Calc_FiT_2[[#Headers],[Ausnet]:[United Energy]],0))</f>
        <v>16.945572514842485</v>
      </c>
      <c r="O81" s="73">
        <f>INDEX(Calc_FiT_2[[Ausnet]:[United Energy]],1,MATCH(O$54,Calc_FiT_2[[#Headers],[Ausnet]:[United Energy]],0))</f>
        <v>16.945572514842485</v>
      </c>
      <c r="P81" s="73">
        <f>INDEX(Calc_FiT_2[[Ausnet]:[United Energy]],1,MATCH(P$54,Calc_FiT_2[[#Headers],[Ausnet]:[United Energy]],0))</f>
        <v>16.945572514842485</v>
      </c>
    </row>
    <row r="82" spans="3:16" outlineLevel="1" x14ac:dyDescent="0.25"/>
    <row r="83" spans="3:16" ht="15.75" outlineLevel="1" x14ac:dyDescent="0.25">
      <c r="C83" s="24" t="s">
        <v>526</v>
      </c>
      <c r="K83" s="24" t="s">
        <v>526</v>
      </c>
    </row>
    <row r="84" spans="3:16" ht="15.75" outlineLevel="1" x14ac:dyDescent="0.25">
      <c r="C84" s="31" t="s">
        <v>83</v>
      </c>
      <c r="D84" s="73">
        <f>INDEX(Calc_EnviroVEU_1[[Ausnet]:[United Energy]],MATCH("VEU cost",Calc_EnviroVEU_1[[Cost item]:[Cost item]],0),MATCH(D$54,Calc_EnviroVEU_1[[#Headers],[Ausnet]:[United Energy]],0))+
INDEX(Calc_EnviroLRET_1[[Ausnet]:[United Energy]],MATCH("LRET cost",Calc_EnviroLRET_1[[Cost item]:[Cost item]],0),MATCH(D$54,Calc_EnviroLRET_1[[#Headers],[Ausnet]:[United Energy]],0))+
INDEX(Calc_EnviroSRES_1[[Ausnet]:[United Energy]],MATCH("SRES cost",Calc_EnviroSRES_1[[Cost item]:[Cost item]],0),MATCH(D$54,Calc_EnviroSRES_1[[#Headers],[Ausnet]:[United Energy]],0))</f>
        <v>2.7482716000000001E-2</v>
      </c>
      <c r="E84" s="73">
        <f>INDEX(Calc_EnviroVEU_1[[Ausnet]:[United Energy]],MATCH("VEU cost",Calc_EnviroVEU_1[[Cost item]:[Cost item]],0),MATCH(E$54,Calc_EnviroVEU_1[[#Headers],[Ausnet]:[United Energy]],0))+
INDEX(Calc_EnviroLRET_1[[Ausnet]:[United Energy]],MATCH("LRET cost",Calc_EnviroLRET_1[[Cost item]:[Cost item]],0),MATCH(E$54,Calc_EnviroLRET_1[[#Headers],[Ausnet]:[United Energy]],0))+
INDEX(Calc_EnviroSRES_1[[Ausnet]:[United Energy]],MATCH("SRES cost",Calc_EnviroSRES_1[[Cost item]:[Cost item]],0),MATCH(E$54,Calc_EnviroSRES_1[[#Headers],[Ausnet]:[United Energy]],0))</f>
        <v>2.7482716000000001E-2</v>
      </c>
      <c r="F84" s="73">
        <f>INDEX(Calc_EnviroVEU_1[[Ausnet]:[United Energy]],MATCH("VEU cost",Calc_EnviroVEU_1[[Cost item]:[Cost item]],0),MATCH(F$54,Calc_EnviroVEU_1[[#Headers],[Ausnet]:[United Energy]],0))+
INDEX(Calc_EnviroLRET_1[[Ausnet]:[United Energy]],MATCH("LRET cost",Calc_EnviroLRET_1[[Cost item]:[Cost item]],0),MATCH(F$54,Calc_EnviroLRET_1[[#Headers],[Ausnet]:[United Energy]],0))+
INDEX(Calc_EnviroSRES_1[[Ausnet]:[United Energy]],MATCH("SRES cost",Calc_EnviroSRES_1[[Cost item]:[Cost item]],0),MATCH(F$54,Calc_EnviroSRES_1[[#Headers],[Ausnet]:[United Energy]],0))</f>
        <v>2.7482716000000001E-2</v>
      </c>
      <c r="G84" s="73">
        <f>INDEX(Calc_EnviroVEU_1[[Ausnet]:[United Energy]],MATCH("VEU cost",Calc_EnviroVEU_1[[Cost item]:[Cost item]],0),MATCH(G$54,Calc_EnviroVEU_1[[#Headers],[Ausnet]:[United Energy]],0))+
INDEX(Calc_EnviroLRET_1[[Ausnet]:[United Energy]],MATCH("LRET cost",Calc_EnviroLRET_1[[Cost item]:[Cost item]],0),MATCH(G$54,Calc_EnviroLRET_1[[#Headers],[Ausnet]:[United Energy]],0))+
INDEX(Calc_EnviroSRES_1[[Ausnet]:[United Energy]],MATCH("SRES cost",Calc_EnviroSRES_1[[Cost item]:[Cost item]],0),MATCH(G$54,Calc_EnviroSRES_1[[#Headers],[Ausnet]:[United Energy]],0))</f>
        <v>2.7482716000000001E-2</v>
      </c>
      <c r="H84" s="73">
        <f>INDEX(Calc_EnviroVEU_1[[Ausnet]:[United Energy]],MATCH("VEU cost",Calc_EnviroVEU_1[[Cost item]:[Cost item]],0),MATCH(H$54,Calc_EnviroVEU_1[[#Headers],[Ausnet]:[United Energy]],0))+
INDEX(Calc_EnviroLRET_1[[Ausnet]:[United Energy]],MATCH("LRET cost",Calc_EnviroLRET_1[[Cost item]:[Cost item]],0),MATCH(H$54,Calc_EnviroLRET_1[[#Headers],[Ausnet]:[United Energy]],0))+
INDEX(Calc_EnviroSRES_1[[Ausnet]:[United Energy]],MATCH("SRES cost",Calc_EnviroSRES_1[[Cost item]:[Cost item]],0),MATCH(H$54,Calc_EnviroSRES_1[[#Headers],[Ausnet]:[United Energy]],0))</f>
        <v>2.7482716000000001E-2</v>
      </c>
      <c r="K84" s="31" t="s">
        <v>83</v>
      </c>
      <c r="L84" s="73">
        <f>INDEX(Calc_EnviroVEU_2[[Ausnet]:[United Energy]],MATCH("VEU cost",Calc_EnviroVEU_2[[Cost item]:[Cost item]],0),MATCH(L$54,Calc_EnviroVEU_2[[#Headers],[Ausnet]:[United Energy]],0))+
INDEX(Calc_EnviroLRET_2[[Ausnet]:[United Energy]],MATCH("LRET cost",Calc_EnviroLRET_2[[Cost item]:[Cost item]],0),MATCH(L$54,Calc_EnviroLRET_2[[#Headers],[Ausnet]:[United Energy]],0))+
INDEX(Calc_EnviroSRES_2[[Ausnet]:[United Energy]],MATCH("SRES cost",Calc_EnviroSRES_2[[Cost item]:[Cost item]],0),MATCH(L$54,Calc_EnviroSRES_2[[#Headers],[Ausnet]:[United Energy]],0))</f>
        <v>2.843221042152444E-2</v>
      </c>
      <c r="M84" s="73">
        <f>INDEX(Calc_EnviroVEU_2[[Ausnet]:[United Energy]],MATCH("VEU cost",Calc_EnviroVEU_2[[Cost item]:[Cost item]],0),MATCH(M$54,Calc_EnviroVEU_2[[#Headers],[Ausnet]:[United Energy]],0))+
INDEX(Calc_EnviroLRET_2[[Ausnet]:[United Energy]],MATCH("LRET cost",Calc_EnviroLRET_2[[Cost item]:[Cost item]],0),MATCH(M$54,Calc_EnviroLRET_2[[#Headers],[Ausnet]:[United Energy]],0))+
INDEX(Calc_EnviroSRES_2[[Ausnet]:[United Energy]],MATCH("SRES cost",Calc_EnviroSRES_2[[Cost item]:[Cost item]],0),MATCH(M$54,Calc_EnviroSRES_2[[#Headers],[Ausnet]:[United Energy]],0))</f>
        <v>2.843221042152444E-2</v>
      </c>
      <c r="N84" s="73">
        <f>INDEX(Calc_EnviroVEU_2[[Ausnet]:[United Energy]],MATCH("VEU cost",Calc_EnviroVEU_2[[Cost item]:[Cost item]],0),MATCH(N$54,Calc_EnviroVEU_2[[#Headers],[Ausnet]:[United Energy]],0))+
INDEX(Calc_EnviroLRET_2[[Ausnet]:[United Energy]],MATCH("LRET cost",Calc_EnviroLRET_2[[Cost item]:[Cost item]],0),MATCH(N$54,Calc_EnviroLRET_2[[#Headers],[Ausnet]:[United Energy]],0))+
INDEX(Calc_EnviroSRES_2[[Ausnet]:[United Energy]],MATCH("SRES cost",Calc_EnviroSRES_2[[Cost item]:[Cost item]],0),MATCH(N$54,Calc_EnviroSRES_2[[#Headers],[Ausnet]:[United Energy]],0))</f>
        <v>2.843221042152444E-2</v>
      </c>
      <c r="O84" s="73">
        <f>INDEX(Calc_EnviroVEU_2[[Ausnet]:[United Energy]],MATCH("VEU cost",Calc_EnviroVEU_2[[Cost item]:[Cost item]],0),MATCH(O$54,Calc_EnviroVEU_2[[#Headers],[Ausnet]:[United Energy]],0))+
INDEX(Calc_EnviroLRET_2[[Ausnet]:[United Energy]],MATCH("LRET cost",Calc_EnviroLRET_2[[Cost item]:[Cost item]],0),MATCH(O$54,Calc_EnviroLRET_2[[#Headers],[Ausnet]:[United Energy]],0))+
INDEX(Calc_EnviroSRES_2[[Ausnet]:[United Energy]],MATCH("SRES cost",Calc_EnviroSRES_2[[Cost item]:[Cost item]],0),MATCH(O$54,Calc_EnviroSRES_2[[#Headers],[Ausnet]:[United Energy]],0))</f>
        <v>2.843221042152444E-2</v>
      </c>
      <c r="P84" s="73">
        <f>INDEX(Calc_EnviroVEU_2[[Ausnet]:[United Energy]],MATCH("VEU cost",Calc_EnviroVEU_2[[Cost item]:[Cost item]],0),MATCH(P$54,Calc_EnviroVEU_2[[#Headers],[Ausnet]:[United Energy]],0))+
INDEX(Calc_EnviroLRET_2[[Ausnet]:[United Energy]],MATCH("LRET cost",Calc_EnviroLRET_2[[Cost item]:[Cost item]],0),MATCH(P$54,Calc_EnviroLRET_2[[#Headers],[Ausnet]:[United Energy]],0))+
INDEX(Calc_EnviroSRES_2[[Ausnet]:[United Energy]],MATCH("SRES cost",Calc_EnviroSRES_2[[Cost item]:[Cost item]],0),MATCH(P$54,Calc_EnviroSRES_2[[#Headers],[Ausnet]:[United Energy]],0))</f>
        <v>2.843221042152444E-2</v>
      </c>
    </row>
    <row r="85" spans="3:16" outlineLevel="1" x14ac:dyDescent="0.25"/>
    <row r="86" spans="3:16" ht="15.75" outlineLevel="1" x14ac:dyDescent="0.25">
      <c r="C86" s="31" t="s">
        <v>176</v>
      </c>
      <c r="D86" s="73">
        <f>IF(ISNUMBER(SEARCH("Residential",$C$48)),
INDEX(Calc_WholesaleRES_1[[Ausnet]:[United Energy]],MATCH("Wholesale cost",Calc_WholesaleRES_1[[Cost item]:[Cost item]],0),MATCH(D$54,Calc_WholesaleRES_1[[#Headers],[Ausnet]:[United Energy]],0)),
INDEX(Calc_WholesaleSME_1[[Ausnet]:[United Energy]],MATCH("Wholesale cost",Calc_WholesaleSME_1[[Cost item]:[Cost item]],0),MATCH(D$54,Calc_WholesaleSME_1[[#Headers],[Ausnet]:[United Energy]],0)))</f>
        <v>9.8250000000000004E-2</v>
      </c>
      <c r="E86" s="73">
        <f>IF(ISNUMBER(SEARCH("Residential",$C$48)),
INDEX(Calc_WholesaleRES_1[[Ausnet]:[United Energy]],MATCH("Wholesale cost",Calc_WholesaleRES_1[[Cost item]:[Cost item]],0),MATCH(E$54,Calc_WholesaleRES_1[[#Headers],[Ausnet]:[United Energy]],0)),
INDEX(Calc_WholesaleSME_1[[Ausnet]:[United Energy]],MATCH("Wholesale cost",Calc_WholesaleSME_1[[Cost item]:[Cost item]],0),MATCH(E$54,Calc_WholesaleSME_1[[#Headers],[Ausnet]:[United Energy]],0)))</f>
        <v>9.5000000000000015E-2</v>
      </c>
      <c r="F86" s="73">
        <f>IF(ISNUMBER(SEARCH("Residential",$C$48)),
INDEX(Calc_WholesaleRES_1[[Ausnet]:[United Energy]],MATCH("Wholesale cost",Calc_WholesaleRES_1[[Cost item]:[Cost item]],0),MATCH(F$54,Calc_WholesaleRES_1[[#Headers],[Ausnet]:[United Energy]],0)),
INDEX(Calc_WholesaleSME_1[[Ausnet]:[United Energy]],MATCH("Wholesale cost",Calc_WholesaleSME_1[[Cost item]:[Cost item]],0),MATCH(F$54,Calc_WholesaleSME_1[[#Headers],[Ausnet]:[United Energy]],0)))</f>
        <v>0.10066</v>
      </c>
      <c r="G86" s="73">
        <f>IF(ISNUMBER(SEARCH("Residential",$C$48)),
INDEX(Calc_WholesaleRES_1[[Ausnet]:[United Energy]],MATCH("Wholesale cost",Calc_WholesaleRES_1[[Cost item]:[Cost item]],0),MATCH(G$54,Calc_WholesaleRES_1[[#Headers],[Ausnet]:[United Energy]],0)),
INDEX(Calc_WholesaleSME_1[[Ausnet]:[United Energy]],MATCH("Wholesale cost",Calc_WholesaleSME_1[[Cost item]:[Cost item]],0),MATCH(G$54,Calc_WholesaleSME_1[[#Headers],[Ausnet]:[United Energy]],0)))</f>
        <v>9.6430000000000002E-2</v>
      </c>
      <c r="H86" s="73">
        <f>IF(ISNUMBER(SEARCH("Residential",$C$48)),
INDEX(Calc_WholesaleRES_1[[Ausnet]:[United Energy]],MATCH("Wholesale cost",Calc_WholesaleRES_1[[Cost item]:[Cost item]],0),MATCH(H$54,Calc_WholesaleRES_1[[#Headers],[Ausnet]:[United Energy]],0)),
INDEX(Calc_WholesaleSME_1[[Ausnet]:[United Energy]],MATCH("Wholesale cost",Calc_WholesaleSME_1[[Cost item]:[Cost item]],0),MATCH(H$54,Calc_WholesaleSME_1[[#Headers],[Ausnet]:[United Energy]],0)))</f>
        <v>9.9909999999999999E-2</v>
      </c>
      <c r="K86" s="31" t="s">
        <v>176</v>
      </c>
      <c r="L86" s="73">
        <f>IF(ISNUMBER(SEARCH("Residential",$K$48)),
INDEX(Calc_WholesaleRES_2[[Ausnet]:[United Energy]],MATCH("Wholesale cost",Calc_WholesaleRES_2[[Cost item]:[Cost item]],0),MATCH(L$54,Calc_WholesaleRES_2[[#Headers],[Ausnet]:[United Energy]],0)),
INDEX(Calc_WholesaleSME_2[[Ausnet]:[United Energy]],MATCH("Wholesale cost",Calc_WholesaleSME_2[[Cost item]:[Cost item]],0),MATCH(L$54,Calc_WholesaleSME_2[[#Headers],[Ausnet]:[United Energy]],0)))</f>
        <v>0.12856302089613503</v>
      </c>
      <c r="M86" s="73">
        <f>IF(ISNUMBER(SEARCH("Residential",$K$48)),
INDEX(Calc_WholesaleRES_2[[Ausnet]:[United Energy]],MATCH("Wholesale cost",Calc_WholesaleRES_2[[Cost item]:[Cost item]],0),MATCH(M$54,Calc_WholesaleRES_2[[#Headers],[Ausnet]:[United Energy]],0)),
INDEX(Calc_WholesaleSME_2[[Ausnet]:[United Energy]],MATCH("Wholesale cost",Calc_WholesaleSME_2[[Cost item]:[Cost item]],0),MATCH(M$54,Calc_WholesaleSME_2[[#Headers],[Ausnet]:[United Energy]],0)))</f>
        <v>0.12648439961732669</v>
      </c>
      <c r="N86" s="73">
        <f>IF(ISNUMBER(SEARCH("Residential",$K$48)),
INDEX(Calc_WholesaleRES_2[[Ausnet]:[United Energy]],MATCH("Wholesale cost",Calc_WholesaleRES_2[[Cost item]:[Cost item]],0),MATCH(N$54,Calc_WholesaleRES_2[[#Headers],[Ausnet]:[United Energy]],0)),
INDEX(Calc_WholesaleSME_2[[Ausnet]:[United Energy]],MATCH("Wholesale cost",Calc_WholesaleSME_2[[Cost item]:[Cost item]],0),MATCH(N$54,Calc_WholesaleSME_2[[#Headers],[Ausnet]:[United Energy]],0)))</f>
        <v>0.13021020918052265</v>
      </c>
      <c r="O86" s="73">
        <f>IF(ISNUMBER(SEARCH("Residential",$K$48)),
INDEX(Calc_WholesaleRES_2[[Ausnet]:[United Energy]],MATCH("Wholesale cost",Calc_WholesaleRES_2[[Cost item]:[Cost item]],0),MATCH(O$54,Calc_WholesaleRES_2[[#Headers],[Ausnet]:[United Energy]],0)),
INDEX(Calc_WholesaleSME_2[[Ausnet]:[United Energy]],MATCH("Wholesale cost",Calc_WholesaleSME_2[[Cost item]:[Cost item]],0),MATCH(O$54,Calc_WholesaleSME_2[[#Headers],[Ausnet]:[United Energy]],0)))</f>
        <v>0.12548093617538489</v>
      </c>
      <c r="P86" s="73">
        <f>IF(ISNUMBER(SEARCH("Residential",$K$48)),
INDEX(Calc_WholesaleRES_2[[Ausnet]:[United Energy]],MATCH("Wholesale cost",Calc_WholesaleRES_2[[Cost item]:[Cost item]],0),MATCH(P$54,Calc_WholesaleRES_2[[#Headers],[Ausnet]:[United Energy]],0)),
INDEX(Calc_WholesaleSME_2[[Ausnet]:[United Energy]],MATCH("Wholesale cost",Calc_WholesaleSME_2[[Cost item]:[Cost item]],0),MATCH(P$54,Calc_WholesaleSME_2[[#Headers],[Ausnet]:[United Energy]],0)))</f>
        <v>0.13037554287242703</v>
      </c>
    </row>
    <row r="87" spans="3:16" outlineLevel="1" x14ac:dyDescent="0.25"/>
    <row r="88" spans="3:16" ht="15.75" outlineLevel="1" x14ac:dyDescent="0.25">
      <c r="C88" s="31" t="s">
        <v>141</v>
      </c>
      <c r="D88" s="73">
        <f>SUMIFS(Calc_OtherCosts_1[Ausnet],Calc_OtherCosts_1[[Fixed/Variable]:[Fixed/Variable]],"Variable")</f>
        <v>7.8047200000000005E-4</v>
      </c>
      <c r="E88" s="73">
        <f>SUMIFS(Calc_OtherCosts_1[Citipower],Calc_OtherCosts_1[[Fixed/Variable]:[Fixed/Variable]],"Variable")</f>
        <v>7.8047200000000005E-4</v>
      </c>
      <c r="F88" s="73">
        <f>SUMIFS(Calc_OtherCosts_1[Jemena],Calc_OtherCosts_1[[Fixed/Variable]:[Fixed/Variable]],"Variable")</f>
        <v>7.8047200000000005E-4</v>
      </c>
      <c r="G88" s="73">
        <f>SUMIFS(Calc_OtherCosts_1[Powercor],Calc_OtherCosts_1[[Fixed/Variable]:[Fixed/Variable]],"Variable")</f>
        <v>7.8047200000000005E-4</v>
      </c>
      <c r="H88" s="73">
        <f>SUMIFS(Calc_OtherCosts_1[United Energy],Calc_OtherCosts_1[[Fixed/Variable]:[Fixed/Variable]],"Variable")</f>
        <v>7.8047200000000005E-4</v>
      </c>
      <c r="K88" s="31" t="s">
        <v>141</v>
      </c>
      <c r="L88" s="73">
        <f>SUMIFS(Calc_OtherCosts_2[Ausnet],Calc_OtherCosts_2[[Fixed/Variable]:[Fixed/Variable]],"Variable")</f>
        <v>1.6791732404258365E-3</v>
      </c>
      <c r="M88" s="73">
        <f>SUMIFS(Calc_OtherCosts_2[Citipower],Calc_OtherCosts_2[[Fixed/Variable]:[Fixed/Variable]],"Variable")</f>
        <v>1.6791732404258365E-3</v>
      </c>
      <c r="N88" s="73">
        <f>SUMIFS(Calc_OtherCosts_2[Jemena],Calc_OtherCosts_2[[Fixed/Variable]:[Fixed/Variable]],"Variable")</f>
        <v>1.6791732404258365E-3</v>
      </c>
      <c r="O88" s="73">
        <f>SUMIFS(Calc_OtherCosts_2[Powercor],Calc_OtherCosts_2[[Fixed/Variable]:[Fixed/Variable]],"Variable")</f>
        <v>1.6791732404258365E-3</v>
      </c>
      <c r="P88" s="73">
        <f>SUMIFS(Calc_OtherCosts_2[United Energy],Calc_OtherCosts_2[[Fixed/Variable]:[Fixed/Variable]],"Variable")</f>
        <v>1.6791732404258365E-3</v>
      </c>
    </row>
    <row r="89" spans="3:16" outlineLevel="1" x14ac:dyDescent="0.25"/>
    <row r="90" spans="3:16" ht="15.75" outlineLevel="1" x14ac:dyDescent="0.25">
      <c r="C90" s="31" t="s">
        <v>527</v>
      </c>
      <c r="K90" s="31" t="s">
        <v>527</v>
      </c>
    </row>
    <row r="91" spans="3:16" outlineLevel="1" x14ac:dyDescent="0.25">
      <c r="C91" t="s">
        <v>68</v>
      </c>
      <c r="D91" s="73">
        <f>SUMIFS(Calc_NetworkV_1[Ausnet],Calc_NetworkV_1[[Cost item]:[Cost item]],$C91,Calc_NetworkV_1[[Customer type]:[Customer type]],IF(ISNUMBER(SEARCH("Residential",$C$48)),"Residential","Small business"))</f>
        <v>0.19387499999999999</v>
      </c>
      <c r="E91" s="73">
        <f>SUMIFS(Calc_NetworkV_1[Citipower],Calc_NetworkV_1[[Cost item]:[Cost item]],$C91,Calc_NetworkV_1[[Customer type]:[Customer type]],IF(ISNUMBER(SEARCH("Residential",$C$48)),"Residential","Small business"))</f>
        <v>0</v>
      </c>
      <c r="F91" s="73">
        <f>SUMIFS(Calc_NetworkV_1[Jemena],Calc_NetworkV_1[[Cost item]:[Cost item]],$C91,Calc_NetworkV_1[[Customer type]:[Customer type]],IF(ISNUMBER(SEARCH("Residential",$C$48)),"Residential","Small business"))</f>
        <v>0</v>
      </c>
      <c r="G91" s="73">
        <f>SUMIFS(Calc_NetworkV_1[Powercor],Calc_NetworkV_1[Cost item],$C91,Calc_NetworkV_1[Customer type],IF(ISNUMBER(SEARCH("Residential",$C$48)),"Residential","Small business"))</f>
        <v>0</v>
      </c>
      <c r="H91" s="73">
        <f>SUMIFS(Calc_NetworkV_1[United Energy],Calc_NetworkV_1[[Cost item]:[Cost item]],$C91,Calc_NetworkV_1[[Customer type]:[Customer type]],IF(ISNUMBER(SEARCH("Residential",$C$48)),"Residential","Small business"))</f>
        <v>0</v>
      </c>
      <c r="K91" t="s">
        <v>68</v>
      </c>
      <c r="L91" s="73">
        <f>SUMIFS(Calc_NetworkV_2[Ausnet],Calc_NetworkV_2[Cost item],$K91,Calc_NetworkV_2[Customer type],IF(ISNUMBER(SEARCH("Residential",$K$48)),"Residential","Small business"))</f>
        <v>0.18668411930490375</v>
      </c>
      <c r="M91" s="73">
        <f>SUMIFS(Calc_NetworkV_2[Citipower],Calc_NetworkV_2[[Cost item]:[Cost item]],$K91,Calc_NetworkV_2[[Customer type]:[Customer type]],IF(ISNUMBER(SEARCH("Residential",$K$48)),"Residential","Small business"))</f>
        <v>0</v>
      </c>
      <c r="N91" s="73">
        <f>SUMIFS(Calc_NetworkV_2[Jemena],Calc_NetworkV_2[[Cost item]:[Cost item]],$K91,Calc_NetworkV_2[[Customer type]:[Customer type]],IF(ISNUMBER(SEARCH("Residential",$K$48)),"Residential","Small business"))</f>
        <v>0</v>
      </c>
      <c r="O91" s="73">
        <f>SUMIFS(Calc_NetworkV_2[Powercor],Calc_NetworkV_2[[Cost item]:[Cost item]],$K91,Calc_NetworkV_2[[Customer type]:[Customer type]],IF(ISNUMBER(SEARCH("Residential",$K$48)),"Residential","Small business"))</f>
        <v>0</v>
      </c>
      <c r="P91" s="73">
        <f>SUMIFS(Calc_NetworkV_2[United Energy],Calc_NetworkV_2[[Cost item]:[Cost item]],$K91,Calc_NetworkV_2[[Customer type]:[Customer type]],IF(ISNUMBER(SEARCH("Residential",$K$48)),"Residential","Small business"))</f>
        <v>0</v>
      </c>
    </row>
    <row r="92" spans="3:16" outlineLevel="1" x14ac:dyDescent="0.25">
      <c r="C92" t="s">
        <v>70</v>
      </c>
      <c r="D92" s="73">
        <f>SUMIFS(Calc_NetworkV_1[Ausnet],Calc_NetworkV_1[Cost item],$C92,Calc_NetworkV_1[Customer type],IF(ISNUMBER(SEARCH("Residential",$C$48)),"Residential","Small business"))</f>
        <v>0.203847</v>
      </c>
      <c r="E92" s="73">
        <f>SUMIFS(Calc_NetworkV_1[Citipower],Calc_NetworkV_1[[Cost item]:[Cost item]],$C92,Calc_NetworkV_1[[Customer type]:[Customer type]],IF(ISNUMBER(SEARCH("Residential",$C$48)),"Residential","Small business"))</f>
        <v>0</v>
      </c>
      <c r="F92" s="73">
        <f>SUMIFS(Calc_NetworkV_1[Jemena],Calc_NetworkV_1[[Cost item]:[Cost item]],$C92,Calc_NetworkV_1[[Customer type]:[Customer type]],IF(ISNUMBER(SEARCH("Residential",$C$48)),"Residential","Small business"))</f>
        <v>0</v>
      </c>
      <c r="G92" s="73">
        <f>SUMIFS(Calc_NetworkV_1[Powercor],Calc_NetworkV_1[[Cost item]:[Cost item]],$C92,Calc_NetworkV_1[[Customer type]:[Customer type]],IF(ISNUMBER(SEARCH("Residential",$C$48)),"Residential","Small business"))</f>
        <v>0</v>
      </c>
      <c r="H92" s="73">
        <f>SUMIFS(Calc_NetworkV_1[United Energy],Calc_NetworkV_1[[Cost item]:[Cost item]],$C92,Calc_NetworkV_1[[Customer type]:[Customer type]],IF(ISNUMBER(SEARCH("Residential",$C$48)),"Residential","Small business"))</f>
        <v>0</v>
      </c>
      <c r="K92" t="s">
        <v>70</v>
      </c>
      <c r="L92" s="73">
        <f>SUMIFS(Calc_NetworkV_2[Ausnet],Calc_NetworkV_2[[Cost item]:[Cost item]],$K92,Calc_NetworkV_2[[Customer type]:[Customer type]],IF(ISNUMBER(SEARCH("Residential",$K$48)),"Residential","Small business"))</f>
        <v>0.20620858559880922</v>
      </c>
      <c r="M92" s="73">
        <f>SUMIFS(Calc_NetworkV_2[Citipower],Calc_NetworkV_2[[Cost item]:[Cost item]],$K92,Calc_NetworkV_2[[Customer type]:[Customer type]],IF(ISNUMBER(SEARCH("Residential",$K$48)),"Residential","Small business"))</f>
        <v>0</v>
      </c>
      <c r="N92" s="73">
        <f>SUMIFS(Calc_NetworkV_2[Jemena],Calc_NetworkV_2[[Cost item]:[Cost item]],$K92,Calc_NetworkV_2[[Customer type]:[Customer type]],IF(ISNUMBER(SEARCH("Residential",$K$48)),"Residential","Small business"))</f>
        <v>0</v>
      </c>
      <c r="O92" s="73">
        <f>SUMIFS(Calc_NetworkV_2[Powercor],Calc_NetworkV_2[[Cost item]:[Cost item]],$K92,Calc_NetworkV_2[[Customer type]:[Customer type]],IF(ISNUMBER(SEARCH("Residential",$K$48)),"Residential","Small business"))</f>
        <v>0</v>
      </c>
      <c r="P92" s="73">
        <f>SUMIFS(Calc_NetworkV_2[United Energy],Calc_NetworkV_2[[Cost item]:[Cost item]],$K92,Calc_NetworkV_2[[Customer type]:[Customer type]],IF(ISNUMBER(SEARCH("Residential",$K$48)),"Residential","Small business"))</f>
        <v>0</v>
      </c>
    </row>
    <row r="93" spans="3:16" outlineLevel="1" x14ac:dyDescent="0.25">
      <c r="C93" t="s">
        <v>71</v>
      </c>
      <c r="D93" s="73">
        <f>SUMIFS(Calc_NetworkV_1[Ausnet],Calc_NetworkV_1[[Cost item]:[Cost item]],$C93,Calc_NetworkV_1[[Customer type]:[Customer type]],IF(ISNUMBER(SEARCH("Residential",$C$48)),"Residential","Small business"))</f>
        <v>0</v>
      </c>
      <c r="E93" s="73">
        <f>SUMIFS(Calc_NetworkV_1[Citipower],Calc_NetworkV_1[[Cost item]:[Cost item]],$C93,Calc_NetworkV_1[[Customer type]:[Customer type]],IF(ISNUMBER(SEARCH("Residential",$C$48)),"Residential","Small business"))</f>
        <v>8.8800000000000004E-2</v>
      </c>
      <c r="F93" s="73">
        <f>SUMIFS(Calc_NetworkV_1[Jemena],Calc_NetworkV_1[[Cost item]:[Cost item]],$C93,Calc_NetworkV_1[[Customer type]:[Customer type]],IF(ISNUMBER(SEARCH("Residential",$C$48)),"Residential","Small business"))</f>
        <v>0.13405337370000001</v>
      </c>
      <c r="G93" s="73">
        <f>SUMIFS(Calc_NetworkV_1[Powercor],Calc_NetworkV_1[[Cost item]:[Cost item]],$C93,Calc_NetworkV_1[[Customer type]:[Customer type]],IF(ISNUMBER(SEARCH("Residential",$C$48)),"Residential","Small business"))</f>
        <v>0.10589999999999999</v>
      </c>
      <c r="H93" s="73">
        <f>SUMIFS(Calc_NetworkV_1[United Energy],Calc_NetworkV_1[[Cost item]:[Cost item]],$C93,Calc_NetworkV_1[[Customer type]:[Customer type]],IF(ISNUMBER(SEARCH("Residential",$C$48)),"Residential","Small business"))</f>
        <v>9.8599999999999993E-2</v>
      </c>
      <c r="K93" t="s">
        <v>71</v>
      </c>
      <c r="L93" s="73">
        <f>SUMIFS(Calc_NetworkV_2[Ausnet],Calc_NetworkV_2[[Cost item]:[Cost item]],$K93,Calc_NetworkV_2[[Customer type]:[Customer type]],IF(ISNUMBER(SEARCH("Residential",$K$48)),"Residential","Small business"))</f>
        <v>0</v>
      </c>
      <c r="M93" s="73">
        <f>SUMIFS(Calc_NetworkV_2[Citipower],Calc_NetworkV_2[[Cost item]:[Cost item]],$K93,Calc_NetworkV_2[[Customer type]:[Customer type]],IF(ISNUMBER(SEARCH("Residential",$K$48)),"Residential","Small business"))</f>
        <v>8.1500000000000003E-2</v>
      </c>
      <c r="N93" s="73">
        <f>SUMIFS(Calc_NetworkV_2[Jemena],Calc_NetworkV_2[[Cost item]:[Cost item]],$K93,Calc_NetworkV_2[[Customer type]:[Customer type]],IF(ISNUMBER(SEARCH("Residential",$K$48)),"Residential","Small business"))</f>
        <v>0.11834</v>
      </c>
      <c r="O93" s="73">
        <f>SUMIFS(Calc_NetworkV_2[Powercor],Calc_NetworkV_2[[Cost item]:[Cost item]],$K93,Calc_NetworkV_2[[Customer type]:[Customer type]],IF(ISNUMBER(SEARCH("Residential",$K$48)),"Residential","Small business"))</f>
        <v>9.8100000000000007E-2</v>
      </c>
      <c r="P93" s="73">
        <f>SUMIFS(Calc_NetworkV_2[United Energy],Calc_NetworkV_2[[Cost item]:[Cost item]],$K93,Calc_NetworkV_2[[Customer type]:[Customer type]],IF(ISNUMBER(SEARCH("Residential",$K$48)),"Residential","Small business"))</f>
        <v>9.3900000000000011E-2</v>
      </c>
    </row>
    <row r="94" spans="3:16" outlineLevel="1" x14ac:dyDescent="0.25"/>
    <row r="95" spans="3:16" ht="15.75" outlineLevel="1" x14ac:dyDescent="0.25">
      <c r="C95" s="31" t="s">
        <v>528</v>
      </c>
      <c r="K95" s="31" t="s">
        <v>528</v>
      </c>
    </row>
    <row r="96" spans="3:16" outlineLevel="1" x14ac:dyDescent="0.25">
      <c r="C96" t="s">
        <v>80</v>
      </c>
      <c r="D96" s="73" t="str" cm="1">
        <f t="array" ref="D96">IF(ISNUMBER(SEARCH("Residential",$C$48)),
INDEX(OP_RatesTU_RES_1[Ausnet],MATCH(1,(OP_RatesTU_RES_1[Cost element]="Network")*(OP_RatesTU_RES_1[Rate name]='CH_CostStack_SME 10k'!$C96),0),1),
INDEX(OP_RatesTU_SME_1[Ausnet],MATCH(1,(OP_RatesTU_SME_1[Cost element]="Network")*(OP_RatesTU_SME_1[Rate name]='CH_CostStack_SME 10k'!$C96),0),1))</f>
        <v>-</v>
      </c>
      <c r="E96" s="73" t="str" cm="1">
        <f t="array" ref="E96">IF(ISNUMBER(SEARCH("Residential",$C$48)),
INDEX(OP_RatesTU_RES_1[Citipower],MATCH(1,(OP_RatesTU_RES_1[Cost element]="Network")*(OP_RatesTU_RES_1[Rate name]='CH_CostStack_SME 10k'!$C96),0),1),
INDEX(OP_RatesTU_SME_1[Citipower],MATCH(1,(OP_RatesTU_SME_1[Cost element]="Network")*(OP_RatesTU_SME_1[Rate name]='CH_CostStack_SME 10k'!$C96),0),1))</f>
        <v>-</v>
      </c>
      <c r="F96" s="73" t="str" cm="1">
        <f t="array" ref="F96">IF(ISNUMBER(SEARCH("Residential",$C$48)),
INDEX(OP_RatesTU_RES_1[Jemena],MATCH(1,(OP_RatesTU_RES_1[Cost element]="Network")*(OP_RatesTU_RES_1[Rate name]='CH_CostStack_SME 10k'!$C96),0),1),
INDEX(OP_RatesTU_SME_1[Jemena],MATCH(1,(OP_RatesTU_SME_1[Cost element]="Network")*(OP_RatesTU_SME_1[Rate name]='CH_CostStack_SME 10k'!$C96),0),1))</f>
        <v>-</v>
      </c>
      <c r="G96" s="73" t="str" cm="1">
        <f t="array" ref="G96">IF(ISNUMBER(SEARCH("Residential",$C$48)),
INDEX(OP_RatesTU_RES_1[Powercor],MATCH(1,(OP_RatesTU_RES_1[Cost element]="Network")*(OP_RatesTU_RES_1[Rate name]='CH_CostStack_SME 10k'!$C96),0),1),
INDEX(OP_RatesTU_SME_1[Powercor],MATCH(1,(OP_RatesTU_SME_1[Cost element]="Network")*(OP_RatesTU_SME_1[Rate name]='CH_CostStack_SME 10k'!$C96),0),1))</f>
        <v>-</v>
      </c>
      <c r="H96" s="73" t="str" cm="1">
        <f t="array" ref="H96">IF(ISNUMBER(SEARCH("Residential",$C$48)),
INDEX(OP_RatesTU_RES_1[United Energy],MATCH(1,(OP_RatesTU_RES_1[Cost element]="Network")*(OP_RatesTU_RES_1[Rate name]='CH_CostStack_SME 10k'!$C96),0),1),
INDEX(OP_RatesTU_SME_1[United Energy],MATCH(1,(OP_RatesTU_SME_1[Cost element]="Network")*(OP_RatesTU_SME_1[Rate name]='CH_CostStack_SME 10k'!$C96),0),1))</f>
        <v>-</v>
      </c>
      <c r="K96" t="s">
        <v>80</v>
      </c>
      <c r="L96" s="73" t="str" cm="1">
        <f t="array" ref="L96">IF(ISNUMBER(SEARCH("Residential",$K$48)),
INDEX(OP_RatesTU_RES_2[Ausnet],MATCH(1,(OP_RatesTU_RES_2[Cost element]="Network")*(OP_RatesTU_RES_2[Rate name]='CH_CostStack_SME 10k'!$K96),0),1),
INDEX(OP_RatesTU_SME_2[Ausnet],MATCH(1,(OP_RatesTU_SME_2[Cost element]="Network")*(OP_RatesTU_SME_2[Rate name]='CH_CostStack_SME 10k'!$K96),0),1))</f>
        <v>-</v>
      </c>
      <c r="M96" s="73" t="str" cm="1">
        <f t="array" ref="M96">IF(ISNUMBER(SEARCH("Residential",$K$48)),
INDEX(OP_RatesTU_RES_2[Citipower],MATCH(1,(OP_RatesTU_RES_2[Cost element]="Network")*(OP_RatesTU_RES_2[Rate name]='CH_CostStack_SME 10k'!$K96),0),1),
INDEX(OP_RatesTU_SME_2[Citipower],MATCH(1,(OP_RatesTU_SME_2[Cost element]="Network")*(OP_RatesTU_SME_2[Rate name]='CH_CostStack_SME 10k'!$K96),0),1))</f>
        <v>-</v>
      </c>
      <c r="N96" s="73" t="str" cm="1">
        <f t="array" ref="N96">IF(ISNUMBER(SEARCH("Residential",$K$48)),
INDEX(OP_RatesTU_RES_2[Jemena],MATCH(1,(OP_RatesTU_RES_2[Cost element]="Network")*(OP_RatesTU_RES_2[Rate name]='CH_CostStack_SME 10k'!$K96),0),1),
INDEX(OP_RatesTU_SME_2[Jemena],MATCH(1,(OP_RatesTU_SME_2[Cost element]="Network")*(OP_RatesTU_SME_2[Rate name]='CH_CostStack_SME 10k'!$K96),0),1))</f>
        <v>-</v>
      </c>
      <c r="O96" s="73" t="str" cm="1">
        <f t="array" ref="O96">IF(ISNUMBER(SEARCH("Residential",$K$48)),
INDEX(OP_RatesTU_RES_2[Powercor],MATCH(1,(OP_RatesTU_RES_2[Cost element]="Network")*(OP_RatesTU_RES_2[Rate name]='CH_CostStack_SME 10k'!$K96),0),1),
INDEX(OP_RatesTU_SME_2[Powercor],MATCH(1,(OP_RatesTU_SME_2[Cost element]="Network")*(OP_RatesTU_SME_2[Rate name]='CH_CostStack_SME 10k'!$K96),0),1))</f>
        <v>-</v>
      </c>
      <c r="P96" s="73" t="str" cm="1">
        <f t="array" ref="P96">IF(ISNUMBER(SEARCH("Residential",$K$48)),
INDEX(OP_RatesTU_RES_2[United Energy],MATCH(1,(OP_RatesTU_RES_2[Cost element]="Network")*(OP_RatesTU_RES_2[Rate name]='CH_CostStack_SME 10k'!$K96),0),1),
INDEX(OP_RatesTU_SME_2[United Energy],MATCH(1,(OP_RatesTU_SME_2[Cost element]="Network")*(OP_RatesTU_SME_2[Rate name]='CH_CostStack_SME 10k'!$K96),0),1))</f>
        <v>-</v>
      </c>
    </row>
    <row r="97" spans="3:16" outlineLevel="1" x14ac:dyDescent="0.25"/>
    <row r="98" spans="3:16" ht="15.75" outlineLevel="1" x14ac:dyDescent="0.25">
      <c r="C98" s="31" t="s">
        <v>529</v>
      </c>
      <c r="K98" s="31" t="s">
        <v>529</v>
      </c>
    </row>
    <row r="99" spans="3:16" outlineLevel="1" x14ac:dyDescent="0.25">
      <c r="C99" t="s">
        <v>68</v>
      </c>
      <c r="D99" s="73" cm="1">
        <f t="array" ref="D99">IF(ISNUMBER(SEARCH("Residential",$C$48)),
INDEX(OP_RatesTU_RES_1[Ausnet],MATCH(1,(OP_RatesTU_RES_1[Cost element]="Environmental")*(OP_RatesTU_RES_1[Rate name]='CH_CostStack_SME 10k'!$C99),0),1),
INDEX(OP_RatesTU_SME_1[Ausnet],MATCH(1,(OP_RatesTU_SME_1[Cost element]="Environmental")*(OP_RatesTU_SME_1[Rate name]='CH_CostStack_SME 10k'!$C99),0),1))</f>
        <v>0</v>
      </c>
      <c r="E99" s="73" cm="1">
        <f t="array" ref="E99">IF(ISNUMBER(SEARCH("Residential",$C$48)),
INDEX(OP_RatesTU_RES_1[Citipower],MATCH(1,(OP_RatesTU_RES_1[Cost element]="Environmental")*(OP_RatesTU_RES_1[Rate name]='CH_CostStack_SME 10k'!$C99),0),1),
INDEX(OP_RatesTU_SME_1[Citipower],MATCH(1,(OP_RatesTU_SME_1[Cost element]="Environmental")*(OP_RatesTU_SME_1[Rate name]='CH_CostStack_SME 10k'!$C99),0),1))</f>
        <v>0</v>
      </c>
      <c r="F99" s="73" cm="1">
        <f t="array" ref="F99">IF(ISNUMBER(SEARCH("Residential",$C$48)),
INDEX(OP_RatesTU_RES_1[Jemena],MATCH(1,(OP_RatesTU_RES_1[Cost element]="Environmental")*(OP_RatesTU_RES_1[Rate name]='CH_CostStack_SME 10k'!$C99),0),1),
INDEX(OP_RatesTU_SME_1[Jemena],MATCH(1,(OP_RatesTU_SME_1[Cost element]="Environmental")*(OP_RatesTU_SME_1[Rate name]='CH_CostStack_SME 10k'!$C99),0),1))</f>
        <v>0</v>
      </c>
      <c r="G99" s="73" cm="1">
        <f t="array" ref="G99">IF(ISNUMBER(SEARCH("Residential",$C$48)),
INDEX(OP_RatesTU_RES_1[Powercor],MATCH(1,(OP_RatesTU_RES_1[Cost element]="Environmental")*(OP_RatesTU_RES_1[Rate name]='CH_CostStack_SME 10k'!$C99),0),1),
INDEX(OP_RatesTU_SME_1[Powercor],MATCH(1,(OP_RatesTU_SME_1[Cost element]="Environmental")*(OP_RatesTU_SME_1[Rate name]='CH_CostStack_SME 10k'!$C99),0),1))</f>
        <v>0</v>
      </c>
      <c r="H99" s="73" cm="1">
        <f t="array" ref="H99">IF(ISNUMBER(SEARCH("Residential",$C$48)),
INDEX(OP_RatesTU_RES_1[United Energy],MATCH(1,(OP_RatesTU_RES_1[Cost element]="Environmental")*(OP_RatesTU_RES_1[Rate name]='CH_CostStack_SME 10k'!$C99),0),1),
INDEX(OP_RatesTU_SME_1[United Energy],MATCH(1,(OP_RatesTU_SME_1[Cost element]="Environmental")*(OP_RatesTU_SME_1[Rate name]='CH_CostStack_SME 10k'!$C99),0),1))</f>
        <v>0</v>
      </c>
      <c r="K99" t="s">
        <v>68</v>
      </c>
      <c r="L99" s="73" cm="1">
        <f t="array" ref="L99">IF(ISNUMBER(SEARCH("Residential",$K$48)),
INDEX(OP_RatesTU_RES_2[Ausnet],MATCH(1,(OP_RatesTU_RES_2[Cost element]="Environmental")*(OP_RatesTU_RES_2[Rate name]='CH_CostStack_SME 10k'!$C99),0),1),
INDEX(OP_RatesTU_SME_2[Ausnet],MATCH(1,(OP_RatesTU_SME_2[Cost element]="Environmental")*(OP_RatesTU_SME_2[Rate name]='CH_CostStack_SME 10k'!$C99),0),1))</f>
        <v>-1.4451020409271499E-3</v>
      </c>
      <c r="M99" s="73" cm="1">
        <f t="array" ref="M99">IF(ISNUMBER(SEARCH("Residential",$K$48)),
INDEX(OP_RatesTU_RES_2[Citipower],MATCH(1,(OP_RatesTU_RES_2[Cost element]="Environmental")*(OP_RatesTU_RES_2[Rate name]='CH_CostStack_SME 10k'!$C99),0),1),
INDEX(OP_RatesTU_SME_2[Citipower],MATCH(1,(OP_RatesTU_SME_2[Cost element]="Environmental")*(OP_RatesTU_SME_2[Rate name]='CH_CostStack_SME 10k'!$C99),0),1))</f>
        <v>0</v>
      </c>
      <c r="N99" s="73" cm="1">
        <f t="array" ref="N99">IF(ISNUMBER(SEARCH("Residential",$K$48)),
INDEX(OP_RatesTU_RES_2[Jemena],MATCH(1,(OP_RatesTU_RES_2[Cost element]="Environmental")*(OP_RatesTU_RES_2[Rate name]='CH_CostStack_SME 10k'!$C99),0),1),
INDEX(OP_RatesTU_SME_2[Jemena],MATCH(1,(OP_RatesTU_SME_2[Cost element]="Environmental")*(OP_RatesTU_SME_2[Rate name]='CH_CostStack_SME 10k'!$C99),0),1))</f>
        <v>0</v>
      </c>
      <c r="O99" s="73" cm="1">
        <f t="array" ref="O99">IF(ISNUMBER(SEARCH("Residential",$K$48)),
INDEX(OP_RatesTU_RES_2[Powercor],MATCH(1,(OP_RatesTU_RES_2[Cost element]="Environmental")*(OP_RatesTU_RES_2[Rate name]='CH_CostStack_SME 10k'!$C99),0),1),
INDEX(OP_RatesTU_SME_2[Powercor],MATCH(1,(OP_RatesTU_SME_2[Cost element]="Environmental")*(OP_RatesTU_SME_2[Rate name]='CH_CostStack_SME 10k'!$C99),0),1))</f>
        <v>0</v>
      </c>
      <c r="P99" s="73" cm="1">
        <f t="array" ref="P99">IF(ISNUMBER(SEARCH("Residential",$K$48)),
INDEX(OP_RatesTU_RES_2[United Energy],MATCH(1,(OP_RatesTU_RES_2[Cost element]="Environmental")*(OP_RatesTU_RES_2[Rate name]='CH_CostStack_SME 10k'!$C99),0),1),
INDEX(OP_RatesTU_SME_2[United Energy],MATCH(1,(OP_RatesTU_SME_2[Cost element]="Environmental")*(OP_RatesTU_SME_2[Rate name]='CH_CostStack_SME 10k'!$C99),0),1))</f>
        <v>0</v>
      </c>
    </row>
    <row r="100" spans="3:16" outlineLevel="1" x14ac:dyDescent="0.25">
      <c r="C100" t="s">
        <v>70</v>
      </c>
      <c r="D100" s="73" cm="1">
        <f t="array" ref="D100">IF(ISNUMBER(SEARCH("Residential",$C$48)),
INDEX(OP_RatesTU_RES_1[Ausnet],MATCH(1,(OP_RatesTU_RES_1[Cost element]="Environmental")*(OP_RatesTU_RES_1[Rate name]='CH_CostStack_SME 10k'!$C100),0),1),
INDEX(OP_RatesTU_SME_1[Ausnet],MATCH(1,(OP_RatesTU_SME_1[Cost element]="Environmental")*(OP_RatesTU_SME_1[Rate name]='CH_CostStack_SME 10k'!$C100),0),1))</f>
        <v>0</v>
      </c>
      <c r="E100" s="73" cm="1">
        <f t="array" ref="E100">IF(ISNUMBER(SEARCH("Residential",$C$48)),
INDEX(OP_RatesTU_RES_1[Citipower],MATCH(1,(OP_RatesTU_RES_1[Cost element]="Environmental")*(OP_RatesTU_RES_1[Rate name]='CH_CostStack_SME 10k'!$C100),0),1),
INDEX(OP_RatesTU_SME_1[Citipower],MATCH(1,(OP_RatesTU_SME_1[Cost element]="Environmental")*(OP_RatesTU_SME_1[Rate name]='CH_CostStack_SME 10k'!$C100),0),1))</f>
        <v>0</v>
      </c>
      <c r="F100" s="73" cm="1">
        <f t="array" ref="F100">IF(ISNUMBER(SEARCH("Residential",$C$48)),
INDEX(OP_RatesTU_RES_1[Jemena],MATCH(1,(OP_RatesTU_RES_1[Cost element]="Environmental")*(OP_RatesTU_RES_1[Rate name]='CH_CostStack_SME 10k'!$C100),0),1),
INDEX(OP_RatesTU_SME_1[Jemena],MATCH(1,(OP_RatesTU_SME_1[Cost element]="Environmental")*(OP_RatesTU_SME_1[Rate name]='CH_CostStack_SME 10k'!$C100),0),1))</f>
        <v>0</v>
      </c>
      <c r="G100" s="73" cm="1">
        <f t="array" ref="G100">IF(ISNUMBER(SEARCH("Residential",$C$48)),
INDEX(OP_RatesTU_RES_1[Powercor],MATCH(1,(OP_RatesTU_RES_1[Cost element]="Environmental")*(OP_RatesTU_RES_1[Rate name]='CH_CostStack_SME 10k'!$C100),0),1),
INDEX(OP_RatesTU_SME_1[Powercor],MATCH(1,(OP_RatesTU_SME_1[Cost element]="Environmental")*(OP_RatesTU_SME_1[Rate name]='CH_CostStack_SME 10k'!$C100),0),1))</f>
        <v>0</v>
      </c>
      <c r="H100" s="73" cm="1">
        <f t="array" ref="H100">IF(ISNUMBER(SEARCH("Residential",$C$48)),
INDEX(OP_RatesTU_RES_1[United Energy],MATCH(1,(OP_RatesTU_RES_1[Cost element]="Environmental")*(OP_RatesTU_RES_1[Rate name]='CH_CostStack_SME 10k'!$C100),0),1),
INDEX(OP_RatesTU_SME_1[United Energy],MATCH(1,(OP_RatesTU_SME_1[Cost element]="Environmental")*(OP_RatesTU_SME_1[Rate name]='CH_CostStack_SME 10k'!$C100),0),1))</f>
        <v>0</v>
      </c>
      <c r="K100" t="s">
        <v>70</v>
      </c>
      <c r="L100" s="73" cm="1">
        <f t="array" ref="L100">IF(ISNUMBER(SEARCH("Residential",$K$48)),
INDEX(OP_RatesTU_RES_2[Ausnet],MATCH(1,(OP_RatesTU_RES_2[Cost element]="Environmental")*(OP_RatesTU_RES_2[Rate name]='CH_CostStack_SME 10k'!$C100),0),1),
INDEX(OP_RatesTU_SME_2[Ausnet],MATCH(1,(OP_RatesTU_SME_2[Cost element]="Environmental")*(OP_RatesTU_SME_2[Rate name]='CH_CostStack_SME 10k'!$C100),0),1))</f>
        <v>-1.4451020409271499E-3</v>
      </c>
      <c r="M100" s="73" cm="1">
        <f t="array" ref="M100">IF(ISNUMBER(SEARCH("Residential",$K$48)),
INDEX(OP_RatesTU_RES_2[Citipower],MATCH(1,(OP_RatesTU_RES_2[Cost element]="Environmental")*(OP_RatesTU_RES_2[Rate name]='CH_CostStack_SME 10k'!$C100),0),1),
INDEX(OP_RatesTU_SME_2[Citipower],MATCH(1,(OP_RatesTU_SME_2[Cost element]="Environmental")*(OP_RatesTU_SME_2[Rate name]='CH_CostStack_SME 10k'!$C100),0),1))</f>
        <v>0</v>
      </c>
      <c r="N100" s="73" cm="1">
        <f t="array" ref="N100">IF(ISNUMBER(SEARCH("Residential",$K$48)),
INDEX(OP_RatesTU_RES_2[Jemena],MATCH(1,(OP_RatesTU_RES_2[Cost element]="Environmental")*(OP_RatesTU_RES_2[Rate name]='CH_CostStack_SME 10k'!$C100),0),1),
INDEX(OP_RatesTU_SME_2[Jemena],MATCH(1,(OP_RatesTU_SME_2[Cost element]="Environmental")*(OP_RatesTU_SME_2[Rate name]='CH_CostStack_SME 10k'!$C100),0),1))</f>
        <v>0</v>
      </c>
      <c r="O100" s="73" cm="1">
        <f t="array" ref="O100">IF(ISNUMBER(SEARCH("Residential",$K$48)),
INDEX(OP_RatesTU_RES_2[Powercor],MATCH(1,(OP_RatesTU_RES_2[Cost element]="Environmental")*(OP_RatesTU_RES_2[Rate name]='CH_CostStack_SME 10k'!$C100),0),1),
INDEX(OP_RatesTU_SME_2[Powercor],MATCH(1,(OP_RatesTU_SME_2[Cost element]="Environmental")*(OP_RatesTU_SME_2[Rate name]='CH_CostStack_SME 10k'!$C100),0),1))</f>
        <v>0</v>
      </c>
      <c r="P100" s="73" cm="1">
        <f t="array" ref="P100">IF(ISNUMBER(SEARCH("Residential",$K$48)),
INDEX(OP_RatesTU_RES_2[United Energy],MATCH(1,(OP_RatesTU_RES_2[Cost element]="Environmental")*(OP_RatesTU_RES_2[Rate name]='CH_CostStack_SME 10k'!$C100),0),1),
INDEX(OP_RatesTU_SME_2[United Energy],MATCH(1,(OP_RatesTU_SME_2[Cost element]="Environmental")*(OP_RatesTU_SME_2[Rate name]='CH_CostStack_SME 10k'!$C100),0),1))</f>
        <v>0</v>
      </c>
    </row>
    <row r="101" spans="3:16" x14ac:dyDescent="0.25">
      <c r="C101" t="s">
        <v>71</v>
      </c>
      <c r="D101" s="73" cm="1">
        <f t="array" ref="D101">IF(ISNUMBER(SEARCH("Residential",$C$48)),
INDEX(OP_RatesTU_RES_1[Ausnet],MATCH(1,(OP_RatesTU_RES_1[Cost element]="Environmental")*(OP_RatesTU_RES_1[Rate name]='CH_CostStack_SME 10k'!$C101),0),1),
INDEX(OP_RatesTU_SME_1[Ausnet],MATCH(1,(OP_RatesTU_SME_1[Cost element]="Environmental")*(OP_RatesTU_SME_1[Rate name]='CH_CostStack_SME 10k'!$C101),0),1))</f>
        <v>0</v>
      </c>
      <c r="E101" s="73" cm="1">
        <f t="array" ref="E101">IF(ISNUMBER(SEARCH("Residential",$C$48)),
INDEX(OP_RatesTU_RES_1[Citipower],MATCH(1,(OP_RatesTU_RES_1[Cost element]="Environmental")*(OP_RatesTU_RES_1[Rate name]='CH_CostStack_SME 10k'!$C101),0),1),
INDEX(OP_RatesTU_SME_1[Citipower],MATCH(1,(OP_RatesTU_SME_1[Cost element]="Environmental")*(OP_RatesTU_SME_1[Rate name]='CH_CostStack_SME 10k'!$C101),0),1))</f>
        <v>0</v>
      </c>
      <c r="F101" s="73" cm="1">
        <f t="array" ref="F101">IF(ISNUMBER(SEARCH("Residential",$C$48)),
INDEX(OP_RatesTU_RES_1[Jemena],MATCH(1,(OP_RatesTU_RES_1[Cost element]="Environmental")*(OP_RatesTU_RES_1[Rate name]='CH_CostStack_SME 10k'!$C101),0),1),
INDEX(OP_RatesTU_SME_1[Jemena],MATCH(1,(OP_RatesTU_SME_1[Cost element]="Environmental")*(OP_RatesTU_SME_1[Rate name]='CH_CostStack_SME 10k'!$C101),0),1))</f>
        <v>0</v>
      </c>
      <c r="G101" s="73" cm="1">
        <f t="array" ref="G101">IF(ISNUMBER(SEARCH("Residential",$C$48)),
INDEX(OP_RatesTU_RES_1[Powercor],MATCH(1,(OP_RatesTU_RES_1[Cost element]="Environmental")*(OP_RatesTU_RES_1[Rate name]='CH_CostStack_SME 10k'!$C101),0),1),
INDEX(OP_RatesTU_SME_1[Powercor],MATCH(1,(OP_RatesTU_SME_1[Cost element]="Environmental")*(OP_RatesTU_SME_1[Rate name]='CH_CostStack_SME 10k'!$C101),0),1))</f>
        <v>0</v>
      </c>
      <c r="H101" s="73" cm="1">
        <f t="array" ref="H101">IF(ISNUMBER(SEARCH("Residential",$C$48)),
INDEX(OP_RatesTU_RES_1[United Energy],MATCH(1,(OP_RatesTU_RES_1[Cost element]="Environmental")*(OP_RatesTU_RES_1[Rate name]='CH_CostStack_SME 10k'!$C101),0),1),
INDEX(OP_RatesTU_SME_1[United Energy],MATCH(1,(OP_RatesTU_SME_1[Cost element]="Environmental")*(OP_RatesTU_SME_1[Rate name]='CH_CostStack_SME 10k'!$C101),0),1))</f>
        <v>0</v>
      </c>
      <c r="K101" t="s">
        <v>71</v>
      </c>
      <c r="L101" s="73" cm="1">
        <f t="array" ref="L101">IF(ISNUMBER(SEARCH("Residential",$K$48)),
INDEX(OP_RatesTU_RES_2[Ausnet],MATCH(1,(OP_RatesTU_RES_2[Cost element]="Environmental")*(OP_RatesTU_RES_2[Rate name]='CH_CostStack_SME 10k'!$C101),0),1),
INDEX(OP_RatesTU_SME_2[Ausnet],MATCH(1,(OP_RatesTU_SME_2[Cost element]="Environmental")*(OP_RatesTU_SME_2[Rate name]='CH_CostStack_SME 10k'!$C101),0),1))</f>
        <v>0</v>
      </c>
      <c r="M101" s="73" cm="1">
        <f t="array" ref="M101">IF(ISNUMBER(SEARCH("Residential",$K$48)),
INDEX(OP_RatesTU_RES_2[Citipower],MATCH(1,(OP_RatesTU_RES_2[Cost element]="Environmental")*(OP_RatesTU_RES_2[Rate name]='CH_CostStack_SME 10k'!$C101),0),1),
INDEX(OP_RatesTU_SME_2[Citipower],MATCH(1,(OP_RatesTU_SME_2[Cost element]="Environmental")*(OP_RatesTU_SME_2[Rate name]='CH_CostStack_SME 10k'!$C101),0),1))</f>
        <v>-1.4016011881474891E-3</v>
      </c>
      <c r="N101" s="73" cm="1">
        <f t="array" ref="N101">IF(ISNUMBER(SEARCH("Residential",$K$48)),
INDEX(OP_RatesTU_RES_2[Jemena],MATCH(1,(OP_RatesTU_RES_2[Cost element]="Environmental")*(OP_RatesTU_RES_2[Rate name]='CH_CostStack_SME 10k'!$C101),0),1),
INDEX(OP_RatesTU_SME_2[Jemena],MATCH(1,(OP_RatesTU_SME_2[Cost element]="Environmental")*(OP_RatesTU_SME_2[Rate name]='CH_CostStack_SME 10k'!$C101),0),1))</f>
        <v>-1.3896720485833702E-3</v>
      </c>
      <c r="O101" s="73" cm="1">
        <f t="array" ref="O101">IF(ISNUMBER(SEARCH("Residential",$K$48)),
INDEX(OP_RatesTU_RES_2[Powercor],MATCH(1,(OP_RatesTU_RES_2[Cost element]="Environmental")*(OP_RatesTU_RES_2[Rate name]='CH_CostStack_SME 10k'!$C101),0),1),
INDEX(OP_RatesTU_SME_2[Powercor],MATCH(1,(OP_RatesTU_SME_2[Cost element]="Environmental")*(OP_RatesTU_SME_2[Rate name]='CH_CostStack_SME 10k'!$C101),0),1))</f>
        <v>-1.432313335205126E-3</v>
      </c>
      <c r="P101" s="73" cm="1">
        <f t="array" ref="P101">IF(ISNUMBER(SEARCH("Residential",$K$48)),
INDEX(OP_RatesTU_RES_2[United Energy],MATCH(1,(OP_RatesTU_RES_2[Cost element]="Environmental")*(OP_RatesTU_RES_2[Rate name]='CH_CostStack_SME 10k'!$C101),0),1),
INDEX(OP_RatesTU_SME_2[United Energy],MATCH(1,(OP_RatesTU_SME_2[Cost element]="Environmental")*(OP_RatesTU_SME_2[Rate name]='CH_CostStack_SME 10k'!$C101),0),1))</f>
        <v>-1.3977880905040913E-3</v>
      </c>
    </row>
    <row r="107" spans="3:16" x14ac:dyDescent="0.25">
      <c r="D107" s="84"/>
    </row>
  </sheetData>
  <sheetProtection algorithmName="SHA-512" hashValue="o4cmbbqj+RcsNSAA/9tcWDvgEzWEO3EI1i25kWA2UR8qov2CXBdtjXEISK8QyvPPo56KGPQK06oVWIUCY9Xe+A==" saltValue="PJIKgLs254GyLvukFMb8+A==" spinCount="100000" sheet="1" objects="1" scenarios="1"/>
  <mergeCells count="1">
    <mergeCell ref="A2:A3"/>
  </mergeCells>
  <dataValidations disablePrompts="1" count="2">
    <dataValidation type="list" allowBlank="1" showInputMessage="1" showErrorMessage="1" sqref="D32" xr:uid="{E1E81CB0-9606-411E-9D9C-20F0684985C7}">
      <formula1>"Residential,Small business"</formula1>
    </dataValidation>
    <dataValidation type="list" allowBlank="1" showInputMessage="1" showErrorMessage="1" sqref="D31" xr:uid="{A73BD28F-6F0E-4E83-B5CE-620C19DBC2E1}">
      <formula1>$D$54:$I$54</formula1>
    </dataValidation>
  </dataValidations>
  <pageMargins left="0.7" right="0.7" top="0.75" bottom="0.75" header="0.3" footer="0.3"/>
  <pageSetup paperSize="9" orientation="portrait" r:id="rId1"/>
  <headerFooter>
    <oddHeader>&amp;C&amp;B&amp;"Arial"&amp;12&amp;Kff0000​‌OFFICIAL‌​</oddHeader>
  </headerFooter>
  <drawing r:id="rId2"/>
  <tableParts count="2">
    <tablePart r:id="rId3"/>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7E5EBF4-7B01-478F-A891-60FC5061CA31}">
          <x14:formula1>
            <xm:f>'Lookup refs'!$I$8:$I$13</xm:f>
          </x14:formula1>
          <xm:sqref>C48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3373-1100-4248-950C-796919AADF27}">
  <sheetPr>
    <tabColor rgb="FFFFB13F"/>
    <pageSetUpPr autoPageBreaks="0"/>
  </sheetPr>
  <dimension ref="A1:X107"/>
  <sheetViews>
    <sheetView showGridLines="0" topLeftCell="B1" zoomScale="85" zoomScaleNormal="85" workbookViewId="0">
      <pane ySplit="3" topLeftCell="A4" activePane="bottomLeft" state="frozen"/>
      <selection activeCell="B33" sqref="B33"/>
      <selection pane="bottomLeft" activeCell="K21" sqref="K21"/>
    </sheetView>
  </sheetViews>
  <sheetFormatPr defaultColWidth="9.42578125" defaultRowHeight="15" outlineLevelRow="1" outlineLevelCol="1" x14ac:dyDescent="0.25"/>
  <cols>
    <col min="1" max="1" width="100.5703125" hidden="1" customWidth="1" outlineLevel="1"/>
    <col min="2" max="2" width="10.5703125" style="5" customWidth="1" collapsed="1"/>
    <col min="3" max="17" width="25.5703125" customWidth="1"/>
    <col min="18" max="18" width="5.5703125" customWidth="1"/>
    <col min="19" max="19" width="11.42578125" bestFit="1" customWidth="1"/>
    <col min="22" max="22" width="13.42578125" bestFit="1" customWidth="1"/>
  </cols>
  <sheetData>
    <row r="1" spans="1:18" ht="15" customHeight="1" x14ac:dyDescent="0.25">
      <c r="A1" s="1" t="s">
        <v>32</v>
      </c>
      <c r="B1" s="16"/>
      <c r="C1" s="17"/>
      <c r="D1" s="17"/>
      <c r="E1" s="17"/>
      <c r="F1" s="87" t="s">
        <v>52</v>
      </c>
      <c r="G1" s="70"/>
      <c r="H1" s="17"/>
      <c r="I1" s="17"/>
      <c r="J1" s="17"/>
      <c r="K1" s="17"/>
      <c r="L1" s="17"/>
      <c r="M1" s="17"/>
      <c r="N1" s="17"/>
      <c r="O1" s="17"/>
      <c r="P1" s="17"/>
      <c r="Q1" s="17"/>
      <c r="R1" s="17"/>
    </row>
    <row r="2" spans="1:18" s="3" customFormat="1" ht="50.1" customHeight="1" x14ac:dyDescent="0.25">
      <c r="A2" s="234" t="s">
        <v>33</v>
      </c>
      <c r="B2" s="20"/>
      <c r="C2" s="20" t="str">
        <f>Disclaimer!$B$1</f>
        <v>VDO calculation model</v>
      </c>
      <c r="D2" s="20"/>
      <c r="E2" s="20"/>
      <c r="F2" s="129" t="str">
        <f>Calc_Rates!$D$5</f>
        <v>VDO 2024-25 - Draft</v>
      </c>
      <c r="G2" s="129" t="str">
        <f>Calc_Rates!$D$266</f>
        <v>VDO 2023-24 - Final</v>
      </c>
      <c r="H2" s="20"/>
      <c r="I2" s="20"/>
      <c r="J2" s="20"/>
      <c r="K2" s="20"/>
      <c r="L2" s="20"/>
      <c r="M2" s="20"/>
      <c r="N2" s="20"/>
      <c r="O2" s="20"/>
      <c r="P2" s="20"/>
      <c r="Q2" s="20"/>
      <c r="R2" s="20"/>
    </row>
    <row r="3" spans="1:18" s="3" customFormat="1" ht="30" customHeight="1" x14ac:dyDescent="0.25">
      <c r="A3" s="235"/>
      <c r="B3" s="22">
        <f ca="1">_xlfn.SHEET()</f>
        <v>13</v>
      </c>
      <c r="C3" s="21" t="s">
        <v>508</v>
      </c>
      <c r="D3" s="21"/>
      <c r="E3" s="21"/>
      <c r="F3" s="69">
        <f>SUM(D68:H68,M35)</f>
        <v>0</v>
      </c>
      <c r="G3" s="69">
        <f>SUM(L68:P68,M36)</f>
        <v>0</v>
      </c>
      <c r="H3" s="21"/>
      <c r="I3" s="21"/>
      <c r="J3" s="21"/>
      <c r="K3" s="21"/>
      <c r="L3" s="21"/>
      <c r="M3" s="21"/>
      <c r="N3" s="21"/>
      <c r="O3" s="21"/>
      <c r="P3" s="21"/>
      <c r="Q3" s="21"/>
      <c r="R3" s="21"/>
    </row>
    <row r="4" spans="1:18" x14ac:dyDescent="0.25">
      <c r="B4"/>
    </row>
    <row r="5" spans="1:18" ht="16.5" thickBot="1" x14ac:dyDescent="0.3">
      <c r="A5" s="1" t="s">
        <v>35</v>
      </c>
      <c r="B5" s="161">
        <f ca="1">MAX(B$3:B4)+0.01</f>
        <v>13.01</v>
      </c>
      <c r="C5" s="23" t="str">
        <f>"VDO cost stack chart - Flat VDO - "&amp;IF(ISNUMBER(SEARCH("Residential",$C$48)),"Residential","Small business")</f>
        <v>VDO cost stack chart - Flat VDO - Small business</v>
      </c>
      <c r="D5" s="23"/>
      <c r="E5" s="23" t="s">
        <v>548</v>
      </c>
      <c r="F5" s="23"/>
      <c r="G5" s="23"/>
      <c r="H5" s="23"/>
      <c r="I5" s="23"/>
      <c r="J5" s="23"/>
      <c r="K5" s="23"/>
      <c r="L5" s="23"/>
      <c r="M5" s="23"/>
      <c r="N5" s="23"/>
      <c r="O5" s="23"/>
      <c r="P5" s="23"/>
      <c r="Q5" s="23"/>
      <c r="R5" s="23"/>
    </row>
    <row r="6" spans="1:18" outlineLevel="1" x14ac:dyDescent="0.25">
      <c r="B6"/>
    </row>
    <row r="7" spans="1:18" outlineLevel="1" x14ac:dyDescent="0.25">
      <c r="B7"/>
    </row>
    <row r="8" spans="1:18" outlineLevel="1" x14ac:dyDescent="0.25">
      <c r="B8"/>
    </row>
    <row r="9" spans="1:18" outlineLevel="1" x14ac:dyDescent="0.25">
      <c r="B9"/>
    </row>
    <row r="10" spans="1:18" outlineLevel="1" x14ac:dyDescent="0.25">
      <c r="B10"/>
      <c r="K10" t="s">
        <v>376</v>
      </c>
    </row>
    <row r="11" spans="1:18" outlineLevel="1" x14ac:dyDescent="0.25">
      <c r="B11"/>
    </row>
    <row r="12" spans="1:18" outlineLevel="1" x14ac:dyDescent="0.25">
      <c r="B12"/>
    </row>
    <row r="13" spans="1:18" outlineLevel="1" x14ac:dyDescent="0.25">
      <c r="B13"/>
    </row>
    <row r="14" spans="1:18" outlineLevel="1" x14ac:dyDescent="0.25">
      <c r="B14"/>
    </row>
    <row r="15" spans="1:18" outlineLevel="1" x14ac:dyDescent="0.25">
      <c r="B15"/>
    </row>
    <row r="16" spans="1:18" outlineLevel="1" x14ac:dyDescent="0.25">
      <c r="B16"/>
    </row>
    <row r="17" spans="2:16" outlineLevel="1" x14ac:dyDescent="0.25">
      <c r="B17"/>
    </row>
    <row r="18" spans="2:16" outlineLevel="1" x14ac:dyDescent="0.25">
      <c r="B18"/>
    </row>
    <row r="19" spans="2:16" outlineLevel="1" x14ac:dyDescent="0.25">
      <c r="B19"/>
    </row>
    <row r="20" spans="2:16" outlineLevel="1" x14ac:dyDescent="0.25">
      <c r="B20"/>
    </row>
    <row r="21" spans="2:16" outlineLevel="1" x14ac:dyDescent="0.25">
      <c r="B21"/>
    </row>
    <row r="22" spans="2:16" outlineLevel="1" x14ac:dyDescent="0.25">
      <c r="B22"/>
    </row>
    <row r="23" spans="2:16" outlineLevel="1" x14ac:dyDescent="0.25">
      <c r="B23"/>
    </row>
    <row r="24" spans="2:16" outlineLevel="1" x14ac:dyDescent="0.25">
      <c r="B24"/>
    </row>
    <row r="25" spans="2:16" outlineLevel="1" x14ac:dyDescent="0.25">
      <c r="B25"/>
    </row>
    <row r="26" spans="2:16" outlineLevel="1" x14ac:dyDescent="0.25">
      <c r="B26"/>
    </row>
    <row r="27" spans="2:16" outlineLevel="1" x14ac:dyDescent="0.25">
      <c r="B27"/>
    </row>
    <row r="28" spans="2:16" outlineLevel="1" x14ac:dyDescent="0.25">
      <c r="B28"/>
    </row>
    <row r="29" spans="2:16" outlineLevel="1" x14ac:dyDescent="0.25">
      <c r="B29"/>
    </row>
    <row r="30" spans="2:16" outlineLevel="1" x14ac:dyDescent="0.25">
      <c r="B30"/>
    </row>
    <row r="31" spans="2:16" ht="15.75" outlineLevel="1" x14ac:dyDescent="0.25">
      <c r="B31"/>
      <c r="C31" s="31" t="s">
        <v>509</v>
      </c>
      <c r="D31" s="76" t="s">
        <v>510</v>
      </c>
    </row>
    <row r="32" spans="2:16" ht="15.75" outlineLevel="1" x14ac:dyDescent="0.25">
      <c r="B32"/>
      <c r="C32" s="31" t="s">
        <v>511</v>
      </c>
      <c r="D32" s="76" t="s">
        <v>67</v>
      </c>
      <c r="P32" s="62"/>
    </row>
    <row r="33" spans="1:22" outlineLevel="1" x14ac:dyDescent="0.25">
      <c r="B33"/>
    </row>
    <row r="34" spans="1:22" ht="15.75" outlineLevel="1" x14ac:dyDescent="0.25">
      <c r="B34"/>
      <c r="C34" s="31" t="s">
        <v>512</v>
      </c>
      <c r="D34" s="31" t="s">
        <v>176</v>
      </c>
      <c r="E34" s="31" t="s">
        <v>81</v>
      </c>
      <c r="F34" s="31" t="s">
        <v>130</v>
      </c>
      <c r="G34" s="31" t="s">
        <v>83</v>
      </c>
      <c r="H34" s="31" t="s">
        <v>141</v>
      </c>
      <c r="I34" s="31" t="s">
        <v>257</v>
      </c>
      <c r="J34" s="31" t="s">
        <v>360</v>
      </c>
      <c r="K34" s="31" t="s">
        <v>513</v>
      </c>
    </row>
    <row r="35" spans="1:22" ht="15.75" outlineLevel="1" x14ac:dyDescent="0.25">
      <c r="B35"/>
      <c r="C35" s="60" t="str">
        <f>$L$45</f>
        <v>VDO 2023-24 - Final</v>
      </c>
      <c r="D35" s="77">
        <f>INDEX(CostStackCalcs_SME_2[[Ausnet]:[Average]],MATCH(D$34,CostStackCalcs_SME_2[Labels],0),MATCH($D$31,CostStackCalcs_SME_2[[#Headers],[Ausnet]:[Average]],0))</f>
        <v>2715.1030692508061</v>
      </c>
      <c r="E35" s="77">
        <f>INDEX(CostStackCalcs_SME_2[[Ausnet]:[Average]],MATCH(E$34,CostStackCalcs_SME_2[[Labels]:[Labels]],0),MATCH($D$31,CostStackCalcs_SME_2[[#Headers],[Ausnet]:[Average]],0))</f>
        <v>2591.2946225901419</v>
      </c>
      <c r="F35" s="77">
        <f>INDEX(CostStackCalcs_SME_2[[Ausnet]:[Average]],MATCH(F$34,CostStackCalcs_SME_2[[Labels]:[Labels]],0),MATCH($D$31,CostStackCalcs_SME_2[[#Headers],[Ausnet]:[Average]],0))</f>
        <v>175.92415101117138</v>
      </c>
      <c r="G35" s="77">
        <f>INDEX(CostStackCalcs_SME_2[[Ausnet]:[Average]],MATCH("Environmental schemes",CostStackCalcs_SME_2[[Labels]:[Labels]],0),MATCH($D$31,CostStackCalcs_SME_2[[#Headers],[Ausnet]:[Average]],0))+
INDEX(CostStackCalcs_SME_2[[Ausnet]:[Average]],MATCH("FiT",CostStackCalcs_SME_2[[Labels]:[Labels]],0),MATCH($D$31,CostStackCalcs_SME_2[[#Headers],[Ausnet]:[Average]],0))+
IF(INDEX(CostStackCalcs_SME_2[[Ausnet]:[Average]],MATCH("Environmental true up",CostStackCalcs_SME_2[[Labels]:[Labels]],0),MATCH($D$31,CostStackCalcs_SME_2[[#Headers],[Ausnet]:[Average]],0))="-",0,
INDEX(CostStackCalcs_SME_2[[Ausnet]:[Average]],MATCH("Environmental true up",CostStackCalcs_SME_2[[Labels]:[Labels]],0),MATCH($D$31,CostStackCalcs_SME_2[[#Headers],[Ausnet]:[Average]],0)))</f>
        <v>590.69864173489839</v>
      </c>
      <c r="H35" s="77">
        <f>INDEX(CostStackCalcs_SME_2[[Ausnet]:[Average]],MATCH(H$34,CostStackCalcs_SME_2[[Labels]:[Labels]],0),MATCH($D$31,CostStackCalcs_SME_2[[#Headers],[Ausnet]:[Average]],0))</f>
        <v>46.223038179639317</v>
      </c>
      <c r="I35" s="77">
        <f>INDEX(CostStackCalcs_SME_2[[Ausnet]:[Average]],MATCH(I$34,CostStackCalcs_SME_2[[Labels]:[Labels]],0),MATCH($D$31,CostStackCalcs_SME_2[[#Headers],[Ausnet]:[Average]],0))</f>
        <v>344.26486474355988</v>
      </c>
      <c r="J35" s="77">
        <f>INDEX(CostStackCalcs_SME_2[[Ausnet]:[Average]],MATCH(J$34,CostStackCalcs_SME_2[[Labels]:[Labels]],0),MATCH($D$31,CostStackCalcs_SME_2[[#Headers],[Ausnet]:[Average]],0))</f>
        <v>649.1851735164272</v>
      </c>
      <c r="K35" s="77">
        <f>INDEX(CostStackCalcs_SME_2[[Ausnet]:[Average]],MATCH(K$34,CostStackCalcs_SME_2[[Labels]:[Labels]],0),MATCH($D$31,CostStackCalcs_SME_2[[#Headers],[Ausnet]:[Average]],0))</f>
        <v>7113</v>
      </c>
      <c r="M35" s="19">
        <f>IF(OR(ROUNDUP(SUM(D35:J35),0)-K35&lt;1,ROUNDUP(SUM(D35:J35),0)-K35&gt;-1),0,1)</f>
        <v>0</v>
      </c>
    </row>
    <row r="36" spans="1:22" ht="15.75" outlineLevel="1" x14ac:dyDescent="0.25">
      <c r="B36"/>
      <c r="C36" s="60" t="str">
        <f>$D$45</f>
        <v>VDO 2024-25 - Draft</v>
      </c>
      <c r="D36" s="77">
        <f>INDEX(CostStackCalcs_SME_1[[Ausnet]:[Average]],MATCH(D$34,CostStackCalcs_SME_1[[Labels]:[Labels]],0),MATCH($D$31,CostStackCalcs_SME_1[[#Headers],[Ausnet]:[Average]],0))</f>
        <v>2076.3209564372</v>
      </c>
      <c r="E36" s="77">
        <f>INDEX(CostStackCalcs_SME_1[[Ausnet]:[Average]],MATCH(E$34,CostStackCalcs_SME_1[[Labels]:[Labels]],0),MATCH($D$31,CostStackCalcs_SME_1[[#Headers],[Ausnet]:[Average]],0))</f>
        <v>2742.2305760433073</v>
      </c>
      <c r="F36" s="77">
        <f>INDEX(CostStackCalcs_SME_1[[Ausnet]:[Average]],MATCH(F$34,CostStackCalcs_SME_1[[Labels]:[Labels]],0),MATCH($D$31,CostStackCalcs_SME_1[[#Headers],[Ausnet]:[Average]],0))</f>
        <v>187.59415017239178</v>
      </c>
      <c r="G36" s="77">
        <f>INDEX(CostStackCalcs_SME_1[[Ausnet]:[Average]],MATCH("Environmental schemes",CostStackCalcs_SME_1[[Labels]:[Labels]],0),MATCH($D$31,CostStackCalcs_SME_1[[#Headers],[Ausnet]:[Average]],0))+
INDEX(CostStackCalcs_SME_1[[Ausnet]:[Average]],MATCH("FiT",CostStackCalcs_SME_1[[Labels]:[Labels]],0),MATCH($D$31,CostStackCalcs_SME_1[[#Headers],[Ausnet]:[Average]],0))+
IF(INDEX(CostStackCalcs_SME_1[[Ausnet]:[Average]],MATCH("Environmental true up",CostStackCalcs_SME_1[[Labels]:[Labels]],0),MATCH($D$31,CostStackCalcs_SME_1[[#Headers],[Ausnet]:[Average]],0))="-",0,
INDEX(CostStackCalcs_SME_1[[Ausnet]:[Average]],MATCH("Environmental true up",CostStackCalcs_SME_1[[Labels]:[Labels]],0),MATCH($D$31,CostStackCalcs_SME_1[[#Headers],[Ausnet]:[Average]],0)))</f>
        <v>599.70801442984839</v>
      </c>
      <c r="H36" s="77">
        <f>INDEX(CostStackCalcs_SME_1[[Ausnet]:[Average]],MATCH(H$34,CostStackCalcs_SME_1[[Labels]:[Labels]],0),MATCH($D$31,CostStackCalcs_SME_1[[#Headers],[Ausnet]:[Average]],0))</f>
        <v>27.602843360528158</v>
      </c>
      <c r="I36" s="77">
        <f>INDEX(CostStackCalcs_SME_1[[Ausnet]:[Average]],MATCH(I$34,CostStackCalcs_SME_1[[Labels]:[Labels]],0),MATCH($D$31,CostStackCalcs_SME_1[[#Headers],[Ausnet]:[Average]],0))</f>
        <v>315.47356626482338</v>
      </c>
      <c r="J36" s="77">
        <f>INDEX(CostStackCalcs_SME_1[[Ausnet]:[Average]],MATCH(J$34,CostStackCalcs_SME_1[[Labels]:[Labels]],0),MATCH($D$31,CostStackCalcs_SME_1[[#Headers],[Ausnet]:[Average]],0))</f>
        <v>594.89301067080987</v>
      </c>
      <c r="K36" s="77">
        <f>INDEX(CostStackCalcs_SME_1[[Ausnet]:[Average]],MATCH(K$34,CostStackCalcs_SME_1[[Labels]:[Labels]],0),MATCH($D$31,CostStackCalcs_SME_1[[#Headers],[Ausnet]:[Average]],0))</f>
        <v>6544</v>
      </c>
      <c r="M36" s="19">
        <f>IF(OR(ROUNDUP(SUM(D36:J36),0)-K36&lt;1,ROUNDUP(SUM(D36:J36),0)-K36&gt;-1),0,1)</f>
        <v>0</v>
      </c>
    </row>
    <row r="37" spans="1:22" outlineLevel="1" x14ac:dyDescent="0.25">
      <c r="B37"/>
      <c r="M37" s="86"/>
      <c r="N37" s="85"/>
    </row>
    <row r="38" spans="1:22" outlineLevel="1" x14ac:dyDescent="0.25">
      <c r="B38"/>
      <c r="C38" s="60" t="str">
        <f>$L$45</f>
        <v>VDO 2023-24 - Final</v>
      </c>
      <c r="D38" s="84">
        <f>D35/$K35</f>
        <v>0.38170997740064755</v>
      </c>
      <c r="E38" s="84">
        <f t="shared" ref="E38:K39" si="0">E35/$K35</f>
        <v>0.36430403804163392</v>
      </c>
      <c r="F38" s="84">
        <f t="shared" si="0"/>
        <v>2.4732764095483112E-2</v>
      </c>
      <c r="G38" s="84">
        <f t="shared" si="0"/>
        <v>8.3044937682398193E-2</v>
      </c>
      <c r="H38" s="84">
        <f t="shared" si="0"/>
        <v>6.498388609537371E-3</v>
      </c>
      <c r="I38" s="84">
        <f t="shared" si="0"/>
        <v>4.8399390516457176E-2</v>
      </c>
      <c r="J38" s="84">
        <f t="shared" si="0"/>
        <v>9.1267422116747821E-2</v>
      </c>
      <c r="K38" s="84">
        <f t="shared" si="0"/>
        <v>1</v>
      </c>
    </row>
    <row r="39" spans="1:22" outlineLevel="1" x14ac:dyDescent="0.25">
      <c r="B39"/>
      <c r="C39" s="60" t="str">
        <f>$D$45</f>
        <v>VDO 2024-25 - Draft</v>
      </c>
      <c r="D39" s="84">
        <f>D36/$K36</f>
        <v>0.31728620972451099</v>
      </c>
      <c r="E39" s="84">
        <f>E36/$K36</f>
        <v>0.41904501467654454</v>
      </c>
      <c r="F39" s="84">
        <f t="shared" si="0"/>
        <v>2.8666587740279918E-2</v>
      </c>
      <c r="G39" s="84">
        <f>G36/$K36</f>
        <v>9.1642422742947496E-2</v>
      </c>
      <c r="H39" s="84">
        <f t="shared" si="0"/>
        <v>4.2180384108386551E-3</v>
      </c>
      <c r="I39" s="84">
        <f t="shared" si="0"/>
        <v>4.8208063304526802E-2</v>
      </c>
      <c r="J39" s="84">
        <f t="shared" si="0"/>
        <v>9.0906633659964833E-2</v>
      </c>
      <c r="K39" s="84">
        <f t="shared" si="0"/>
        <v>1</v>
      </c>
    </row>
    <row r="40" spans="1:22" ht="15.75" outlineLevel="1" x14ac:dyDescent="0.25">
      <c r="B40"/>
      <c r="C40" s="24" t="s">
        <v>514</v>
      </c>
      <c r="D40" s="84">
        <f>(D36-D35)/D35</f>
        <v>-0.23526993138786031</v>
      </c>
      <c r="E40" s="84">
        <f t="shared" ref="E40:K40" si="1">(E36-E35)/E35</f>
        <v>5.8247314735017139E-2</v>
      </c>
      <c r="F40" s="84">
        <f t="shared" si="1"/>
        <v>6.6335401331448496E-2</v>
      </c>
      <c r="G40" s="84">
        <f>(G36-G35)/G35</f>
        <v>1.5252062656669098E-2</v>
      </c>
      <c r="H40" s="84">
        <f t="shared" si="1"/>
        <v>-0.40283364210605105</v>
      </c>
      <c r="I40" s="84">
        <f t="shared" si="1"/>
        <v>-8.3631242764732647E-2</v>
      </c>
      <c r="J40" s="84">
        <f t="shared" si="1"/>
        <v>-8.3631242764732522E-2</v>
      </c>
      <c r="K40" s="84">
        <f t="shared" si="1"/>
        <v>-7.9994376493743843E-2</v>
      </c>
    </row>
    <row r="41" spans="1:22" ht="15.75" hidden="1" outlineLevel="1" x14ac:dyDescent="0.25">
      <c r="B41"/>
      <c r="C41" s="24" t="s">
        <v>515</v>
      </c>
      <c r="D41" s="84">
        <f t="shared" ref="D41:J41" si="2">D38*D40</f>
        <v>-8.9804880193112058E-2</v>
      </c>
      <c r="E41" s="84">
        <f t="shared" si="2"/>
        <v>2.1219731963048709E-2</v>
      </c>
      <c r="F41" s="84">
        <f t="shared" si="2"/>
        <v>1.640657832309912E-3</v>
      </c>
      <c r="G41" s="84">
        <f t="shared" si="2"/>
        <v>1.2666065928511178E-3</v>
      </c>
      <c r="H41" s="84">
        <f t="shared" si="2"/>
        <v>-2.617769551400416E-3</v>
      </c>
      <c r="I41" s="84">
        <f t="shared" si="2"/>
        <v>-4.0477011779469288E-3</v>
      </c>
      <c r="J41" s="84">
        <f t="shared" si="2"/>
        <v>-7.6328079355570547E-3</v>
      </c>
      <c r="K41" s="84">
        <f>SUM(D41:J41)</f>
        <v>-7.9976162469806725E-2</v>
      </c>
      <c r="M41" s="19">
        <f>IF(ROUND(K41,2)=ROUND(K40,2),0,1)</f>
        <v>0</v>
      </c>
    </row>
    <row r="42" spans="1:22" x14ac:dyDescent="0.25">
      <c r="B42"/>
      <c r="K42" s="85"/>
      <c r="L42" s="86"/>
    </row>
    <row r="43" spans="1:22" ht="16.5" thickBot="1" x14ac:dyDescent="0.3">
      <c r="A43" s="1" t="s">
        <v>35</v>
      </c>
      <c r="B43" s="161">
        <f ca="1">MAX(B$3:B42)+0.01</f>
        <v>13.02</v>
      </c>
      <c r="C43" s="23" t="str">
        <f>"VDO cost stack calcs - Flat VDO - "&amp;IF(ISNUMBER(SEARCH("Residential",$C$48)),"Residential","Small business")</f>
        <v>VDO cost stack calcs - Flat VDO - Small business</v>
      </c>
      <c r="D43" s="23"/>
      <c r="E43" s="23"/>
      <c r="F43" s="23"/>
      <c r="G43" s="23"/>
      <c r="H43" s="23"/>
      <c r="I43" s="23"/>
      <c r="J43" s="23"/>
      <c r="K43" s="23"/>
      <c r="L43" s="23"/>
      <c r="M43" s="23"/>
      <c r="N43" s="23"/>
      <c r="O43" s="23"/>
      <c r="P43" s="23"/>
      <c r="Q43" s="23"/>
      <c r="R43" s="23"/>
    </row>
    <row r="44" spans="1:22" outlineLevel="1" x14ac:dyDescent="0.25">
      <c r="V44" s="84"/>
    </row>
    <row r="45" spans="1:22" ht="15.75" outlineLevel="1" x14ac:dyDescent="0.25">
      <c r="C45" s="39" t="s">
        <v>47</v>
      </c>
      <c r="D45" s="30" t="str">
        <f>FY</f>
        <v>VDO 2024-25 - Draft</v>
      </c>
      <c r="K45" s="39" t="s">
        <v>47</v>
      </c>
      <c r="L45" s="30" t="str">
        <f>PY</f>
        <v>VDO 2023-24 - Final</v>
      </c>
    </row>
    <row r="46" spans="1:22" ht="15.75" outlineLevel="1" x14ac:dyDescent="0.25">
      <c r="C46" s="24"/>
      <c r="K46" s="24"/>
    </row>
    <row r="47" spans="1:22" ht="15.75" outlineLevel="1" x14ac:dyDescent="0.25">
      <c r="C47" s="31" t="s">
        <v>85</v>
      </c>
      <c r="D47" s="35" t="s">
        <v>516</v>
      </c>
      <c r="F47" s="24"/>
      <c r="K47" s="31" t="s">
        <v>85</v>
      </c>
      <c r="L47" s="35" t="s">
        <v>516</v>
      </c>
    </row>
    <row r="48" spans="1:22" outlineLevel="1" x14ac:dyDescent="0.25">
      <c r="C48" s="152" t="s">
        <v>89</v>
      </c>
      <c r="D48" s="151">
        <f>INDEX(Input_Usage[],MATCH(C48&amp;" - Annual",Input_Usage[Ref],0),MATCH($D$45,Inputs!$C$147:$BA$147,0))</f>
        <v>20000</v>
      </c>
      <c r="K48" s="60" t="str">
        <f>$C$48</f>
        <v>Small business - medium</v>
      </c>
      <c r="L48" s="151">
        <f>INDEX(Input_Usage[],MATCH(K48&amp;" - Annual",Input_Usage[Ref],0),MATCH($L$45,Inputs!$C$147:$BA$147,0))</f>
        <v>20000</v>
      </c>
    </row>
    <row r="49" spans="3:24" ht="15.75" outlineLevel="1" x14ac:dyDescent="0.25">
      <c r="C49" s="24"/>
      <c r="K49" s="24"/>
    </row>
    <row r="50" spans="3:24" ht="15.75" outlineLevel="1" x14ac:dyDescent="0.25">
      <c r="C50" s="31" t="s">
        <v>68</v>
      </c>
      <c r="D50" s="151">
        <f>INDEX(Input_Usage[],MATCH(C$48&amp;" - "&amp;C50,Input_Usage[Ref],0),MATCH(D$45,Inputs!$C$147:$BA$147,0))</f>
        <v>4080</v>
      </c>
      <c r="G50" s="39" t="s">
        <v>299</v>
      </c>
      <c r="H50" s="60" t="str">
        <f>FY</f>
        <v>VDO 2024-25 - Draft</v>
      </c>
      <c r="I50" s="54">
        <f>INDEX(Input_TU_Periods[],1,MATCH(H50,Inputs!$C$203:$BM$203,0))</f>
        <v>365</v>
      </c>
      <c r="K50" s="31" t="s">
        <v>68</v>
      </c>
      <c r="L50" s="151">
        <f>INDEX(Input_Usage[],MATCH(K$48&amp;" - "&amp;K50,Input_Usage[Ref],0),MATCH(L$45,Inputs!$C$147:$BA$147,0))</f>
        <v>4080</v>
      </c>
      <c r="O50" s="39" t="s">
        <v>299</v>
      </c>
      <c r="P50" s="60" t="str">
        <f>PY</f>
        <v>VDO 2023-24 - Final</v>
      </c>
      <c r="Q50" s="54">
        <f>INDEX(Input_TU_Periods[],1,MATCH(P50,Inputs!$C$203:$BM$203,0))</f>
        <v>365</v>
      </c>
    </row>
    <row r="51" spans="3:24" ht="15.75" outlineLevel="1" x14ac:dyDescent="0.25">
      <c r="C51" s="31" t="s">
        <v>70</v>
      </c>
      <c r="D51" s="151">
        <f>INDEX(Input_Usage[],MATCH(C$48&amp;" - "&amp;C51,Input_Usage[Ref],0),MATCH(D$45,Inputs!$C$147:$BA$147,0))</f>
        <v>15920</v>
      </c>
      <c r="G51" s="39" t="s">
        <v>102</v>
      </c>
      <c r="H51" s="60" t="str">
        <f>FY</f>
        <v>VDO 2024-25 - Draft</v>
      </c>
      <c r="I51" s="54">
        <f>INDEX(Input_TU_Periods[],2,MATCH(H51,Inputs!$C$203:$BM$203,0))</f>
        <v>365</v>
      </c>
      <c r="K51" s="31" t="s">
        <v>70</v>
      </c>
      <c r="L51" s="151">
        <f>INDEX(Input_Usage[],MATCH(K$48&amp;" - "&amp;K51,Input_Usage[Ref],0),MATCH(L$45,Inputs!$C$147:$BA$147,0))</f>
        <v>15920</v>
      </c>
      <c r="O51" s="39" t="s">
        <v>102</v>
      </c>
      <c r="P51" s="60" t="str">
        <f>PY</f>
        <v>VDO 2023-24 - Final</v>
      </c>
      <c r="Q51" s="54">
        <f>INDEX(Input_TU_Periods[],2,MATCH(P51,Inputs!$C$203:$BM$203,0))</f>
        <v>366</v>
      </c>
    </row>
    <row r="52" spans="3:24" ht="15.75" outlineLevel="1" x14ac:dyDescent="0.25">
      <c r="C52" s="24"/>
      <c r="D52" s="82"/>
      <c r="G52" s="39" t="s">
        <v>481</v>
      </c>
      <c r="I52" s="141">
        <f>I50/I51</f>
        <v>1</v>
      </c>
      <c r="K52" s="24"/>
      <c r="O52" s="39" t="s">
        <v>481</v>
      </c>
      <c r="Q52" s="141">
        <f>Q50/Q51</f>
        <v>0.99726775956284153</v>
      </c>
    </row>
    <row r="53" spans="3:24" ht="15.75" outlineLevel="1" x14ac:dyDescent="0.25">
      <c r="C53" s="24"/>
      <c r="D53" s="82"/>
      <c r="K53" s="24"/>
    </row>
    <row r="54" spans="3:24" ht="15.75" outlineLevel="1" x14ac:dyDescent="0.25">
      <c r="C54" s="32" t="s">
        <v>517</v>
      </c>
      <c r="D54" s="43" t="s">
        <v>59</v>
      </c>
      <c r="E54" s="43" t="s">
        <v>60</v>
      </c>
      <c r="F54" s="43" t="s">
        <v>61</v>
      </c>
      <c r="G54" s="43" t="s">
        <v>62</v>
      </c>
      <c r="H54" s="43" t="s">
        <v>63</v>
      </c>
      <c r="I54" s="43" t="s">
        <v>510</v>
      </c>
      <c r="K54" s="32" t="s">
        <v>517</v>
      </c>
      <c r="L54" s="43" t="s">
        <v>59</v>
      </c>
      <c r="M54" s="43" t="s">
        <v>60</v>
      </c>
      <c r="N54" s="43" t="s">
        <v>61</v>
      </c>
      <c r="O54" s="43" t="s">
        <v>62</v>
      </c>
      <c r="P54" s="43" t="s">
        <v>63</v>
      </c>
      <c r="Q54" s="43" t="s">
        <v>510</v>
      </c>
    </row>
    <row r="55" spans="3:24" outlineLevel="1" x14ac:dyDescent="0.25">
      <c r="C55" s="18" t="s">
        <v>176</v>
      </c>
      <c r="D55" s="74">
        <f>D$86*($D$48*(1+D$72))</f>
        <v>2132.8740765000002</v>
      </c>
      <c r="E55" s="74">
        <f>E$86*($D$48*(1+E$72))</f>
        <v>1985.5000000000002</v>
      </c>
      <c r="F55" s="74">
        <f>F$86*($D$48*(1+F$72))</f>
        <v>2104.4519540239999</v>
      </c>
      <c r="G55" s="74">
        <f>G$86*($D$48*(1+G$72))</f>
        <v>2066.7888186400005</v>
      </c>
      <c r="H55" s="74">
        <f>H$86*($D$48*(1+H$72))</f>
        <v>2091.9899330220001</v>
      </c>
      <c r="I55" s="75">
        <f>AVERAGE(D55:H55)</f>
        <v>2076.3209564372</v>
      </c>
      <c r="K55" s="18" t="s">
        <v>176</v>
      </c>
      <c r="L55" s="74">
        <f>L$86*($L$48*(1+L$72))</f>
        <v>2790.8966814754472</v>
      </c>
      <c r="M55" s="74">
        <f>M$86*($L$48*(1+M$72))</f>
        <v>2643.4975167626076</v>
      </c>
      <c r="N55" s="74">
        <f>N$86*($L$48*(1+N$72))</f>
        <v>2722.3124931869756</v>
      </c>
      <c r="O55" s="74">
        <f>O$86*($L$48*(1+O$72))</f>
        <v>2688.8836631086479</v>
      </c>
      <c r="P55" s="74">
        <f>P$86*($L$48*(1+P$72))</f>
        <v>2729.9249917203547</v>
      </c>
      <c r="Q55" s="75">
        <f>AVERAGE(L55:P55)</f>
        <v>2715.1030692508061</v>
      </c>
      <c r="U55" s="134"/>
      <c r="V55" s="133"/>
    </row>
    <row r="56" spans="3:24" outlineLevel="1" x14ac:dyDescent="0.25">
      <c r="C56" s="18" t="s">
        <v>81</v>
      </c>
      <c r="D56" s="74">
        <f>D$77+(D$91*$D$50)+(D$92*$D$51)+(D$93*$D$48)</f>
        <v>4261.7974893388173</v>
      </c>
      <c r="E56" s="74">
        <f>E$77+(E$91*$D$50)+(E$92*$D$51)+(E$93*$D$48)</f>
        <v>1998.158296658981</v>
      </c>
      <c r="F56" s="74">
        <f>F$77+(F$91*$D$50)+(F$92*$D$51)+(F$93*$D$48)</f>
        <v>2913.9081546425186</v>
      </c>
      <c r="G56" s="74">
        <f>G$77+(G$91*$D$50)+(G$92*$D$51)+(G$93*$D$48)</f>
        <v>2366.4087457940468</v>
      </c>
      <c r="H56" s="74">
        <f>H$77+(H$91*$D$50)+(H$92*$D$51)+(H$93*$D$48)</f>
        <v>2170.8801937821713</v>
      </c>
      <c r="I56" s="75">
        <f t="shared" ref="I56:I63" si="3">AVERAGE(D56:H56)</f>
        <v>2742.2305760433073</v>
      </c>
      <c r="K56" s="18" t="s">
        <v>81</v>
      </c>
      <c r="L56" s="74">
        <f>L$77+(L$91*$L$50)+(L$92*$L$51)+(L$93*$L$48)</f>
        <v>4258.48243177124</v>
      </c>
      <c r="M56" s="74">
        <f>M$77+(M$91*$L$50)+(M$92*$L$51)+(M$93*$L$48)</f>
        <v>1849.759895686956</v>
      </c>
      <c r="N56" s="74">
        <f>N$77+(N$91*$L$50)+(N$92*$L$51)+(N$93*$L$48)</f>
        <v>2574.6703427550437</v>
      </c>
      <c r="O56" s="74">
        <f>O$77+(O$91*$L$50)+(O$92*$L$51)+(O$93*$L$48)</f>
        <v>2208.2371551055203</v>
      </c>
      <c r="P56" s="74">
        <f>P$77+(P$91*$L$50)+(P$92*$L$51)+(P$93*$L$48)</f>
        <v>2065.323287631948</v>
      </c>
      <c r="Q56" s="75">
        <f t="shared" ref="Q56:Q63" si="4">AVERAGE(L56:P56)</f>
        <v>2591.2946225901419</v>
      </c>
      <c r="T56" s="85"/>
      <c r="U56" s="134"/>
      <c r="V56" s="133"/>
      <c r="X56" s="62"/>
    </row>
    <row r="57" spans="3:24" outlineLevel="1" x14ac:dyDescent="0.25">
      <c r="C57" s="18" t="s">
        <v>130</v>
      </c>
      <c r="D57" s="74">
        <f>D$75</f>
        <v>187.59415017239178</v>
      </c>
      <c r="E57" s="74">
        <f>E$75</f>
        <v>187.59415017239178</v>
      </c>
      <c r="F57" s="74">
        <f>F$75</f>
        <v>187.59415017239178</v>
      </c>
      <c r="G57" s="74">
        <f>G$75</f>
        <v>187.59415017239178</v>
      </c>
      <c r="H57" s="74">
        <f>H$75</f>
        <v>187.59415017239178</v>
      </c>
      <c r="I57" s="75">
        <f t="shared" si="3"/>
        <v>187.59415017239178</v>
      </c>
      <c r="K57" s="18" t="s">
        <v>130</v>
      </c>
      <c r="L57" s="74">
        <f>L$75</f>
        <v>175.92415101117138</v>
      </c>
      <c r="M57" s="74">
        <f>M$75</f>
        <v>175.92415101117138</v>
      </c>
      <c r="N57" s="74">
        <f>N$75</f>
        <v>175.92415101117138</v>
      </c>
      <c r="O57" s="74">
        <f>O$75</f>
        <v>175.92415101117138</v>
      </c>
      <c r="P57" s="74">
        <f>P$75</f>
        <v>175.92415101117138</v>
      </c>
      <c r="Q57" s="75">
        <f t="shared" si="4"/>
        <v>175.92415101117138</v>
      </c>
      <c r="U57" s="134"/>
      <c r="V57" s="133"/>
      <c r="X57" s="62"/>
    </row>
    <row r="58" spans="3:24" outlineLevel="1" x14ac:dyDescent="0.25">
      <c r="C58" s="18" t="s">
        <v>518</v>
      </c>
      <c r="D58" s="74">
        <f>(D$84*($D$48*(1+D$72)))</f>
        <v>596.61244283167196</v>
      </c>
      <c r="E58" s="74">
        <f>(E$84*($D$48*(1+E$72)))</f>
        <v>574.38876440000001</v>
      </c>
      <c r="F58" s="74">
        <f>(F$84*($D$48*(1+F$72)))</f>
        <v>574.56840242486237</v>
      </c>
      <c r="G58" s="74">
        <f>(G$84*($D$48*(1+G$72)))</f>
        <v>589.03837119836805</v>
      </c>
      <c r="H58" s="74">
        <f>(H$84*($D$48*(1+H$72)))</f>
        <v>575.45356024524722</v>
      </c>
      <c r="I58" s="75">
        <f t="shared" si="3"/>
        <v>582.01230822003004</v>
      </c>
      <c r="K58" s="18" t="s">
        <v>518</v>
      </c>
      <c r="L58" s="74">
        <f>(L$84*($L$48*(1+L$72)))</f>
        <v>617.2176194938005</v>
      </c>
      <c r="M58" s="74">
        <f>(M$84*($L$48*(1+M$72)))</f>
        <v>594.22725547788264</v>
      </c>
      <c r="N58" s="74">
        <f>(N$84*($L$48*(1+N$72)))</f>
        <v>594.43389367517364</v>
      </c>
      <c r="O58" s="74">
        <f>(O$84*($L$48*(1+O$72)))</f>
        <v>609.26311548751096</v>
      </c>
      <c r="P58" s="74">
        <f>(P$84*($L$48*(1+P$72)))</f>
        <v>595.34020023618086</v>
      </c>
      <c r="Q58" s="75">
        <f>AVERAGE(L58:P58)</f>
        <v>602.09641687410965</v>
      </c>
      <c r="U58" s="134"/>
      <c r="V58" s="133"/>
      <c r="X58" s="62"/>
    </row>
    <row r="59" spans="3:24" outlineLevel="1" x14ac:dyDescent="0.25">
      <c r="C59" s="18" t="s">
        <v>519</v>
      </c>
      <c r="D59" s="74">
        <f>D81</f>
        <v>17.695706209818297</v>
      </c>
      <c r="E59" s="74">
        <f>E81</f>
        <v>17.695706209818297</v>
      </c>
      <c r="F59" s="74">
        <f>F81</f>
        <v>17.695706209818297</v>
      </c>
      <c r="G59" s="74">
        <f>G81</f>
        <v>17.695706209818297</v>
      </c>
      <c r="H59" s="74">
        <f>H81</f>
        <v>17.695706209818297</v>
      </c>
      <c r="I59" s="75">
        <f>AVERAGE(D59:H59)</f>
        <v>17.695706209818297</v>
      </c>
      <c r="K59" s="18" t="s">
        <v>519</v>
      </c>
      <c r="L59" s="74">
        <f>L81</f>
        <v>16.945572514842485</v>
      </c>
      <c r="M59" s="74">
        <f>M81</f>
        <v>16.945572514842485</v>
      </c>
      <c r="N59" s="74">
        <f>N81</f>
        <v>16.945572514842485</v>
      </c>
      <c r="O59" s="74">
        <f>O81</f>
        <v>16.945572514842485</v>
      </c>
      <c r="P59" s="74">
        <f>P81</f>
        <v>16.945572514842485</v>
      </c>
      <c r="Q59" s="75">
        <f>AVERAGE(L59:P59)</f>
        <v>16.945572514842485</v>
      </c>
      <c r="U59" s="134"/>
      <c r="V59" s="133"/>
    </row>
    <row r="60" spans="3:24" outlineLevel="1" x14ac:dyDescent="0.25">
      <c r="C60" s="18" t="s">
        <v>141</v>
      </c>
      <c r="D60" s="74">
        <f>D$79+(D$88*($D$48*(1+D$72)))</f>
        <v>28.017467455927516</v>
      </c>
      <c r="E60" s="74">
        <f>E$79+(E$88*($D$48*(1+E$72)))</f>
        <v>27.386345016903519</v>
      </c>
      <c r="F60" s="74">
        <f>F$79+(F$88*($D$48*(1+F$72)))</f>
        <v>27.391446494084317</v>
      </c>
      <c r="G60" s="74">
        <f>G$79+(G$88*($D$48*(1+G$72)))</f>
        <v>27.802374055559518</v>
      </c>
      <c r="H60" s="74">
        <f>H$79+(H$88*($D$48*(1+H$72)))</f>
        <v>27.416583780165919</v>
      </c>
      <c r="I60" s="75">
        <f t="shared" si="3"/>
        <v>27.602843360528158</v>
      </c>
      <c r="K60" s="18" t="s">
        <v>141</v>
      </c>
      <c r="L60" s="74">
        <f>L$79+(L$88*($L$48*(1+L$72)))</f>
        <v>47.116078798908916</v>
      </c>
      <c r="M60" s="74">
        <f>M$79+(M$88*($L$48*(1+M$72)))</f>
        <v>45.758294670596726</v>
      </c>
      <c r="N60" s="74">
        <f>N$79+(N$88*($L$48*(1+N$72)))</f>
        <v>45.770498481914842</v>
      </c>
      <c r="O60" s="74">
        <f>O$79+(O$88*($L$48*(1+O$72)))</f>
        <v>46.646295054690796</v>
      </c>
      <c r="P60" s="74">
        <f>P$79+(P$88*($L$48*(1+P$72)))</f>
        <v>45.824023892085322</v>
      </c>
      <c r="Q60" s="75">
        <f t="shared" si="4"/>
        <v>46.223038179639317</v>
      </c>
      <c r="U60" s="134"/>
      <c r="V60" s="133"/>
    </row>
    <row r="61" spans="3:24" outlineLevel="1" x14ac:dyDescent="0.25">
      <c r="C61" s="18" t="s">
        <v>257</v>
      </c>
      <c r="D61" s="74">
        <f>SUM(D55:D60)*D$70</f>
        <v>404.57711462048309</v>
      </c>
      <c r="E61" s="74">
        <f>SUM(E55:E60)*E$70</f>
        <v>268.28050269765333</v>
      </c>
      <c r="F61" s="74">
        <f>SUM(F55:F60)*F$70</f>
        <v>326.23414958218979</v>
      </c>
      <c r="G61" s="74">
        <f>SUM(G55:G60)*G$70</f>
        <v>294.29837729993034</v>
      </c>
      <c r="H61" s="74">
        <f>SUM(H55:H60)*H$70</f>
        <v>283.97768712386045</v>
      </c>
      <c r="I61" s="75">
        <f t="shared" si="3"/>
        <v>315.47356626482338</v>
      </c>
      <c r="K61" s="18" t="s">
        <v>257</v>
      </c>
      <c r="L61" s="74">
        <f>SUM(L55:L60)*L$70</f>
        <v>442.76862196366301</v>
      </c>
      <c r="M61" s="74">
        <f>SUM(M55:M60)*M$70</f>
        <v>298.26231042294728</v>
      </c>
      <c r="N61" s="74">
        <f>SUM(N55:N60)*N$70</f>
        <v>343.28318929100681</v>
      </c>
      <c r="O61" s="74">
        <f>SUM(O55:O60)*O$70</f>
        <v>321.7703973278135</v>
      </c>
      <c r="P61" s="74">
        <f>SUM(P55:P60)*P$70</f>
        <v>315.23980471236871</v>
      </c>
      <c r="Q61" s="75">
        <f t="shared" si="4"/>
        <v>344.26486474355988</v>
      </c>
      <c r="U61" s="134"/>
      <c r="V61" s="133"/>
    </row>
    <row r="62" spans="3:24" outlineLevel="1" x14ac:dyDescent="0.25">
      <c r="C62" s="18" t="s">
        <v>360</v>
      </c>
      <c r="D62" s="74">
        <f>SUM(D55:D61)*GST</f>
        <v>762.91684471291103</v>
      </c>
      <c r="E62" s="74">
        <f>SUM(E55:E61)*GST</f>
        <v>505.90037651557481</v>
      </c>
      <c r="F62" s="74">
        <f>SUM(F55:F61)*GST</f>
        <v>615.18439635498657</v>
      </c>
      <c r="G62" s="74">
        <f>SUM(G55:G61)*GST</f>
        <v>554.96265433701149</v>
      </c>
      <c r="H62" s="74">
        <f>SUM(H55:H61)*GST</f>
        <v>535.50078143356541</v>
      </c>
      <c r="I62" s="75">
        <f t="shared" si="3"/>
        <v>594.89301067080987</v>
      </c>
      <c r="K62" s="18" t="s">
        <v>360</v>
      </c>
      <c r="L62" s="74">
        <f>SUM(L55:L61)*GST</f>
        <v>834.93511570290741</v>
      </c>
      <c r="M62" s="74">
        <f>SUM(M55:M61)*GST</f>
        <v>562.43749965470056</v>
      </c>
      <c r="N62" s="74">
        <f>SUM(N55:N61)*GST</f>
        <v>647.33401409161297</v>
      </c>
      <c r="O62" s="74">
        <f>SUM(O55:O61)*GST</f>
        <v>606.76703496101982</v>
      </c>
      <c r="P62" s="74">
        <f>SUM(P55:P61)*GST</f>
        <v>594.45220317189523</v>
      </c>
      <c r="Q62" s="75">
        <f t="shared" si="4"/>
        <v>649.1851735164272</v>
      </c>
      <c r="U62" s="134"/>
      <c r="V62" s="133"/>
    </row>
    <row r="63" spans="3:24" outlineLevel="1" x14ac:dyDescent="0.25">
      <c r="C63" s="18" t="s">
        <v>520</v>
      </c>
      <c r="D63" s="92">
        <f>(D$99*($D$50/$I$52))+(D$100*($D$51/$I$52))+(D$101*($D$48/$I$52))</f>
        <v>0</v>
      </c>
      <c r="E63" s="92">
        <f>(E$99*($D$50/$I$52))+(E$100*($D$51/$I$52))+(E$101*($D$48/$I$52))</f>
        <v>0</v>
      </c>
      <c r="F63" s="92">
        <f>(F$99*($D$50/$I$52))+(F$100*($D$51/$I$52))+(F$101*($D$48/$I$52))</f>
        <v>0</v>
      </c>
      <c r="G63" s="92">
        <f>(G$99*($D$50/$I$52))+(G$100*($D$51/$I$52))+(G$101*($D$48/$I$52))</f>
        <v>0</v>
      </c>
      <c r="H63" s="92">
        <f>(H$99*($D$50/$I$52))+(H$100*($D$51/$I$52))+(H$101*($D$48/$I$52))</f>
        <v>0</v>
      </c>
      <c r="I63" s="75">
        <f t="shared" si="3"/>
        <v>0</v>
      </c>
      <c r="K63" s="18" t="s">
        <v>520</v>
      </c>
      <c r="L63" s="92">
        <f>(L$99*($L$50/$Q$52))+(L$100*($L$51/$Q$52))+(L$101*($L$48/$Q$52))</f>
        <v>-28.981224492018455</v>
      </c>
      <c r="M63" s="92">
        <f>(M$99*($L$50/$Q$52))+(M$100*($L$51/$Q$52))+(M$101*($L$48/$Q$52))</f>
        <v>-28.108823828053751</v>
      </c>
      <c r="N63" s="92">
        <f>(N$99*($L$50/$Q$52))+(N$100*($L$51/$Q$52))+(N$101*($L$48/$Q$52))</f>
        <v>-27.869587385288408</v>
      </c>
      <c r="O63" s="92">
        <f>(O$99*($L$50/$Q$52))+(O$100*($L$51/$Q$52))+(O$101*($L$48/$Q$52))</f>
        <v>-28.724749626579513</v>
      </c>
      <c r="P63" s="92">
        <f>(P$99*($L$50/$Q$52))+(P$100*($L$51/$Q$52))+(P$101*($L$48/$Q$52))</f>
        <v>-28.032352938328625</v>
      </c>
      <c r="Q63" s="75">
        <f t="shared" si="4"/>
        <v>-28.343347654053748</v>
      </c>
      <c r="U63" s="134"/>
      <c r="V63" s="133"/>
    </row>
    <row r="64" spans="3:24" outlineLevel="1" x14ac:dyDescent="0.25">
      <c r="C64" s="33" t="s">
        <v>521</v>
      </c>
      <c r="D64" s="136">
        <f>ROUNDUP(SUM(D55:D63),0)</f>
        <v>8393</v>
      </c>
      <c r="E64" s="136">
        <f>ROUNDUP(SUM(E55:E63),0)</f>
        <v>5565</v>
      </c>
      <c r="F64" s="136">
        <f>ROUNDUP(SUM(F55:F63),0)</f>
        <v>6768</v>
      </c>
      <c r="G64" s="136">
        <f>ROUNDUP(SUM(G55:G63),0)</f>
        <v>6105</v>
      </c>
      <c r="H64" s="136">
        <f>ROUNDUP(SUM(H55:H63),0)</f>
        <v>5891</v>
      </c>
      <c r="I64" s="75">
        <f>AVERAGE(D64:H64)</f>
        <v>6544.4</v>
      </c>
      <c r="K64" s="33" t="s">
        <v>521</v>
      </c>
      <c r="L64" s="136">
        <f>ROUNDUP(SUM(L55:L63),0)</f>
        <v>9156</v>
      </c>
      <c r="M64" s="136">
        <f>ROUNDUP(SUM(M55:M63),0)</f>
        <v>6159</v>
      </c>
      <c r="N64" s="136">
        <f>ROUNDUP(SUM(N55:N63),0)</f>
        <v>7093</v>
      </c>
      <c r="O64" s="136">
        <f>ROUNDUP(SUM(O55:O63),0)</f>
        <v>6646</v>
      </c>
      <c r="P64" s="136">
        <f>ROUNDUP(SUM(P55:P63),0)</f>
        <v>6511</v>
      </c>
      <c r="Q64" s="75">
        <f>AVERAGE(L64:P64)</f>
        <v>7113</v>
      </c>
      <c r="T64" s="82"/>
      <c r="U64" s="134"/>
      <c r="V64" s="133"/>
      <c r="X64" s="62"/>
    </row>
    <row r="65" spans="3:24" outlineLevel="1" x14ac:dyDescent="0.25">
      <c r="C65" s="18"/>
      <c r="D65" s="74"/>
      <c r="E65" s="74"/>
      <c r="F65" s="74"/>
      <c r="G65" s="74"/>
      <c r="H65" s="74"/>
      <c r="I65" s="75"/>
      <c r="K65" s="18"/>
      <c r="L65" s="74"/>
      <c r="M65" s="74"/>
      <c r="N65" s="74"/>
      <c r="O65" s="74"/>
      <c r="P65" s="74"/>
      <c r="Q65" s="75"/>
      <c r="S65" s="79"/>
      <c r="V65" s="133"/>
    </row>
    <row r="66" spans="3:24" outlineLevel="1" x14ac:dyDescent="0.25">
      <c r="C66" s="18" t="s">
        <v>513</v>
      </c>
      <c r="D66" s="75">
        <f>IF($D$32="Residential",
ROUNDUP(
(INDEX(OP_Rates_RES_1[[Ausnet]:[United Energy]],MATCH("Anytime - supply",OP_Rates_RES_1[[Rate name]:[Rate name]],0),MATCH(CostStackCalcs_RES_1[[#Headers],[Ausnet]],OP_Rates_RES_1[[#Headers],[Ausnet]:[United Energy]],0))*DiY)+
(IFERROR((INDEX(OP_Rates_RES_1[[Ausnet]:[United Energy]],MATCH("Block 1",OP_Rates_RES_1[[Rate name]:[Rate name]],0),MATCH(CostStackCalcs_RES_1[[#Headers],[Ausnet]],OP_Rates_RES_1[[#Headers],[Ausnet]:[United Energy]],0))*$D$50),0)+
IFERROR((INDEX(OP_Rates_RES_1[[Ausnet]:[United Energy]],MATCH("Balance",OP_Rates_RES_1[[Rate name]:[Rate name]],0),MATCH(CostStackCalcs_RES_1[[#Headers],[Ausnet]],OP_Rates_RES_1[[#Headers],[Ausnet]:[United Energy]],0))*$D$51),0)+
IFERROR((INDEX(OP_Rates_RES_1[[Ausnet]:[United Energy]],MATCH("Single rate",OP_Rates_RES_1[[Rate name]:[Rate name]],0),MATCH(CostStackCalcs_RES_1[[#Headers],[Ausnet]],OP_Rates_RES_1[[#Headers],[Ausnet]:[United Energy]],0))*$D$48),0))
+
(IFERROR((INDEX(OP_RatesTU_RES_1[[Ausnet]:[United Energy]],MATCH("Block 1",OP_RatesTU_RES_1[[Rate name]:[Rate name]],0),MATCH(CostStackCalcs_RES_1[[#Headers],[Ausnet]],OP_RatesTU_RES_1[[#Headers],[Ausnet]:[United Energy]],0))*($D$50/$I$52)),0)+
IFERROR((INDEX(OP_RatesTU_RES_1[[Ausnet]:[United Energy]],MATCH("Balance",OP_RatesTU_RES_1[[Rate name]:[Rate name]],0),MATCH(CostStackCalcs_RES_1[[#Headers],[Ausnet]],OP_RatesTU_RES_1[[#Headers],[Ausnet]:[United Energy]],0))*($D$51/$I$52)),0)+
IFERROR((INDEX(OP_RatesTU_RES_1[[Ausnet]:[United Energy]],MATCH("Single rate",OP_RatesTU_RES_1[[Rate name]:[Rate name]],0),MATCH(CostStackCalcs_RES_1[[#Headers],[Ausnet]],OP_RatesTU_RES_1[[#Headers],[Ausnet]:[United Energy]],0))*($D$48/$I$52)),0)),0),
ROUNDUP(
(INDEX(OP_Rates_SME_1[[Ausnet]:[United Energy]],MATCH("Anytime - supply",OP_Rates_SME_1[[Rate name]:[Rate name]],0),MATCH(CostStackCalcs_SME_1[[#Headers],[Ausnet]],OP_Rates_SME_1[[#Headers],[Ausnet]:[United Energy]],0))*DiY)+
(IFERROR((INDEX(OP_Rates_SME_1[[Ausnet]:[United Energy]],MATCH("Block 1",OP_Rates_SME_1[[Rate name]:[Rate name]],0),MATCH(CostStackCalcs_SME_1[[#Headers],[Ausnet]],OP_Rates_SME_1[[#Headers],[Ausnet]:[United Energy]],0))*$D$50),0)+
IFERROR((INDEX(OP_Rates_SME_1[[Ausnet]:[United Energy]],MATCH("Balance",OP_Rates_SME_1[[Rate name]:[Rate name]],0),MATCH(CostStackCalcs_SME_1[[#Headers],[Ausnet]],OP_Rates_SME_1[[#Headers],[Ausnet]:[United Energy]],0))*$D$51),0)+
IFERROR((INDEX(OP_Rates_SME_1[[Ausnet]:[United Energy]],MATCH("Single rate",OP_Rates_SME_1[[Rate name]:[Rate name]],0),MATCH(CostStackCalcs_SME_1[[#Headers],[Ausnet]],OP_Rates_SME_1[[#Headers],[Ausnet]:[United Energy]],0))*$D$48),0))
+
(IFERROR((INDEX(OP_RatesTU_SME_1[[Ausnet]:[United Energy]],MATCH("Block 1",OP_RatesTU_SME_1[[Rate name]:[Rate name]],0),MATCH(CostStackCalcs_SME_1[[#Headers],[Ausnet]],OP_RatesTU_SME_1[[#Headers],[Ausnet]:[United Energy]],0))*($D$50/$I$52)),0)+
IFERROR((INDEX(OP_RatesTU_SME_1[[Ausnet]:[United Energy]],MATCH("Balance",OP_RatesTU_SME_1[[Rate name]:[Rate name]],0),MATCH(CostStackCalcs_SME_1[[#Headers],[Ausnet]],OP_RatesTU_SME_1[[#Headers],[Ausnet]:[United Energy]],0))*($D$51/$I$52)),0)+
IFERROR((INDEX(OP_RatesTU_SME_1[[Ausnet]:[United Energy]],MATCH("Single rate",OP_RatesTU_SME_1[[Rate name]:[Rate name]],0),MATCH(CostStackCalcs_SME_1[[#Headers],[Ausnet]],OP_RatesTU_SME_1[[#Headers],[Ausnet]:[United Energy]],0))*($D$48/$I$52)),0)),0))</f>
        <v>8393</v>
      </c>
      <c r="E66" s="75">
        <f>IF($D$32="Residential",
ROUNDUP(
(INDEX(OP_Rates_RES_1[[Ausnet]:[United Energy]],MATCH("Anytime - supply",OP_Rates_RES_1[[Rate name]:[Rate name]],0),MATCH(CostStackCalcs_RES_1[[#Headers],[Citipower]],OP_Rates_RES_1[[#Headers],[Ausnet]:[United Energy]],0))*DiY)+
(IFERROR((INDEX(OP_Rates_RES_1[[Ausnet]:[United Energy]],MATCH("Block 1",OP_Rates_RES_1[[Rate name]:[Rate name]],0),MATCH(CostStackCalcs_RES_1[[#Headers],[Citipower]],OP_Rates_RES_1[[#Headers],[Ausnet]:[United Energy]],0))*$D$50),0)+
IFERROR((INDEX(OP_Rates_RES_1[[Ausnet]:[United Energy]],MATCH("Balance",OP_Rates_RES_1[[Rate name]:[Rate name]],0),MATCH(CostStackCalcs_RES_1[[#Headers],[Citipower]],OP_Rates_RES_1[[#Headers],[Ausnet]:[United Energy]],0))*$D$51),0)+
IFERROR((INDEX(OP_Rates_RES_1[[Ausnet]:[United Energy]],MATCH("Single rate",OP_Rates_RES_1[[Rate name]:[Rate name]],0),MATCH(CostStackCalcs_RES_1[[#Headers],[Citipower]],OP_Rates_RES_1[[#Headers],[Ausnet]:[United Energy]],0))*$D$48),0))
+
(IFERROR((INDEX(OP_RatesTU_RES_1[[Ausnet]:[United Energy]],MATCH("Block 1",OP_RatesTU_RES_1[[Rate name]:[Rate name]],0),MATCH(CostStackCalcs_RES_1[[#Headers],[Citipower]],OP_RatesTU_RES_1[[#Headers],[Ausnet]:[United Energy]],0))*($D$50/$I$52)),0)+
IFERROR((INDEX(OP_RatesTU_RES_1[[Ausnet]:[United Energy]],MATCH("Balance",OP_RatesTU_RES_1[[Rate name]:[Rate name]],0),MATCH(CostStackCalcs_RES_1[[#Headers],[Citipower]],OP_RatesTU_RES_1[[#Headers],[Ausnet]:[United Energy]],0))*($D$51/$I$52)),0)+
IFERROR((INDEX(OP_RatesTU_RES_1[[Ausnet]:[United Energy]],MATCH("Single rate",OP_RatesTU_RES_1[[Rate name]:[Rate name]],0),MATCH(CostStackCalcs_RES_1[[#Headers],[Citipower]],OP_RatesTU_RES_1[[#Headers],[Ausnet]:[United Energy]],0))*($D$48/$I$52)),0)),0),
ROUNDUP(
(INDEX(OP_Rates_SME_1[[Ausnet]:[United Energy]],MATCH("Anytime - supply",OP_Rates_SME_1[[Rate name]:[Rate name]],0),MATCH(CostStackCalcs_SME_1[[#Headers],[Citipower]],OP_Rates_SME_1[[#Headers],[Ausnet]:[United Energy]],0))*DiY)+
(IFERROR((INDEX(OP_Rates_SME_1[[Ausnet]:[United Energy]],MATCH("Block 1",OP_Rates_SME_1[[Rate name]:[Rate name]],0),MATCH(CostStackCalcs_SME_1[[#Headers],[Citipower]],OP_Rates_SME_1[[#Headers],[Ausnet]:[United Energy]],0))*$D$50),0)+
IFERROR((INDEX(OP_Rates_SME_1[[Ausnet]:[United Energy]],MATCH("Balance",OP_Rates_SME_1[[Rate name]:[Rate name]],0),MATCH(CostStackCalcs_SME_1[[#Headers],[Citipower]],OP_Rates_SME_1[[#Headers],[Ausnet]:[United Energy]],0))*$D$51),0)+
IFERROR((INDEX(OP_Rates_SME_1[[Ausnet]:[United Energy]],MATCH("Single rate",OP_Rates_SME_1[[Rate name]:[Rate name]],0),MATCH(CostStackCalcs_SME_1[[#Headers],[Citipower]],OP_Rates_SME_1[[#Headers],[Ausnet]:[United Energy]],0))*$D$48),0))
+
(IFERROR((INDEX(OP_RatesTU_SME_1[[Ausnet]:[United Energy]],MATCH("Block 1",OP_RatesTU_SME_1[[Rate name]:[Rate name]],0),MATCH(CostStackCalcs_SME_1[[#Headers],[Citipower]],OP_RatesTU_SME_1[[#Headers],[Ausnet]:[United Energy]],0))*($D$50/$I$52)),0)+
IFERROR((INDEX(OP_RatesTU_SME_1[[Ausnet]:[United Energy]],MATCH("Balance",OP_RatesTU_SME_1[[Rate name]:[Rate name]],0),MATCH(CostStackCalcs_SME_1[[#Headers],[Citipower]],OP_RatesTU_SME_1[[#Headers],[Ausnet]:[United Energy]],0))*($D$51/$I$52)),0)+
IFERROR((INDEX(OP_RatesTU_SME_1[[Ausnet]:[United Energy]],MATCH("Single rate",OP_RatesTU_SME_1[[Rate name]:[Rate name]],0),MATCH(CostStackCalcs_SME_1[[#Headers],[Citipower]],OP_RatesTU_SME_1[[#Headers],[Ausnet]:[United Energy]],0))*($D$48/$I$52)),0)),0))</f>
        <v>5565</v>
      </c>
      <c r="F66" s="75">
        <f>IF($D$32="Residential",
ROUNDUP(
(INDEX(OP_Rates_RES_1[[Ausnet]:[United Energy]],MATCH("Anytime - supply",OP_Rates_RES_1[[Rate name]:[Rate name]],0),MATCH(CostStackCalcs_RES_1[[#Headers],[Jemena]],OP_Rates_RES_1[[#Headers],[Ausnet]:[United Energy]],0))*DiY)+
(IFERROR((INDEX(OP_Rates_RES_1[[Ausnet]:[United Energy]],MATCH("Block 1",OP_Rates_RES_1[[Rate name]:[Rate name]],0),MATCH(CostStackCalcs_RES_1[[#Headers],[Jemena]],OP_Rates_RES_1[[#Headers],[Ausnet]:[United Energy]],0))*$D$50),0)+
IFERROR((INDEX(OP_Rates_RES_1[[Ausnet]:[United Energy]],MATCH("Balance",OP_Rates_RES_1[[Rate name]:[Rate name]],0),MATCH(CostStackCalcs_RES_1[[#Headers],[Jemena]],OP_Rates_RES_1[[#Headers],[Ausnet]:[United Energy]],0))*$D$51),0)+
IFERROR((INDEX(OP_Rates_RES_1[[Ausnet]:[United Energy]],MATCH("Single rate",OP_Rates_RES_1[[Rate name]:[Rate name]],0),MATCH(CostStackCalcs_RES_1[[#Headers],[Jemena]],OP_Rates_RES_1[[#Headers],[Ausnet]:[United Energy]],0))*$D$48),0))
+
(IFERROR((INDEX(OP_RatesTU_RES_1[[Ausnet]:[United Energy]],MATCH("Block 1",OP_RatesTU_RES_1[[Rate name]:[Rate name]],0),MATCH(CostStackCalcs_RES_1[[#Headers],[Jemena]],OP_RatesTU_RES_1[[#Headers],[Ausnet]:[United Energy]],0))*($D$50/$I$52)),0)+
IFERROR((INDEX(OP_RatesTU_RES_1[[Ausnet]:[United Energy]],MATCH("Balance",OP_RatesTU_RES_1[[Rate name]:[Rate name]],0),MATCH(CostStackCalcs_RES_1[[#Headers],[Jemena]],OP_RatesTU_RES_1[[#Headers],[Ausnet]:[United Energy]],0))*($D$51/$I$52)),0)+
IFERROR((INDEX(OP_RatesTU_RES_1[[Ausnet]:[United Energy]],MATCH("Single rate",OP_RatesTU_RES_1[[Rate name]:[Rate name]],0),MATCH(CostStackCalcs_RES_1[[#Headers],[Jemena]],OP_RatesTU_RES_1[[#Headers],[Ausnet]:[United Energy]],0))*($D$48/$I$52)),0)),0),
ROUNDUP(
(INDEX(OP_Rates_SME_1[[Ausnet]:[United Energy]],MATCH("Anytime - supply",OP_Rates_SME_1[[Rate name]:[Rate name]],0),MATCH(CostStackCalcs_SME_1[[#Headers],[Jemena]],OP_Rates_SME_1[[#Headers],[Ausnet]:[United Energy]],0))*DiY)+
(IFERROR((INDEX(OP_Rates_SME_1[[Ausnet]:[United Energy]],MATCH("Block 1",OP_Rates_SME_1[[Rate name]:[Rate name]],0),MATCH(CostStackCalcs_SME_1[[#Headers],[Jemena]],OP_Rates_SME_1[[#Headers],[Ausnet]:[United Energy]],0))*$D$50),0)+
IFERROR((INDEX(OP_Rates_SME_1[[Ausnet]:[United Energy]],MATCH("Balance",OP_Rates_SME_1[[Rate name]:[Rate name]],0),MATCH(CostStackCalcs_SME_1[[#Headers],[Jemena]],OP_Rates_SME_1[[#Headers],[Ausnet]:[United Energy]],0))*$D$51),0)+
IFERROR((INDEX(OP_Rates_SME_1[[Ausnet]:[United Energy]],MATCH("Single rate",OP_Rates_SME_1[[Rate name]:[Rate name]],0),MATCH(CostStackCalcs_SME_1[[#Headers],[Jemena]],OP_Rates_SME_1[[#Headers],[Ausnet]:[United Energy]],0))*$D$48),0))
+
(IFERROR((INDEX(OP_RatesTU_SME_1[[Ausnet]:[United Energy]],MATCH("Block 1",OP_RatesTU_SME_1[[Rate name]:[Rate name]],0),MATCH(CostStackCalcs_SME_1[[#Headers],[Jemena]],OP_RatesTU_SME_1[[#Headers],[Ausnet]:[United Energy]],0))*($D$50/$I$52)),0)+
IFERROR((INDEX(OP_RatesTU_SME_1[[Ausnet]:[United Energy]],MATCH("Balance",OP_RatesTU_SME_1[[Rate name]:[Rate name]],0),MATCH(CostStackCalcs_SME_1[[#Headers],[Jemena]],OP_RatesTU_SME_1[[#Headers],[Ausnet]:[United Energy]],0))*($D$51/$I$52)),0)+
IFERROR((INDEX(OP_RatesTU_SME_1[[Ausnet]:[United Energy]],MATCH("Single rate",OP_RatesTU_SME_1[[Rate name]:[Rate name]],0),MATCH(CostStackCalcs_SME_1[[#Headers],[Jemena]],OP_RatesTU_SME_1[[#Headers],[Ausnet]:[United Energy]],0))*($D$48/$I$52)),0)),0))</f>
        <v>6768</v>
      </c>
      <c r="G66" s="75">
        <f>IF($D$32="Residential",
ROUNDUP(
(INDEX(OP_Rates_RES_1[[Ausnet]:[United Energy]],MATCH("Anytime - supply",OP_Rates_RES_1[[Rate name]:[Rate name]],0),MATCH(CostStackCalcs_RES_1[[#Headers],[Powercor]],OP_Rates_RES_1[[#Headers],[Ausnet]:[United Energy]],0))*DiY)+
(IFERROR((INDEX(OP_Rates_RES_1[[Ausnet]:[United Energy]],MATCH("Block 1",OP_Rates_RES_1[[Rate name]:[Rate name]],0),MATCH(CostStackCalcs_RES_1[[#Headers],[Powercor]],OP_Rates_RES_1[[#Headers],[Ausnet]:[United Energy]],0))*$D$50),0)+
IFERROR((INDEX(OP_Rates_RES_1[[Ausnet]:[United Energy]],MATCH("Balance",OP_Rates_RES_1[[Rate name]:[Rate name]],0),MATCH(CostStackCalcs_RES_1[[#Headers],[Powercor]],OP_Rates_RES_1[[#Headers],[Ausnet]:[United Energy]],0))*$D$51),0)+
IFERROR((INDEX(OP_Rates_RES_1[[Ausnet]:[United Energy]],MATCH("Single rate",OP_Rates_RES_1[[Rate name]:[Rate name]],0),MATCH(CostStackCalcs_RES_1[[#Headers],[Powercor]],OP_Rates_RES_1[[#Headers],[Ausnet]:[United Energy]],0))*$D$48),0))
+
(IFERROR((INDEX(OP_RatesTU_RES_1[[Ausnet]:[United Energy]],MATCH("Block 1",OP_RatesTU_RES_1[[Rate name]:[Rate name]],0),MATCH(CostStackCalcs_RES_1[[#Headers],[Powercor]],OP_RatesTU_RES_1[[#Headers],[Ausnet]:[United Energy]],0))*($D$50/$I$52)),0)+
IFERROR((INDEX(OP_RatesTU_RES_1[[Ausnet]:[United Energy]],MATCH("Balance",OP_RatesTU_RES_1[[Rate name]:[Rate name]],0),MATCH(CostStackCalcs_RES_1[[#Headers],[Powercor]],OP_RatesTU_RES_1[[#Headers],[Ausnet]:[United Energy]],0))*($D$51/$I$52)),0)+
IFERROR((INDEX(OP_RatesTU_RES_1[[Ausnet]:[United Energy]],MATCH("Single rate",OP_RatesTU_RES_1[[Rate name]:[Rate name]],0),MATCH(CostStackCalcs_RES_1[[#Headers],[Powercor]],OP_RatesTU_RES_1[[#Headers],[Ausnet]:[United Energy]],0))*($D$48/$I$52)),0)),0),
ROUNDUP(
(INDEX(OP_Rates_SME_1[[Ausnet]:[United Energy]],MATCH("Anytime - supply",OP_Rates_SME_1[[Rate name]:[Rate name]],0),MATCH(CostStackCalcs_SME_1[[#Headers],[Powercor]],OP_Rates_SME_1[[#Headers],[Ausnet]:[United Energy]],0))*DiY)+
(IFERROR((INDEX(OP_Rates_SME_1[[Ausnet]:[United Energy]],MATCH("Block 1",OP_Rates_SME_1[[Rate name]:[Rate name]],0),MATCH(CostStackCalcs_SME_1[[#Headers],[Powercor]],OP_Rates_SME_1[[#Headers],[Ausnet]:[United Energy]],0))*$D$50),0)+
IFERROR((INDEX(OP_Rates_SME_1[[Ausnet]:[United Energy]],MATCH("Balance",OP_Rates_SME_1[[Rate name]:[Rate name]],0),MATCH(CostStackCalcs_SME_1[[#Headers],[Powercor]],OP_Rates_SME_1[[#Headers],[Ausnet]:[United Energy]],0))*$D$51),0)+
IFERROR((INDEX(OP_Rates_SME_1[[Ausnet]:[United Energy]],MATCH("Single rate",OP_Rates_SME_1[[Rate name]:[Rate name]],0),MATCH(CostStackCalcs_SME_1[[#Headers],[Powercor]],OP_Rates_SME_1[[#Headers],[Ausnet]:[United Energy]],0))*$D$48),0))
+
(IFERROR((INDEX(OP_RatesTU_SME_1[[Ausnet]:[United Energy]],MATCH("Block 1",OP_RatesTU_SME_1[[Rate name]:[Rate name]],0),MATCH(CostStackCalcs_SME_1[[#Headers],[Powercor]],OP_RatesTU_SME_1[[#Headers],[Ausnet]:[United Energy]],0))*($D$50/$I$52)),0)+
IFERROR((INDEX(OP_RatesTU_SME_1[[Ausnet]:[United Energy]],MATCH("Balance",OP_RatesTU_SME_1[[Rate name]:[Rate name]],0),MATCH(CostStackCalcs_SME_1[[#Headers],[Powercor]],OP_RatesTU_SME_1[[#Headers],[Ausnet]:[United Energy]],0))*($D$51/$I$52)),0)+
IFERROR((INDEX(OP_RatesTU_SME_1[[Ausnet]:[United Energy]],MATCH("Single rate",OP_RatesTU_SME_1[[Rate name]:[Rate name]],0),MATCH(CostStackCalcs_SME_1[[#Headers],[Powercor]],OP_RatesTU_SME_1[[#Headers],[Ausnet]:[United Energy]],0))*($D$48/$I$52)),0)),0))</f>
        <v>6105</v>
      </c>
      <c r="H66" s="75">
        <f>IF($D$32="Residential",
ROUNDUP(
(INDEX(OP_Rates_RES_1[[Ausnet]:[United Energy]],MATCH("Anytime - supply",OP_Rates_RES_1[[Rate name]:[Rate name]],0),MATCH(CostStackCalcs_RES_1[[#Headers],[United Energy]],OP_Rates_RES_1[[#Headers],[Ausnet]:[United Energy]],0))*DiY)+
(IFERROR((INDEX(OP_Rates_RES_1[[Ausnet]:[United Energy]],MATCH("Block 1",OP_Rates_RES_1[[Rate name]:[Rate name]],0),MATCH(CostStackCalcs_RES_1[[#Headers],[United Energy]],OP_Rates_RES_1[[#Headers],[Ausnet]:[United Energy]],0))*$D$50),0)+
IFERROR((INDEX(OP_Rates_RES_1[[Ausnet]:[United Energy]],MATCH("Balance",OP_Rates_RES_1[[Rate name]:[Rate name]],0),MATCH(CostStackCalcs_RES_1[[#Headers],[United Energy]],OP_Rates_RES_1[[#Headers],[Ausnet]:[United Energy]],0))*$D$51),0)+
IFERROR((INDEX(OP_Rates_RES_1[[Ausnet]:[United Energy]],MATCH("Single rate",OP_Rates_RES_1[[Rate name]:[Rate name]],0),MATCH(CostStackCalcs_RES_1[[#Headers],[United Energy]],OP_Rates_RES_1[[#Headers],[Ausnet]:[United Energy]],0))*$D$48),0))
+
(IFERROR((INDEX(OP_RatesTU_RES_1[[Ausnet]:[United Energy]],MATCH("Block 1",OP_RatesTU_RES_1[[Rate name]:[Rate name]],0),MATCH(CostStackCalcs_RES_1[[#Headers],[United Energy]],OP_RatesTU_RES_1[[#Headers],[Ausnet]:[United Energy]],0))*($D$50/$I$52)),0)+
IFERROR((INDEX(OP_RatesTU_RES_1[[Ausnet]:[United Energy]],MATCH("Balance",OP_RatesTU_RES_1[[Rate name]:[Rate name]],0),MATCH(CostStackCalcs_RES_1[[#Headers],[United Energy]],OP_RatesTU_RES_1[[#Headers],[Ausnet]:[United Energy]],0))*($D$51/$I$52)),0)+
IFERROR((INDEX(OP_RatesTU_RES_1[[Ausnet]:[United Energy]],MATCH("Single rate",OP_RatesTU_RES_1[[Rate name]:[Rate name]],0),MATCH(CostStackCalcs_RES_1[[#Headers],[United Energy]],OP_RatesTU_RES_1[[#Headers],[Ausnet]:[United Energy]],0))*($D$48/$I$52)),0)),0),
ROUNDUP(
(INDEX(OP_Rates_SME_1[[Ausnet]:[United Energy]],MATCH("Anytime - supply",OP_Rates_SME_1[[Rate name]:[Rate name]],0),MATCH(CostStackCalcs_SME_1[[#Headers],[United Energy]],OP_Rates_SME_1[[#Headers],[Ausnet]:[United Energy]],0))*DiY)+
(IFERROR((INDEX(OP_Rates_SME_1[[Ausnet]:[United Energy]],MATCH("Block 1",OP_Rates_SME_1[[Rate name]:[Rate name]],0),MATCH(CostStackCalcs_SME_1[[#Headers],[United Energy]],OP_Rates_SME_1[[#Headers],[Ausnet]:[United Energy]],0))*$D$50),0)+
IFERROR((INDEX(OP_Rates_SME_1[[Ausnet]:[United Energy]],MATCH("Balance",OP_Rates_SME_1[[Rate name]:[Rate name]],0),MATCH(CostStackCalcs_SME_1[[#Headers],[United Energy]],OP_Rates_SME_1[[#Headers],[Ausnet]:[United Energy]],0))*$D$51),0)+
IFERROR((INDEX(OP_Rates_SME_1[[Ausnet]:[United Energy]],MATCH("Single rate",OP_Rates_SME_1[[Rate name]:[Rate name]],0),MATCH(CostStackCalcs_SME_1[[#Headers],[United Energy]],OP_Rates_SME_1[[#Headers],[Ausnet]:[United Energy]],0))*$D$48),0))
+
(IFERROR((INDEX(OP_RatesTU_SME_1[[Ausnet]:[United Energy]],MATCH("Block 1",OP_RatesTU_SME_1[[Rate name]:[Rate name]],0),MATCH(CostStackCalcs_SME_1[[#Headers],[United Energy]],OP_RatesTU_SME_1[[#Headers],[Ausnet]:[United Energy]],0))*($D$50/$I$52)),0)+
IFERROR((INDEX(OP_RatesTU_SME_1[[Ausnet]:[United Energy]],MATCH("Balance",OP_RatesTU_SME_1[[Rate name]:[Rate name]],0),MATCH(CostStackCalcs_SME_1[[#Headers],[United Energy]],OP_RatesTU_SME_1[[#Headers],[Ausnet]:[United Energy]],0))*($D$51/$I$52)),0)+
IFERROR((INDEX(OP_RatesTU_SME_1[[Ausnet]:[United Energy]],MATCH("Single rate",OP_RatesTU_SME_1[[Rate name]:[Rate name]],0),MATCH(CostStackCalcs_SME_1[[#Headers],[United Energy]],OP_RatesTU_SME_1[[#Headers],[Ausnet]:[United Energy]],0))*($D$48/$I$52)),0)),0))</f>
        <v>5891</v>
      </c>
      <c r="I66" s="75">
        <f>ROUND(AVERAGE(D66:H66),0)</f>
        <v>6544</v>
      </c>
      <c r="K66" s="18" t="s">
        <v>513</v>
      </c>
      <c r="L66" s="75">
        <f>IF($D$32="Residential",
ROUNDUP(
(INDEX(OP_Rates_RES_2[[Ausnet]:[United Energy]],MATCH("Anytime - supply",OP_Rates_RES_2[[Rate name]:[Rate name]],0),MATCH(CostStackCalcs_RES_2[[#Headers],[Ausnet]],OP_Rates_RES_2[[#Headers],[Ausnet]:[United Energy]],0))*DiPY)+
(IFERROR((INDEX(OP_Rates_RES_2[[Ausnet]:[United Energy]],MATCH("Block 1",OP_Rates_RES_2[[Rate name]:[Rate name]],0),MATCH(CostStackCalcs_RES_2[[#Headers],[Ausnet]],OP_Rates_RES_2[[#Headers],[Ausnet]:[United Energy]],0))*$L$50),0)+
IFERROR((INDEX(OP_Rates_RES_2[[Ausnet]:[United Energy]],MATCH("Balance",OP_Rates_RES_2[[Rate name]:[Rate name]],0),MATCH(CostStackCalcs_RES_2[[#Headers],[Ausnet]],OP_Rates_RES_2[[#Headers],[Ausnet]:[United Energy]],0))*$L$51),0)+
IFERROR((INDEX(OP_Rates_RES_2[[Ausnet]:[United Energy]],MATCH("Single rate",OP_Rates_RES_2[[Rate name]:[Rate name]],0),MATCH(CostStackCalcs_RES_2[[#Headers],[Ausnet]],OP_Rates_RES_2[[#Headers],[Ausnet]:[United Energy]],0))*$L$48),0))
+
(IFERROR((INDEX(OP_RatesTU_RES_2[[Ausnet]:[United Energy]],MATCH("Block 1",OP_RatesTU_RES_2[[Rate name]:[Rate name]],0),MATCH(CostStackCalcs_RES_2[[#Headers],[Ausnet]],OP_RatesTU_RES_2[[#Headers],[Ausnet]:[United Energy]],0))*($L$50/$Q$52)),0)+
IFERROR((INDEX(OP_RatesTU_RES_2[[Ausnet]:[United Energy]],MATCH("Balance",OP_RatesTU_RES_2[[Rate name]:[Rate name]],0),MATCH(CostStackCalcs_RES_2[[#Headers],[Ausnet]],OP_RatesTU_RES_2[[#Headers],[Ausnet]:[United Energy]],0))*($L$51/$Q$52)),0)+
IFERROR((INDEX(OP_RatesTU_RES_2[[Ausnet]:[United Energy]],MATCH("Single rate",OP_RatesTU_RES_2[[Rate name]:[Rate name]],0),MATCH(CostStackCalcs_RES_2[[#Headers],[Ausnet]],OP_RatesTU_RES_2[[#Headers],[Ausnet]:[United Energy]],0))*($L$48/$Q$52)),0)),0),ROUNDUP(
(INDEX(OP_Rates_SME_2[[Ausnet]:[United Energy]],MATCH("Anytime - supply",OP_Rates_SME_2[[Rate name]:[Rate name]],0),MATCH(CostStackCalcs_SME_2[[#Headers],[Ausnet]],OP_Rates_SME_2[[#Headers],[Ausnet]:[United Energy]],0))*DiPY)+
(IFERROR((INDEX(OP_Rates_SME_2[[Ausnet]:[United Energy]],MATCH("Block 1",OP_Rates_SME_2[[Rate name]:[Rate name]],0),MATCH(CostStackCalcs_SME_2[[#Headers],[Ausnet]],OP_Rates_SME_2[[#Headers],[Ausnet]:[United Energy]],0))*$L$50),0)+
IFERROR((INDEX(OP_Rates_SME_2[[Ausnet]:[United Energy]],MATCH("Balance",OP_Rates_SME_2[[Rate name]:[Rate name]],0),MATCH(CostStackCalcs_SME_2[[#Headers],[Ausnet]],OP_Rates_SME_2[[#Headers],[Ausnet]:[United Energy]],0))*$L$51),0)+
IFERROR((INDEX(OP_Rates_SME_2[[Ausnet]:[United Energy]],MATCH("Single rate",OP_Rates_SME_2[[Rate name]:[Rate name]],0),MATCH(CostStackCalcs_SME_2[[#Headers],[Ausnet]],OP_Rates_SME_2[[#Headers],[Ausnet]:[United Energy]],0))*$L$48),0))
+
(IFERROR((INDEX(OP_RatesTU_SME_2[[Ausnet]:[United Energy]],MATCH("Block 1",OP_RatesTU_SME_2[[Rate name]:[Rate name]],0),MATCH(CostStackCalcs_SME_2[[#Headers],[Ausnet]],OP_RatesTU_SME_2[[#Headers],[Ausnet]:[United Energy]],0))*($L$50/$Q$52)),0)+
IFERROR((INDEX(OP_RatesTU_SME_2[[Ausnet]:[United Energy]],MATCH("Balance",OP_RatesTU_SME_2[[Rate name]:[Rate name]],0),MATCH(CostStackCalcs_SME_2[[#Headers],[Ausnet]],OP_RatesTU_SME_2[[#Headers],[Ausnet]:[United Energy]],0))*($L$51/$Q$52)),0)+
IFERROR((INDEX(OP_RatesTU_SME_2[[Ausnet]:[United Energy]],MATCH("Single rate",OP_RatesTU_SME_2[[Rate name]:[Rate name]],0),MATCH(CostStackCalcs_SME_2[[#Headers],[Ausnet]],OP_RatesTU_SME_2[[#Headers],[Ausnet]:[United Energy]],0))*($L$48/$Q$52)),0)),0))</f>
        <v>9156</v>
      </c>
      <c r="M66" s="75">
        <f>IF($D$32="Residential",
ROUNDUP(
(INDEX(OP_Rates_RES_2[[Ausnet]:[United Energy]],MATCH("Anytime - supply",OP_Rates_RES_2[[Rate name]:[Rate name]],0),MATCH(CostStackCalcs_RES_2[[#Headers],[Citipower]],OP_Rates_RES_2[[#Headers],[Ausnet]:[United Energy]],0))*DiPY)+
(IFERROR((INDEX(OP_Rates_RES_2[[Ausnet]:[United Energy]],MATCH("Block 1",OP_Rates_RES_2[[Rate name]:[Rate name]],0),MATCH(CostStackCalcs_RES_2[[#Headers],[Citipower]],OP_Rates_RES_2[[#Headers],[Ausnet]:[United Energy]],0))*$L$50),0)+
IFERROR((INDEX(OP_Rates_RES_2[[Ausnet]:[United Energy]],MATCH("Balance",OP_Rates_RES_2[[Rate name]:[Rate name]],0),MATCH(CostStackCalcs_RES_2[[#Headers],[Citipower]],OP_Rates_RES_2[[#Headers],[Ausnet]:[United Energy]],0))*$L$51),0)+
IFERROR((INDEX(OP_Rates_RES_2[[Ausnet]:[United Energy]],MATCH("Single rate",OP_Rates_RES_2[[Rate name]:[Rate name]],0),MATCH(CostStackCalcs_RES_2[[#Headers],[Citipower]],OP_Rates_RES_2[[#Headers],[Ausnet]:[United Energy]],0))*$L$48),0))
+
(IFERROR((INDEX(OP_RatesTU_RES_2[[Ausnet]:[United Energy]],MATCH("Block 1",OP_RatesTU_RES_2[[Rate name]:[Rate name]],0),MATCH(CostStackCalcs_RES_2[[#Headers],[Citipower]],OP_RatesTU_RES_2[[#Headers],[Ausnet]:[United Energy]],0))*($L$50/$Q$52)),0)+
IFERROR((INDEX(OP_RatesTU_RES_2[[Ausnet]:[United Energy]],MATCH("Balance",OP_RatesTU_RES_2[[Rate name]:[Rate name]],0),MATCH(CostStackCalcs_RES_2[[#Headers],[Citipower]],OP_RatesTU_RES_2[[#Headers],[Ausnet]:[United Energy]],0))*($L$51/$Q$52)),0)+
IFERROR((INDEX(OP_RatesTU_RES_2[[Ausnet]:[United Energy]],MATCH("Single rate",OP_RatesTU_RES_2[[Rate name]:[Rate name]],0),MATCH(CostStackCalcs_RES_2[[#Headers],[Citipower]],OP_RatesTU_RES_2[[#Headers],[Ausnet]:[United Energy]],0))*($L$48/$Q$52)),0)),0),ROUNDUP(
(INDEX(OP_Rates_SME_2[[Ausnet]:[United Energy]],MATCH("Anytime - supply",OP_Rates_SME_2[[Rate name]:[Rate name]],0),MATCH(CostStackCalcs_SME_2[[#Headers],[Citipower]],OP_Rates_SME_2[[#Headers],[Ausnet]:[United Energy]],0))*DiPY)+
(IFERROR((INDEX(OP_Rates_SME_2[[Ausnet]:[United Energy]],MATCH("Block 1",OP_Rates_SME_2[[Rate name]:[Rate name]],0),MATCH(CostStackCalcs_SME_2[[#Headers],[Citipower]],OP_Rates_SME_2[[#Headers],[Ausnet]:[United Energy]],0))*$L$50),0)+
IFERROR((INDEX(OP_Rates_SME_2[[Ausnet]:[United Energy]],MATCH("Balance",OP_Rates_SME_2[[Rate name]:[Rate name]],0),MATCH(CostStackCalcs_SME_2[[#Headers],[Citipower]],OP_Rates_SME_2[[#Headers],[Ausnet]:[United Energy]],0))*$L$51),0)+
IFERROR((INDEX(OP_Rates_SME_2[[Ausnet]:[United Energy]],MATCH("Single rate",OP_Rates_SME_2[[Rate name]:[Rate name]],0),MATCH(CostStackCalcs_SME_2[[#Headers],[Citipower]],OP_Rates_SME_2[[#Headers],[Ausnet]:[United Energy]],0))*$L$48),0))
+
(IFERROR((INDEX(OP_RatesTU_SME_2[[Ausnet]:[United Energy]],MATCH("Block 1",OP_RatesTU_SME_2[[Rate name]:[Rate name]],0),MATCH(CostStackCalcs_SME_2[[#Headers],[Citipower]],OP_RatesTU_SME_2[[#Headers],[Ausnet]:[United Energy]],0))*($L$50/$Q$52)),0)+
IFERROR((INDEX(OP_RatesTU_SME_2[[Ausnet]:[United Energy]],MATCH("Balance",OP_RatesTU_SME_2[[Rate name]:[Rate name]],0),MATCH(CostStackCalcs_SME_2[[#Headers],[Citipower]],OP_RatesTU_SME_2[[#Headers],[Ausnet]:[United Energy]],0))*($L$51/$Q$52)),0)+
IFERROR((INDEX(OP_RatesTU_SME_2[[Ausnet]:[United Energy]],MATCH("Single rate",OP_RatesTU_SME_2[[Rate name]:[Rate name]],0),MATCH(CostStackCalcs_SME_2[[#Headers],[Citipower]],OP_RatesTU_SME_2[[#Headers],[Ausnet]:[United Energy]],0))*($L$48/$Q$52)),0)),0))</f>
        <v>6159</v>
      </c>
      <c r="N66" s="75">
        <f>IF($D$32="Residential",
ROUNDUP(
(INDEX(OP_Rates_RES_2[[Ausnet]:[United Energy]],MATCH("Anytime - supply",OP_Rates_RES_2[[Rate name]:[Rate name]],0),MATCH(CostStackCalcs_RES_2[[#Headers],[Jemena]],OP_Rates_RES_2[[#Headers],[Ausnet]:[United Energy]],0))*DiPY)+
(IFERROR((INDEX(OP_Rates_RES_2[[Ausnet]:[United Energy]],MATCH("Block 1",OP_Rates_RES_2[[Rate name]:[Rate name]],0),MATCH(CostStackCalcs_RES_2[[#Headers],[Jemena]],OP_Rates_RES_2[[#Headers],[Ausnet]:[United Energy]],0))*$L$50),0)+
IFERROR((INDEX(OP_Rates_RES_2[[Ausnet]:[United Energy]],MATCH("Balance",OP_Rates_RES_2[[Rate name]:[Rate name]],0),MATCH(CostStackCalcs_RES_2[[#Headers],[Jemena]],OP_Rates_RES_2[[#Headers],[Ausnet]:[United Energy]],0))*$L$51),0)+
IFERROR((INDEX(OP_Rates_RES_2[[Ausnet]:[United Energy]],MATCH("Single rate",OP_Rates_RES_2[[Rate name]:[Rate name]],0),MATCH(CostStackCalcs_RES_2[[#Headers],[Jemena]],OP_Rates_RES_2[[#Headers],[Ausnet]:[United Energy]],0))*$L$48),0))
+
(IFERROR((INDEX(OP_RatesTU_RES_2[[Ausnet]:[United Energy]],MATCH("Block 1",OP_RatesTU_RES_2[[Rate name]:[Rate name]],0),MATCH(CostStackCalcs_RES_2[[#Headers],[Jemena]],OP_RatesTU_RES_2[[#Headers],[Ausnet]:[United Energy]],0))*($L$50/$Q$52)),0)+
IFERROR((INDEX(OP_RatesTU_RES_2[[Ausnet]:[United Energy]],MATCH("Balance",OP_RatesTU_RES_2[[Rate name]:[Rate name]],0),MATCH(CostStackCalcs_RES_2[[#Headers],[Jemena]],OP_RatesTU_RES_2[[#Headers],[Ausnet]:[United Energy]],0))*($L$51/$Q$52)),0)+
IFERROR((INDEX(OP_RatesTU_RES_2[[Ausnet]:[United Energy]],MATCH("Single rate",OP_RatesTU_RES_2[[Rate name]:[Rate name]],0),MATCH(CostStackCalcs_RES_2[[#Headers],[Jemena]],OP_RatesTU_RES_2[[#Headers],[Ausnet]:[United Energy]],0))*($L$48/$Q$52)),0)),0),ROUNDUP(
(INDEX(OP_Rates_SME_2[[Ausnet]:[United Energy]],MATCH("Anytime - supply",OP_Rates_SME_2[[Rate name]:[Rate name]],0),MATCH(CostStackCalcs_SME_2[[#Headers],[Jemena]],OP_Rates_SME_2[[#Headers],[Ausnet]:[United Energy]],0))*DiPY)+
(IFERROR((INDEX(OP_Rates_SME_2[[Ausnet]:[United Energy]],MATCH("Block 1",OP_Rates_SME_2[[Rate name]:[Rate name]],0),MATCH(CostStackCalcs_SME_2[[#Headers],[Jemena]],OP_Rates_SME_2[[#Headers],[Ausnet]:[United Energy]],0))*$L$50),0)+
IFERROR((INDEX(OP_Rates_SME_2[[Ausnet]:[United Energy]],MATCH("Balance",OP_Rates_SME_2[[Rate name]:[Rate name]],0),MATCH(CostStackCalcs_SME_2[[#Headers],[Jemena]],OP_Rates_SME_2[[#Headers],[Ausnet]:[United Energy]],0))*$L$51),0)+
IFERROR((INDEX(OP_Rates_SME_2[[Ausnet]:[United Energy]],MATCH("Single rate",OP_Rates_SME_2[[Rate name]:[Rate name]],0),MATCH(CostStackCalcs_SME_2[[#Headers],[Jemena]],OP_Rates_SME_2[[#Headers],[Ausnet]:[United Energy]],0))*$L$48),0))
+
(IFERROR((INDEX(OP_RatesTU_SME_2[[Ausnet]:[United Energy]],MATCH("Block 1",OP_RatesTU_SME_2[[Rate name]:[Rate name]],0),MATCH(CostStackCalcs_SME_2[[#Headers],[Jemena]],OP_RatesTU_SME_2[[#Headers],[Ausnet]:[United Energy]],0))*($L$50/$Q$52)),0)+
IFERROR((INDEX(OP_RatesTU_SME_2[[Ausnet]:[United Energy]],MATCH("Balance",OP_RatesTU_SME_2[[Rate name]:[Rate name]],0),MATCH(CostStackCalcs_SME_2[[#Headers],[Jemena]],OP_RatesTU_SME_2[[#Headers],[Ausnet]:[United Energy]],0))*($L$51/$Q$52)),0)+
IFERROR((INDEX(OP_RatesTU_SME_2[[Ausnet]:[United Energy]],MATCH("Single rate",OP_RatesTU_SME_2[[Rate name]:[Rate name]],0),MATCH(CostStackCalcs_SME_2[[#Headers],[Jemena]],OP_RatesTU_SME_2[[#Headers],[Ausnet]:[United Energy]],0))*($L$48/$Q$52)),0)),0))</f>
        <v>7093</v>
      </c>
      <c r="O66" s="75">
        <f>IF($D$32="Residential",
ROUNDUP(
(INDEX(OP_Rates_RES_2[[Ausnet]:[United Energy]],MATCH("Anytime - supply",OP_Rates_RES_2[[Rate name]:[Rate name]],0),MATCH(CostStackCalcs_RES_2[[#Headers],[Powercor]],OP_Rates_RES_2[[#Headers],[Ausnet]:[United Energy]],0))*DiPY)+
(IFERROR((INDEX(OP_Rates_RES_2[[Ausnet]:[United Energy]],MATCH("Block 1",OP_Rates_RES_2[[Rate name]:[Rate name]],0),MATCH(CostStackCalcs_RES_2[[#Headers],[Powercor]],OP_Rates_RES_2[[#Headers],[Ausnet]:[United Energy]],0))*$L$50),0)+
IFERROR((INDEX(OP_Rates_RES_2[[Ausnet]:[United Energy]],MATCH("Balance",OP_Rates_RES_2[[Rate name]:[Rate name]],0),MATCH(CostStackCalcs_RES_2[[#Headers],[Powercor]],OP_Rates_RES_2[[#Headers],[Ausnet]:[United Energy]],0))*$L$51),0)+
IFERROR((INDEX(OP_Rates_RES_2[[Ausnet]:[United Energy]],MATCH("Single rate",OP_Rates_RES_2[[Rate name]:[Rate name]],0),MATCH(CostStackCalcs_RES_2[[#Headers],[Powercor]],OP_Rates_RES_2[[#Headers],[Ausnet]:[United Energy]],0))*$L$48),0))
+
(IFERROR((INDEX(OP_RatesTU_RES_2[[Ausnet]:[United Energy]],MATCH("Block 1",OP_RatesTU_RES_2[[Rate name]:[Rate name]],0),MATCH(CostStackCalcs_RES_2[[#Headers],[Powercor]],OP_RatesTU_RES_2[[#Headers],[Ausnet]:[United Energy]],0))*($L$50/$Q$52)),0)+
IFERROR((INDEX(OP_RatesTU_RES_2[[Ausnet]:[United Energy]],MATCH("Balance",OP_RatesTU_RES_2[[Rate name]:[Rate name]],0),MATCH(CostStackCalcs_RES_2[[#Headers],[Powercor]],OP_RatesTU_RES_2[[#Headers],[Ausnet]:[United Energy]],0))*($L$51/$Q$52)),0)+
IFERROR((INDEX(OP_RatesTU_RES_2[[Ausnet]:[United Energy]],MATCH("Single rate",OP_RatesTU_RES_2[[Rate name]:[Rate name]],0),MATCH(CostStackCalcs_RES_2[[#Headers],[Powercor]],OP_RatesTU_RES_2[[#Headers],[Ausnet]:[United Energy]],0))*($L$48/$Q$52)),0)),0),ROUNDUP(
(INDEX(OP_Rates_SME_2[[Ausnet]:[United Energy]],MATCH("Anytime - supply",OP_Rates_SME_2[[Rate name]:[Rate name]],0),MATCH(CostStackCalcs_SME_2[[#Headers],[Powercor]],OP_Rates_SME_2[[#Headers],[Ausnet]:[United Energy]],0))*DiPY)+
(IFERROR((INDEX(OP_Rates_SME_2[[Ausnet]:[United Energy]],MATCH("Block 1",OP_Rates_SME_2[[Rate name]:[Rate name]],0),MATCH(CostStackCalcs_SME_2[[#Headers],[Powercor]],OP_Rates_SME_2[[#Headers],[Ausnet]:[United Energy]],0))*$L$50),0)+
IFERROR((INDEX(OP_Rates_SME_2[[Ausnet]:[United Energy]],MATCH("Balance",OP_Rates_SME_2[[Rate name]:[Rate name]],0),MATCH(CostStackCalcs_SME_2[[#Headers],[Powercor]],OP_Rates_SME_2[[#Headers],[Ausnet]:[United Energy]],0))*$L$51),0)+
IFERROR((INDEX(OP_Rates_SME_2[[Ausnet]:[United Energy]],MATCH("Single rate",OP_Rates_SME_2[[Rate name]:[Rate name]],0),MATCH(CostStackCalcs_SME_2[[#Headers],[Powercor]],OP_Rates_SME_2[[#Headers],[Ausnet]:[United Energy]],0))*$L$48),0))
+
(IFERROR((INDEX(OP_RatesTU_SME_2[[Ausnet]:[United Energy]],MATCH("Block 1",OP_RatesTU_SME_2[[Rate name]:[Rate name]],0),MATCH(CostStackCalcs_SME_2[[#Headers],[Powercor]],OP_RatesTU_SME_2[[#Headers],[Ausnet]:[United Energy]],0))*($L$50/$Q$52)),0)+
IFERROR((INDEX(OP_RatesTU_SME_2[[Ausnet]:[United Energy]],MATCH("Balance",OP_RatesTU_SME_2[[Rate name]:[Rate name]],0),MATCH(CostStackCalcs_SME_2[[#Headers],[Powercor]],OP_RatesTU_SME_2[[#Headers],[Ausnet]:[United Energy]],0))*($L$51/$Q$52)),0)+
IFERROR((INDEX(OP_RatesTU_SME_2[[Ausnet]:[United Energy]],MATCH("Single rate",OP_RatesTU_SME_2[[Rate name]:[Rate name]],0),MATCH(CostStackCalcs_SME_2[[#Headers],[Powercor]],OP_RatesTU_SME_2[[#Headers],[Ausnet]:[United Energy]],0))*($L$48/$Q$52)),0)),0))</f>
        <v>6646</v>
      </c>
      <c r="P66" s="75">
        <f>IF($D$32="Residential",
ROUNDUP(
(INDEX(OP_Rates_RES_2[[Ausnet]:[United Energy]],MATCH("Anytime - supply",OP_Rates_RES_2[[Rate name]:[Rate name]],0),MATCH(CostStackCalcs_RES_2[[#Headers],[United Energy]],OP_Rates_RES_2[[#Headers],[Ausnet]:[United Energy]],0))*DiPY)+
(IFERROR((INDEX(OP_Rates_RES_2[[Ausnet]:[United Energy]],MATCH("Block 1",OP_Rates_RES_2[[Rate name]:[Rate name]],0),MATCH(CostStackCalcs_RES_2[[#Headers],[United Energy]],OP_Rates_RES_2[[#Headers],[Ausnet]:[United Energy]],0))*$L$50),0)+
IFERROR((INDEX(OP_Rates_RES_2[[Ausnet]:[United Energy]],MATCH("Balance",OP_Rates_RES_2[[Rate name]:[Rate name]],0),MATCH(CostStackCalcs_RES_2[[#Headers],[United Energy]],OP_Rates_RES_2[[#Headers],[Ausnet]:[United Energy]],0))*$L$51),0)+
IFERROR((INDEX(OP_Rates_RES_2[[Ausnet]:[United Energy]],MATCH("Single rate",OP_Rates_RES_2[[Rate name]:[Rate name]],0),MATCH(CostStackCalcs_RES_2[[#Headers],[United Energy]],OP_Rates_RES_2[[#Headers],[Ausnet]:[United Energy]],0))*$L$48),0))
+
(IFERROR((INDEX(OP_RatesTU_RES_2[[Ausnet]:[United Energy]],MATCH("Block 1",OP_RatesTU_RES_2[[Rate name]:[Rate name]],0),MATCH(CostStackCalcs_RES_2[[#Headers],[United Energy]],OP_RatesTU_RES_2[[#Headers],[Ausnet]:[United Energy]],0))*($L$50/$Q$52)),0)+
IFERROR((INDEX(OP_RatesTU_RES_2[[Ausnet]:[United Energy]],MATCH("Balance",OP_RatesTU_RES_2[[Rate name]:[Rate name]],0),MATCH(CostStackCalcs_RES_2[[#Headers],[United Energy]],OP_RatesTU_RES_2[[#Headers],[Ausnet]:[United Energy]],0))*($L$51/$Q$52)),0)+
IFERROR((INDEX(OP_RatesTU_RES_2[[Ausnet]:[United Energy]],MATCH("Single rate",OP_RatesTU_RES_2[[Rate name]:[Rate name]],0),MATCH(CostStackCalcs_RES_2[[#Headers],[United Energy]],OP_RatesTU_RES_2[[#Headers],[Ausnet]:[United Energy]],0))*($L$48/$Q$52)),0)),0),ROUNDUP(
(INDEX(OP_Rates_SME_2[[Ausnet]:[United Energy]],MATCH("Anytime - supply",OP_Rates_SME_2[[Rate name]:[Rate name]],0),MATCH(CostStackCalcs_SME_2[[#Headers],[United Energy]],OP_Rates_SME_2[[#Headers],[Ausnet]:[United Energy]],0))*DiPY)+
(IFERROR((INDEX(OP_Rates_SME_2[[Ausnet]:[United Energy]],MATCH("Block 1",OP_Rates_SME_2[[Rate name]:[Rate name]],0),MATCH(CostStackCalcs_SME_2[[#Headers],[United Energy]],OP_Rates_SME_2[[#Headers],[Ausnet]:[United Energy]],0))*$L$50),0)+
IFERROR((INDEX(OP_Rates_SME_2[[Ausnet]:[United Energy]],MATCH("Balance",OP_Rates_SME_2[[Rate name]:[Rate name]],0),MATCH(CostStackCalcs_SME_2[[#Headers],[United Energy]],OP_Rates_SME_2[[#Headers],[Ausnet]:[United Energy]],0))*$L$51),0)+
IFERROR((INDEX(OP_Rates_SME_2[[Ausnet]:[United Energy]],MATCH("Single rate",OP_Rates_SME_2[[Rate name]:[Rate name]],0),MATCH(CostStackCalcs_SME_2[[#Headers],[United Energy]],OP_Rates_SME_2[[#Headers],[Ausnet]:[United Energy]],0))*$L$48),0))
+
(IFERROR((INDEX(OP_RatesTU_SME_2[[Ausnet]:[United Energy]],MATCH("Block 1",OP_RatesTU_SME_2[[Rate name]:[Rate name]],0),MATCH(CostStackCalcs_SME_2[[#Headers],[United Energy]],OP_RatesTU_SME_2[[#Headers],[Ausnet]:[United Energy]],0))*($L$50/$Q$52)),0)+
IFERROR((INDEX(OP_RatesTU_SME_2[[Ausnet]:[United Energy]],MATCH("Balance",OP_RatesTU_SME_2[[Rate name]:[Rate name]],0),MATCH(CostStackCalcs_SME_2[[#Headers],[United Energy]],OP_RatesTU_SME_2[[#Headers],[Ausnet]:[United Energy]],0))*($L$51/$Q$52)),0)+
IFERROR((INDEX(OP_RatesTU_SME_2[[Ausnet]:[United Energy]],MATCH("Single rate",OP_RatesTU_SME_2[[Rate name]:[Rate name]],0),MATCH(CostStackCalcs_SME_2[[#Headers],[United Energy]],OP_RatesTU_SME_2[[#Headers],[Ausnet]:[United Energy]],0))*($L$48/$Q$52)),0)),0))</f>
        <v>6511</v>
      </c>
      <c r="Q66" s="75">
        <f>ROUND(AVERAGE(L66:P66),0)</f>
        <v>7113</v>
      </c>
    </row>
    <row r="67" spans="3:24" outlineLevel="1" x14ac:dyDescent="0.25"/>
    <row r="68" spans="3:24" ht="15.75" outlineLevel="1" x14ac:dyDescent="0.25">
      <c r="C68" s="78" t="s">
        <v>16</v>
      </c>
      <c r="D68" s="68">
        <f t="shared" ref="D68:I68" si="5">IF(AND(D66-D64&lt;=1,D66-D64&gt;=-1),0,1)</f>
        <v>0</v>
      </c>
      <c r="E68" s="68">
        <f t="shared" si="5"/>
        <v>0</v>
      </c>
      <c r="F68" s="68">
        <f t="shared" si="5"/>
        <v>0</v>
      </c>
      <c r="G68" s="68">
        <f t="shared" si="5"/>
        <v>0</v>
      </c>
      <c r="H68" s="68">
        <f t="shared" si="5"/>
        <v>0</v>
      </c>
      <c r="I68" s="68">
        <f t="shared" si="5"/>
        <v>0</v>
      </c>
      <c r="K68" s="78" t="s">
        <v>16</v>
      </c>
      <c r="L68" s="68">
        <f t="shared" ref="L68:Q68" si="6">IF(AND(L66-L64&lt;=1,L66-L64&gt;=-1),0,1)</f>
        <v>0</v>
      </c>
      <c r="M68" s="68">
        <f t="shared" si="6"/>
        <v>0</v>
      </c>
      <c r="N68" s="68">
        <f t="shared" si="6"/>
        <v>0</v>
      </c>
      <c r="O68" s="68">
        <f t="shared" si="6"/>
        <v>0</v>
      </c>
      <c r="P68" s="68">
        <f t="shared" si="6"/>
        <v>0</v>
      </c>
      <c r="Q68" s="68">
        <f t="shared" si="6"/>
        <v>0</v>
      </c>
    </row>
    <row r="69" spans="3:24" outlineLevel="1" x14ac:dyDescent="0.25">
      <c r="T69" s="62"/>
    </row>
    <row r="70" spans="3:24" ht="15.75" outlineLevel="1" x14ac:dyDescent="0.25">
      <c r="C70" s="31" t="s">
        <v>258</v>
      </c>
      <c r="D70" s="72">
        <f>INDEX(Input_ForRateCalc[],MATCH($C70,Input_ForRateCalc[[Cost item]:[Cost item]],0),MATCH($D$45,Inputs!$C$15:$AZ$15,0))</f>
        <v>5.6000000000000001E-2</v>
      </c>
      <c r="E70" s="72">
        <f>INDEX(Input_ForRateCalc[],MATCH($C70,Input_ForRateCalc[[Cost item]:[Cost item]],0),MATCH($D$45,Inputs!$C$15:$AZ$15,0))</f>
        <v>5.6000000000000001E-2</v>
      </c>
      <c r="F70" s="72">
        <f>INDEX(Input_ForRateCalc[],MATCH($C70,Input_ForRateCalc[[Cost item]:[Cost item]],0),MATCH($D$45,Inputs!$C$15:$AZ$15,0))</f>
        <v>5.6000000000000001E-2</v>
      </c>
      <c r="G70" s="72">
        <f>INDEX(Input_ForRateCalc[],MATCH($C70,Input_ForRateCalc[[Cost item]:[Cost item]],0),MATCH($D$45,Inputs!$C$15:$AZ$15,0))</f>
        <v>5.6000000000000001E-2</v>
      </c>
      <c r="H70" s="72">
        <f>INDEX(Input_ForRateCalc[],MATCH($C70,Input_ForRateCalc[[Cost item]:[Cost item]],0),MATCH($D$45,Inputs!$C$15:$AZ$15,0))</f>
        <v>5.6000000000000001E-2</v>
      </c>
      <c r="K70" s="31" t="s">
        <v>258</v>
      </c>
      <c r="L70" s="72">
        <f>INDEX(Input_ForRateCalc[],MATCH($K70,Input_ForRateCalc[[Cost item]:[Cost item]],0),MATCH($L$45,Inputs!$C$15:$AZ$15,0))</f>
        <v>5.6000000000000001E-2</v>
      </c>
      <c r="M70" s="72">
        <f>INDEX(Input_ForRateCalc[],MATCH($K70,Input_ForRateCalc[[Cost item]:[Cost item]],0),MATCH($L$45,Inputs!$C$15:$AZ$15,0))</f>
        <v>5.6000000000000001E-2</v>
      </c>
      <c r="N70" s="72">
        <f>INDEX(Input_ForRateCalc[],MATCH($K70,Input_ForRateCalc[[Cost item]:[Cost item]],0),MATCH($L$45,Inputs!$C$15:$AZ$15,0))</f>
        <v>5.6000000000000001E-2</v>
      </c>
      <c r="O70" s="72">
        <f>INDEX(Input_ForRateCalc[],MATCH($K70,Input_ForRateCalc[[Cost item]:[Cost item]],0),MATCH($L$45,Inputs!$C$15:$AZ$15,0))</f>
        <v>5.6000000000000001E-2</v>
      </c>
      <c r="P70" s="72">
        <f>INDEX(Input_ForRateCalc[],MATCH($K70,Input_ForRateCalc[[Cost item]:[Cost item]],0),MATCH($L$45,Inputs!$C$15:$AZ$15,0))</f>
        <v>5.6000000000000001E-2</v>
      </c>
      <c r="U70" s="85"/>
    </row>
    <row r="71" spans="3:24" outlineLevel="1" x14ac:dyDescent="0.25">
      <c r="U71" s="84"/>
    </row>
    <row r="72" spans="3:24" ht="15.75" outlineLevel="1" x14ac:dyDescent="0.25">
      <c r="C72" s="31" t="s">
        <v>366</v>
      </c>
      <c r="D72" s="72">
        <f>INDEX(Calc_Losses_1[[Ausnet]:[United Energy]],MATCH("Total loss factor",Calc_Losses_1[Cost item],0),MATCH(D$54,Calc_Losses_1[[#Headers],[Ausnet]:[United Energy]],0))</f>
        <v>8.5432100000000011E-2</v>
      </c>
      <c r="E72" s="72">
        <f>INDEX(Calc_Losses_1[[Ausnet]:[United Energy]],MATCH("Total loss factor",Calc_Losses_1[Cost item],0),MATCH(E$54,Calc_Losses_1[[#Headers],[Ausnet]:[United Energy]],0))</f>
        <v>4.4999999999999929E-2</v>
      </c>
      <c r="F72" s="72">
        <f>INDEX(Calc_Losses_1[[Ausnet]:[United Energy]],MATCH("Total loss factor",Calc_Losses_1[Cost item],0),MATCH(F$54,Calc_Losses_1[[#Headers],[Ausnet]:[United Energy]],0))</f>
        <v>4.5326819999999879E-2</v>
      </c>
      <c r="G72" s="72">
        <f>INDEX(Calc_Losses_1[[Ausnet]:[United Energy]],MATCH("Total loss factor",Calc_Losses_1[Cost item],0),MATCH(G$54,Calc_Losses_1[[#Headers],[Ausnet]:[United Energy]],0))</f>
        <v>7.165240000000006E-2</v>
      </c>
      <c r="H72" s="72">
        <f>INDEX(Calc_Losses_1[[Ausnet]:[United Energy]],MATCH("Total loss factor",Calc_Losses_1[Cost item],0),MATCH(H$54,Calc_Losses_1[[#Headers],[Ausnet]:[United Energy]],0))</f>
        <v>4.6937210000000062E-2</v>
      </c>
      <c r="K72" s="31" t="s">
        <v>366</v>
      </c>
      <c r="L72" s="72">
        <f>INDEX(Calc_Losses_2[[Ausnet]:[United Energy]],MATCH("Total loss factor",Calc_Losses_2[Cost item],0),MATCH(L$54,Calc_Losses_2[[#Headers],[Ausnet]:[United Energy]],0))</f>
        <v>8.5419688344982481E-2</v>
      </c>
      <c r="M72" s="72">
        <f>INDEX(Calc_Losses_2[[Ausnet]:[United Energy]],MATCH("Total loss factor",Calc_Losses_2[Cost item],0),MATCH(M$54,Calc_Losses_2[[#Headers],[Ausnet]:[United Energy]],0))</f>
        <v>4.4989549999999934E-2</v>
      </c>
      <c r="N72" s="72">
        <f>INDEX(Calc_Losses_2[[Ausnet]:[United Energy]],MATCH("Total loss factor",Calc_Losses_2[Cost item],0),MATCH(N$54,Calc_Losses_2[[#Headers],[Ausnet]:[United Energy]],0))</f>
        <v>4.5352937499999912E-2</v>
      </c>
      <c r="O72" s="72">
        <f>INDEX(Calc_Losses_2[[Ausnet]:[United Energy]],MATCH("Total loss factor",Calc_Losses_2[Cost item],0),MATCH(O$54,Calc_Losses_2[[#Headers],[Ausnet]:[United Energy]],0))</f>
        <v>7.1431145265919538E-2</v>
      </c>
      <c r="P72" s="72">
        <f>INDEX(Calc_Losses_2[[Ausnet]:[United Energy]],MATCH("Total loss factor",Calc_Losses_2[Cost item],0),MATCH(P$54,Calc_Losses_2[[#Headers],[Ausnet]:[United Energy]],0))</f>
        <v>4.6946740000000098E-2</v>
      </c>
    </row>
    <row r="73" spans="3:24" outlineLevel="1" x14ac:dyDescent="0.25">
      <c r="U73" s="143"/>
    </row>
    <row r="74" spans="3:24" ht="15.75" outlineLevel="1" x14ac:dyDescent="0.25">
      <c r="C74" s="24" t="s">
        <v>522</v>
      </c>
      <c r="K74" s="24" t="s">
        <v>522</v>
      </c>
    </row>
    <row r="75" spans="3:24" ht="15.75" outlineLevel="1" x14ac:dyDescent="0.25">
      <c r="C75" s="31" t="s">
        <v>523</v>
      </c>
      <c r="D75" s="73">
        <f>SUM(Calc_Retail_1[Ausnet])</f>
        <v>187.59415017239178</v>
      </c>
      <c r="E75" s="73">
        <f>SUM(Calc_Retail_1[Citipower])</f>
        <v>187.59415017239178</v>
      </c>
      <c r="F75" s="73">
        <f>SUM(Calc_Retail_1[Jemena])</f>
        <v>187.59415017239178</v>
      </c>
      <c r="G75" s="73">
        <f>SUM(Calc_Retail_1[Powercor])</f>
        <v>187.59415017239178</v>
      </c>
      <c r="H75" s="73">
        <f>SUM(Calc_Retail_1[United Energy])</f>
        <v>187.59415017239178</v>
      </c>
      <c r="K75" s="31" t="s">
        <v>523</v>
      </c>
      <c r="L75" s="73">
        <f>SUM(Calc_Retail_2[Ausnet])</f>
        <v>175.92415101117138</v>
      </c>
      <c r="M75" s="73">
        <f>SUM(Calc_Retail_2[Citipower])</f>
        <v>175.92415101117138</v>
      </c>
      <c r="N75" s="73">
        <f>SUM(Calc_Retail_2[Jemena])</f>
        <v>175.92415101117138</v>
      </c>
      <c r="O75" s="73">
        <f>SUM(Calc_Retail_2[Powercor])</f>
        <v>175.92415101117138</v>
      </c>
      <c r="P75" s="73">
        <f>SUM(Calc_Retail_2[United Energy])</f>
        <v>175.92415101117138</v>
      </c>
    </row>
    <row r="76" spans="3:24" outlineLevel="1" x14ac:dyDescent="0.25">
      <c r="T76" s="62"/>
      <c r="V76" s="80"/>
    </row>
    <row r="77" spans="3:24" ht="15.75" outlineLevel="1" x14ac:dyDescent="0.25">
      <c r="C77" s="31" t="s">
        <v>524</v>
      </c>
      <c r="D77" s="73">
        <f>INDEX(Calc_NetworkF_1[[Ausnet]:[United Energy]],MATCH("Metering",Calc_NetworkF_1[[Cost item]:[Cost item]],0),MATCH(D$54,Calc_NetworkF_1[[#Headers],[Ausnet]:[United Energy]],0))+
SUMIFS(Calc_NetworkF_1[Ausnet],Calc_NetworkF_1[[Cost item]:[Cost item]],"Anytime - supply",Calc_NetworkF_1[[Customer type]:[Customer type]],IF(ISNUMBER(SEARCH("Residential",$C$48)),"Residential","Small business"))</f>
        <v>225.54324933881708</v>
      </c>
      <c r="E77" s="73">
        <f>INDEX(Calc_NetworkF_1[[Ausnet]:[United Energy]],MATCH("Metering",Calc_NetworkF_1[[Cost item]:[Cost item]],0),MATCH(E$54,Calc_NetworkF_1[[#Headers],[Ausnet]:[United Energy]],0))+
SUMIFS(Calc_NetworkF_1[Citipower],Calc_NetworkF_1[[Cost item]:[Cost item]],"Anytime - supply",Calc_NetworkF_1[[Customer type]:[Customer type]],IF(ISNUMBER(SEARCH("Residential",$C$48)),"Residential","Small business"))</f>
        <v>222.15829665898102</v>
      </c>
      <c r="F77" s="73">
        <f>INDEX(Calc_NetworkF_1[[Ausnet]:[United Energy]],MATCH("Metering",Calc_NetworkF_1[[Cost item]:[Cost item]],0),MATCH(F$54,Calc_NetworkF_1[[#Headers],[Ausnet]:[United Energy]],0))+
SUMIFS(Calc_NetworkF_1[Jemena],Calc_NetworkF_1[[Cost item]:[Cost item]],"Anytime - supply",Calc_NetworkF_1[[Customer type]:[Customer type]],IF(ISNUMBER(SEARCH("Residential",$C$48)),"Residential","Small business"))</f>
        <v>232.84068064251872</v>
      </c>
      <c r="G77" s="73">
        <f>INDEX(Calc_NetworkF_1[[Ausnet]:[United Energy]],MATCH("Metering",Calc_NetworkF_1[[Cost item]:[Cost item]],0),MATCH(G$54,Calc_NetworkF_1[[#Headers],[Ausnet]:[United Energy]],0))+
SUMIFS(Calc_NetworkF_1[Powercor],Calc_NetworkF_1[[Cost item]:[Cost item]],"Anytime - supply",Calc_NetworkF_1[[Customer type]:[Customer type]],IF(ISNUMBER(SEARCH("Residential",$C$48)),"Residential","Small business"))</f>
        <v>248.40874579404667</v>
      </c>
      <c r="H77" s="73">
        <f>INDEX(Calc_NetworkF_1[[Ausnet]:[United Energy]],MATCH("Metering",Calc_NetworkF_1[[Cost item]:[Cost item]],0),MATCH(H$54,Calc_NetworkF_1[[#Headers],[Ausnet]:[United Energy]],0))+
SUMIFS(Calc_NetworkF_1[United Energy],Calc_NetworkF_1[[Cost item]:[Cost item]],"Anytime - supply",Calc_NetworkF_1[[Customer type]:[Customer type]],IF(ISNUMBER(SEARCH("Residential",$C$48)),"Residential","Small business"))</f>
        <v>198.88019378217172</v>
      </c>
      <c r="K77" s="31" t="s">
        <v>524</v>
      </c>
      <c r="L77" s="73">
        <f>INDEX(Calc_NetworkF_2[[Ausnet]:[United Energy]],MATCH("Metering",Calc_NetworkF_2[[Cost item]:[Cost item]],0),MATCH(L$54,Calc_NetworkF_2[[#Headers],[Ausnet]:[United Energy]],0))+
SUMIFS(Calc_NetworkF_2[Ausnet],Calc_NetworkF_2[[Cost item]:[Cost item]],"Anytime - supply",Calc_NetworkF_2[[Customer type]:[Customer type]],IF(ISNUMBER(SEARCH("Residential",$K$48)),"Residential","Small business"))</f>
        <v>213.97054227419011</v>
      </c>
      <c r="M77" s="73">
        <f>INDEX(Calc_NetworkF_2[[Ausnet]:[United Energy]],MATCH("Metering",Calc_NetworkF_2[[Cost item]:[Cost item]],0),MATCH(M$54,Calc_NetworkF_2[[#Headers],[Ausnet]:[United Energy]],0))+
SUMIFS(Calc_NetworkF_2[Citipower],Calc_NetworkF_2[[Cost item]:[Cost item]],"Anytime - supply",Calc_NetworkF_2[[Customer type]:[Customer type]],IF(ISNUMBER(SEARCH("Residential",$K$48)),"Residential","Small business"))</f>
        <v>219.75989568695607</v>
      </c>
      <c r="N77" s="73">
        <f>INDEX(Calc_NetworkF_2[[Ausnet]:[United Energy]],MATCH("Metering",Calc_NetworkF_2[[Cost item]:[Cost item]],0),MATCH(N$54,Calc_NetworkF_2[[#Headers],[Ausnet]:[United Energy]],0))+
SUMIFS(Calc_NetworkF_2[Jemena],Calc_NetworkF_2[[Cost item]:[Cost item]],"Anytime - supply",Calc_NetworkF_2[[Customer type]:[Customer type]],IF(ISNUMBER(SEARCH("Residential",$K$48)),"Residential","Small business"))</f>
        <v>207.87034275504374</v>
      </c>
      <c r="O77" s="73">
        <f>INDEX(Calc_NetworkF_2[[Ausnet]:[United Energy]],MATCH("Metering",Calc_NetworkF_2[[Cost item]:[Cost item]],0),MATCH(O$54,Calc_NetworkF_2[[#Headers],[Ausnet]:[United Energy]],0))+
SUMIFS(Calc_NetworkF_2[Powercor],Calc_NetworkF_2[[Cost item]:[Cost item]],"Anytime - supply",Calc_NetworkF_2[[Customer type]:[Customer type]],IF(ISNUMBER(SEARCH("Residential",$K$48)),"Residential","Small business"))</f>
        <v>246.23715510552023</v>
      </c>
      <c r="P77" s="73">
        <f>INDEX(Calc_NetworkF_2[[Ausnet]:[United Energy]],MATCH("Metering",Calc_NetworkF_2[[Cost item]:[Cost item]],0),MATCH(P$54,Calc_NetworkF_2[[#Headers],[Ausnet]:[United Energy]],0))+
SUMIFS(Calc_NetworkF_2[United Energy],Calc_NetworkF_2[[Cost item]:[Cost item]],"Anytime - supply",Calc_NetworkF_2[[Customer type]:[Customer type]],IF(ISNUMBER(SEARCH("Residential",$K$48)),"Residential","Small business"))</f>
        <v>187.32328763194758</v>
      </c>
      <c r="T77" s="62"/>
      <c r="V77" s="80"/>
    </row>
    <row r="78" spans="3:24" outlineLevel="1" x14ac:dyDescent="0.25">
      <c r="V78" s="80"/>
    </row>
    <row r="79" spans="3:24" ht="15.75" outlineLevel="1" x14ac:dyDescent="0.25">
      <c r="C79" s="31" t="s">
        <v>141</v>
      </c>
      <c r="D79" s="73">
        <f>SUMIFS(Calc_OtherCosts_1[Ausnet],Calc_OtherCosts_1[[Fixed/Variable]:[Fixed/Variable]],"Fixed")</f>
        <v>11.074480216903517</v>
      </c>
      <c r="E79" s="73">
        <f>SUMIFS(Calc_OtherCosts_1[Citipower],Calc_OtherCosts_1[[Fixed/Variable]:[Fixed/Variable]],"Fixed")</f>
        <v>11.074480216903517</v>
      </c>
      <c r="F79" s="73">
        <f>SUMIFS(Calc_OtherCosts_1[Jemena],Calc_OtherCosts_1[[Fixed/Variable]:[Fixed/Variable]],"Fixed")</f>
        <v>11.074480216903517</v>
      </c>
      <c r="G79" s="73">
        <f>SUMIFS(Calc_OtherCosts_1[Powercor],Calc_OtherCosts_1[[Fixed/Variable]:[Fixed/Variable]],"Fixed")</f>
        <v>11.074480216903517</v>
      </c>
      <c r="H79" s="73">
        <f>SUMIFS(Calc_OtherCosts_1[United Energy],Calc_OtherCosts_1[[Fixed/Variable]:[Fixed/Variable]],"Fixed")</f>
        <v>11.074480216903517</v>
      </c>
      <c r="K79" s="31" t="s">
        <v>141</v>
      </c>
      <c r="L79" s="73">
        <f>SUMIFS(Calc_OtherCosts_2[Ausnet],Calc_OtherCosts_2[[Fixed/Variable]:[Fixed/Variable]],"Fixed")</f>
        <v>10.663924892904003</v>
      </c>
      <c r="M79" s="73">
        <f>SUMIFS(Calc_OtherCosts_2[Citipower],Calc_OtherCosts_2[[Fixed/Variable]:[Fixed/Variable]],"Fixed")</f>
        <v>10.663924892904003</v>
      </c>
      <c r="N79" s="73">
        <f>SUMIFS(Calc_OtherCosts_2[Jemena],Calc_OtherCosts_2[[Fixed/Variable]:[Fixed/Variable]],"Fixed")</f>
        <v>10.663924892904003</v>
      </c>
      <c r="O79" s="73">
        <f>SUMIFS(Calc_OtherCosts_2[Powercor],Calc_OtherCosts_2[[Fixed/Variable]:[Fixed/Variable]],"Fixed")</f>
        <v>10.663924892904003</v>
      </c>
      <c r="P79" s="73">
        <f>SUMIFS(Calc_OtherCosts_2[United Energy],Calc_OtherCosts_2[[Fixed/Variable]:[Fixed/Variable]],"Fixed")</f>
        <v>10.663924892904003</v>
      </c>
      <c r="T79" s="62"/>
      <c r="V79" s="80"/>
    </row>
    <row r="80" spans="3:24" outlineLevel="1" x14ac:dyDescent="0.25">
      <c r="V80" s="80"/>
      <c r="X80" s="79"/>
    </row>
    <row r="81" spans="3:16" ht="15.75" outlineLevel="1" x14ac:dyDescent="0.25">
      <c r="C81" s="31" t="s">
        <v>525</v>
      </c>
      <c r="D81" s="73">
        <f>INDEX(Calc_FiT_1[[Ausnet]:[United Energy]],1,MATCH(D$54,Calc_FiT_1[[#Headers],[Ausnet]:[United Energy]],0))</f>
        <v>17.695706209818297</v>
      </c>
      <c r="E81" s="73">
        <f>INDEX(Calc_FiT_1[[Ausnet]:[United Energy]],1,MATCH(E$54,Calc_FiT_1[[#Headers],[Ausnet]:[United Energy]],0))</f>
        <v>17.695706209818297</v>
      </c>
      <c r="F81" s="73">
        <f>INDEX(Calc_FiT_1[[Ausnet]:[United Energy]],1,MATCH(F$54,Calc_FiT_1[[#Headers],[Ausnet]:[United Energy]],0))</f>
        <v>17.695706209818297</v>
      </c>
      <c r="G81" s="73">
        <f>INDEX(Calc_FiT_1[[Ausnet]:[United Energy]],1,MATCH(G$54,Calc_FiT_1[[#Headers],[Ausnet]:[United Energy]],0))</f>
        <v>17.695706209818297</v>
      </c>
      <c r="H81" s="73">
        <f>INDEX(Calc_FiT_1[[Ausnet]:[United Energy]],1,MATCH(H$54,Calc_FiT_1[[#Headers],[Ausnet]:[United Energy]],0))</f>
        <v>17.695706209818297</v>
      </c>
      <c r="K81" s="31" t="s">
        <v>525</v>
      </c>
      <c r="L81" s="73">
        <f>INDEX(Calc_FiT_2[[Ausnet]:[United Energy]],1,MATCH(L$54,Calc_FiT_2[[#Headers],[Ausnet]:[United Energy]],0))</f>
        <v>16.945572514842485</v>
      </c>
      <c r="M81" s="73">
        <f>INDEX(Calc_FiT_2[[Ausnet]:[United Energy]],1,MATCH(M$54,Calc_FiT_2[[#Headers],[Ausnet]:[United Energy]],0))</f>
        <v>16.945572514842485</v>
      </c>
      <c r="N81" s="73">
        <f>INDEX(Calc_FiT_2[[Ausnet]:[United Energy]],1,MATCH(N$54,Calc_FiT_2[[#Headers],[Ausnet]:[United Energy]],0))</f>
        <v>16.945572514842485</v>
      </c>
      <c r="O81" s="73">
        <f>INDEX(Calc_FiT_2[[Ausnet]:[United Energy]],1,MATCH(O$54,Calc_FiT_2[[#Headers],[Ausnet]:[United Energy]],0))</f>
        <v>16.945572514842485</v>
      </c>
      <c r="P81" s="73">
        <f>INDEX(Calc_FiT_2[[Ausnet]:[United Energy]],1,MATCH(P$54,Calc_FiT_2[[#Headers],[Ausnet]:[United Energy]],0))</f>
        <v>16.945572514842485</v>
      </c>
    </row>
    <row r="82" spans="3:16" outlineLevel="1" x14ac:dyDescent="0.25"/>
    <row r="83" spans="3:16" ht="15.75" outlineLevel="1" x14ac:dyDescent="0.25">
      <c r="C83" s="24" t="s">
        <v>526</v>
      </c>
      <c r="K83" s="24" t="s">
        <v>526</v>
      </c>
    </row>
    <row r="84" spans="3:16" ht="15.75" outlineLevel="1" x14ac:dyDescent="0.25">
      <c r="C84" s="31" t="s">
        <v>83</v>
      </c>
      <c r="D84" s="73">
        <f>INDEX(Calc_EnviroVEU_1[[Ausnet]:[United Energy]],MATCH("VEU cost",Calc_EnviroVEU_1[[Cost item]:[Cost item]],0),MATCH(D$54,Calc_EnviroVEU_1[[#Headers],[Ausnet]:[United Energy]],0))+
INDEX(Calc_EnviroLRET_1[[Ausnet]:[United Energy]],MATCH("LRET cost",Calc_EnviroLRET_1[[Cost item]:[Cost item]],0),MATCH(D$54,Calc_EnviroLRET_1[[#Headers],[Ausnet]:[United Energy]],0))+
INDEX(Calc_EnviroSRES_1[[Ausnet]:[United Energy]],MATCH("SRES cost",Calc_EnviroSRES_1[[Cost item]:[Cost item]],0),MATCH(D$54,Calc_EnviroSRES_1[[#Headers],[Ausnet]:[United Energy]],0))</f>
        <v>2.7482716000000001E-2</v>
      </c>
      <c r="E84" s="73">
        <f>INDEX(Calc_EnviroVEU_1[[Ausnet]:[United Energy]],MATCH("VEU cost",Calc_EnviroVEU_1[[Cost item]:[Cost item]],0),MATCH(E$54,Calc_EnviroVEU_1[[#Headers],[Ausnet]:[United Energy]],0))+
INDEX(Calc_EnviroLRET_1[[Ausnet]:[United Energy]],MATCH("LRET cost",Calc_EnviroLRET_1[[Cost item]:[Cost item]],0),MATCH(E$54,Calc_EnviroLRET_1[[#Headers],[Ausnet]:[United Energy]],0))+
INDEX(Calc_EnviroSRES_1[[Ausnet]:[United Energy]],MATCH("SRES cost",Calc_EnviroSRES_1[[Cost item]:[Cost item]],0),MATCH(E$54,Calc_EnviroSRES_1[[#Headers],[Ausnet]:[United Energy]],0))</f>
        <v>2.7482716000000001E-2</v>
      </c>
      <c r="F84" s="73">
        <f>INDEX(Calc_EnviroVEU_1[[Ausnet]:[United Energy]],MATCH("VEU cost",Calc_EnviroVEU_1[[Cost item]:[Cost item]],0),MATCH(F$54,Calc_EnviroVEU_1[[#Headers],[Ausnet]:[United Energy]],0))+
INDEX(Calc_EnviroLRET_1[[Ausnet]:[United Energy]],MATCH("LRET cost",Calc_EnviroLRET_1[[Cost item]:[Cost item]],0),MATCH(F$54,Calc_EnviroLRET_1[[#Headers],[Ausnet]:[United Energy]],0))+
INDEX(Calc_EnviroSRES_1[[Ausnet]:[United Energy]],MATCH("SRES cost",Calc_EnviroSRES_1[[Cost item]:[Cost item]],0),MATCH(F$54,Calc_EnviroSRES_1[[#Headers],[Ausnet]:[United Energy]],0))</f>
        <v>2.7482716000000001E-2</v>
      </c>
      <c r="G84" s="73">
        <f>INDEX(Calc_EnviroVEU_1[[Ausnet]:[United Energy]],MATCH("VEU cost",Calc_EnviroVEU_1[[Cost item]:[Cost item]],0),MATCH(G$54,Calc_EnviroVEU_1[[#Headers],[Ausnet]:[United Energy]],0))+
INDEX(Calc_EnviroLRET_1[[Ausnet]:[United Energy]],MATCH("LRET cost",Calc_EnviroLRET_1[[Cost item]:[Cost item]],0),MATCH(G$54,Calc_EnviroLRET_1[[#Headers],[Ausnet]:[United Energy]],0))+
INDEX(Calc_EnviroSRES_1[[Ausnet]:[United Energy]],MATCH("SRES cost",Calc_EnviroSRES_1[[Cost item]:[Cost item]],0),MATCH(G$54,Calc_EnviroSRES_1[[#Headers],[Ausnet]:[United Energy]],0))</f>
        <v>2.7482716000000001E-2</v>
      </c>
      <c r="H84" s="73">
        <f>INDEX(Calc_EnviroVEU_1[[Ausnet]:[United Energy]],MATCH("VEU cost",Calc_EnviroVEU_1[[Cost item]:[Cost item]],0),MATCH(H$54,Calc_EnviroVEU_1[[#Headers],[Ausnet]:[United Energy]],0))+
INDEX(Calc_EnviroLRET_1[[Ausnet]:[United Energy]],MATCH("LRET cost",Calc_EnviroLRET_1[[Cost item]:[Cost item]],0),MATCH(H$54,Calc_EnviroLRET_1[[#Headers],[Ausnet]:[United Energy]],0))+
INDEX(Calc_EnviroSRES_1[[Ausnet]:[United Energy]],MATCH("SRES cost",Calc_EnviroSRES_1[[Cost item]:[Cost item]],0),MATCH(H$54,Calc_EnviroSRES_1[[#Headers],[Ausnet]:[United Energy]],0))</f>
        <v>2.7482716000000001E-2</v>
      </c>
      <c r="K84" s="31" t="s">
        <v>83</v>
      </c>
      <c r="L84" s="73">
        <f>INDEX(Calc_EnviroVEU_2[[Ausnet]:[United Energy]],MATCH("VEU cost",Calc_EnviroVEU_2[[Cost item]:[Cost item]],0),MATCH(L$54,Calc_EnviroVEU_2[[#Headers],[Ausnet]:[United Energy]],0))+
INDEX(Calc_EnviroLRET_2[[Ausnet]:[United Energy]],MATCH("LRET cost",Calc_EnviroLRET_2[[Cost item]:[Cost item]],0),MATCH(L$54,Calc_EnviroLRET_2[[#Headers],[Ausnet]:[United Energy]],0))+
INDEX(Calc_EnviroSRES_2[[Ausnet]:[United Energy]],MATCH("SRES cost",Calc_EnviroSRES_2[[Cost item]:[Cost item]],0),MATCH(L$54,Calc_EnviroSRES_2[[#Headers],[Ausnet]:[United Energy]],0))</f>
        <v>2.843221042152444E-2</v>
      </c>
      <c r="M84" s="73">
        <f>INDEX(Calc_EnviroVEU_2[[Ausnet]:[United Energy]],MATCH("VEU cost",Calc_EnviroVEU_2[[Cost item]:[Cost item]],0),MATCH(M$54,Calc_EnviroVEU_2[[#Headers],[Ausnet]:[United Energy]],0))+
INDEX(Calc_EnviroLRET_2[[Ausnet]:[United Energy]],MATCH("LRET cost",Calc_EnviroLRET_2[[Cost item]:[Cost item]],0),MATCH(M$54,Calc_EnviroLRET_2[[#Headers],[Ausnet]:[United Energy]],0))+
INDEX(Calc_EnviroSRES_2[[Ausnet]:[United Energy]],MATCH("SRES cost",Calc_EnviroSRES_2[[Cost item]:[Cost item]],0),MATCH(M$54,Calc_EnviroSRES_2[[#Headers],[Ausnet]:[United Energy]],0))</f>
        <v>2.843221042152444E-2</v>
      </c>
      <c r="N84" s="73">
        <f>INDEX(Calc_EnviroVEU_2[[Ausnet]:[United Energy]],MATCH("VEU cost",Calc_EnviroVEU_2[[Cost item]:[Cost item]],0),MATCH(N$54,Calc_EnviroVEU_2[[#Headers],[Ausnet]:[United Energy]],0))+
INDEX(Calc_EnviroLRET_2[[Ausnet]:[United Energy]],MATCH("LRET cost",Calc_EnviroLRET_2[[Cost item]:[Cost item]],0),MATCH(N$54,Calc_EnviroLRET_2[[#Headers],[Ausnet]:[United Energy]],0))+
INDEX(Calc_EnviroSRES_2[[Ausnet]:[United Energy]],MATCH("SRES cost",Calc_EnviroSRES_2[[Cost item]:[Cost item]],0),MATCH(N$54,Calc_EnviroSRES_2[[#Headers],[Ausnet]:[United Energy]],0))</f>
        <v>2.843221042152444E-2</v>
      </c>
      <c r="O84" s="73">
        <f>INDEX(Calc_EnviroVEU_2[[Ausnet]:[United Energy]],MATCH("VEU cost",Calc_EnviroVEU_2[[Cost item]:[Cost item]],0),MATCH(O$54,Calc_EnviroVEU_2[[#Headers],[Ausnet]:[United Energy]],0))+
INDEX(Calc_EnviroLRET_2[[Ausnet]:[United Energy]],MATCH("LRET cost",Calc_EnviroLRET_2[[Cost item]:[Cost item]],0),MATCH(O$54,Calc_EnviroLRET_2[[#Headers],[Ausnet]:[United Energy]],0))+
INDEX(Calc_EnviroSRES_2[[Ausnet]:[United Energy]],MATCH("SRES cost",Calc_EnviroSRES_2[[Cost item]:[Cost item]],0),MATCH(O$54,Calc_EnviroSRES_2[[#Headers],[Ausnet]:[United Energy]],0))</f>
        <v>2.843221042152444E-2</v>
      </c>
      <c r="P84" s="73">
        <f>INDEX(Calc_EnviroVEU_2[[Ausnet]:[United Energy]],MATCH("VEU cost",Calc_EnviroVEU_2[[Cost item]:[Cost item]],0),MATCH(P$54,Calc_EnviroVEU_2[[#Headers],[Ausnet]:[United Energy]],0))+
INDEX(Calc_EnviroLRET_2[[Ausnet]:[United Energy]],MATCH("LRET cost",Calc_EnviroLRET_2[[Cost item]:[Cost item]],0),MATCH(P$54,Calc_EnviroLRET_2[[#Headers],[Ausnet]:[United Energy]],0))+
INDEX(Calc_EnviroSRES_2[[Ausnet]:[United Energy]],MATCH("SRES cost",Calc_EnviroSRES_2[[Cost item]:[Cost item]],0),MATCH(P$54,Calc_EnviroSRES_2[[#Headers],[Ausnet]:[United Energy]],0))</f>
        <v>2.843221042152444E-2</v>
      </c>
    </row>
    <row r="85" spans="3:16" outlineLevel="1" x14ac:dyDescent="0.25"/>
    <row r="86" spans="3:16" ht="15.75" outlineLevel="1" x14ac:dyDescent="0.25">
      <c r="C86" s="31" t="s">
        <v>176</v>
      </c>
      <c r="D86" s="73">
        <f>IF(ISNUMBER(SEARCH("Residential",$C$48)),
INDEX(Calc_WholesaleRES_1[[Ausnet]:[United Energy]],MATCH("Wholesale cost",Calc_WholesaleRES_1[[Cost item]:[Cost item]],0),MATCH(D$54,Calc_WholesaleRES_1[[#Headers],[Ausnet]:[United Energy]],0)),
INDEX(Calc_WholesaleSME_1[[Ausnet]:[United Energy]],MATCH("Wholesale cost",Calc_WholesaleSME_1[[Cost item]:[Cost item]],0),MATCH(D$54,Calc_WholesaleSME_1[[#Headers],[Ausnet]:[United Energy]],0)))</f>
        <v>9.8250000000000004E-2</v>
      </c>
      <c r="E86" s="73">
        <f>IF(ISNUMBER(SEARCH("Residential",$C$48)),
INDEX(Calc_WholesaleRES_1[[Ausnet]:[United Energy]],MATCH("Wholesale cost",Calc_WholesaleRES_1[[Cost item]:[Cost item]],0),MATCH(E$54,Calc_WholesaleRES_1[[#Headers],[Ausnet]:[United Energy]],0)),
INDEX(Calc_WholesaleSME_1[[Ausnet]:[United Energy]],MATCH("Wholesale cost",Calc_WholesaleSME_1[[Cost item]:[Cost item]],0),MATCH(E$54,Calc_WholesaleSME_1[[#Headers],[Ausnet]:[United Energy]],0)))</f>
        <v>9.5000000000000015E-2</v>
      </c>
      <c r="F86" s="73">
        <f>IF(ISNUMBER(SEARCH("Residential",$C$48)),
INDEX(Calc_WholesaleRES_1[[Ausnet]:[United Energy]],MATCH("Wholesale cost",Calc_WholesaleRES_1[[Cost item]:[Cost item]],0),MATCH(F$54,Calc_WholesaleRES_1[[#Headers],[Ausnet]:[United Energy]],0)),
INDEX(Calc_WholesaleSME_1[[Ausnet]:[United Energy]],MATCH("Wholesale cost",Calc_WholesaleSME_1[[Cost item]:[Cost item]],0),MATCH(F$54,Calc_WholesaleSME_1[[#Headers],[Ausnet]:[United Energy]],0)))</f>
        <v>0.10066</v>
      </c>
      <c r="G86" s="73">
        <f>IF(ISNUMBER(SEARCH("Residential",$C$48)),
INDEX(Calc_WholesaleRES_1[[Ausnet]:[United Energy]],MATCH("Wholesale cost",Calc_WholesaleRES_1[[Cost item]:[Cost item]],0),MATCH(G$54,Calc_WholesaleRES_1[[#Headers],[Ausnet]:[United Energy]],0)),
INDEX(Calc_WholesaleSME_1[[Ausnet]:[United Energy]],MATCH("Wholesale cost",Calc_WholesaleSME_1[[Cost item]:[Cost item]],0),MATCH(G$54,Calc_WholesaleSME_1[[#Headers],[Ausnet]:[United Energy]],0)))</f>
        <v>9.6430000000000002E-2</v>
      </c>
      <c r="H86" s="73">
        <f>IF(ISNUMBER(SEARCH("Residential",$C$48)),
INDEX(Calc_WholesaleRES_1[[Ausnet]:[United Energy]],MATCH("Wholesale cost",Calc_WholesaleRES_1[[Cost item]:[Cost item]],0),MATCH(H$54,Calc_WholesaleRES_1[[#Headers],[Ausnet]:[United Energy]],0)),
INDEX(Calc_WholesaleSME_1[[Ausnet]:[United Energy]],MATCH("Wholesale cost",Calc_WholesaleSME_1[[Cost item]:[Cost item]],0),MATCH(H$54,Calc_WholesaleSME_1[[#Headers],[Ausnet]:[United Energy]],0)))</f>
        <v>9.9909999999999999E-2</v>
      </c>
      <c r="K86" s="31" t="s">
        <v>176</v>
      </c>
      <c r="L86" s="73">
        <f>IF(ISNUMBER(SEARCH("Residential",$K$48)),
INDEX(Calc_WholesaleRES_2[[Ausnet]:[United Energy]],MATCH("Wholesale cost",Calc_WholesaleRES_2[[Cost item]:[Cost item]],0),MATCH(L$54,Calc_WholesaleRES_2[[#Headers],[Ausnet]:[United Energy]],0)),
INDEX(Calc_WholesaleSME_2[[Ausnet]:[United Energy]],MATCH("Wholesale cost",Calc_WholesaleSME_2[[Cost item]:[Cost item]],0),MATCH(L$54,Calc_WholesaleSME_2[[#Headers],[Ausnet]:[United Energy]],0)))</f>
        <v>0.12856302089613503</v>
      </c>
      <c r="M86" s="73">
        <f>IF(ISNUMBER(SEARCH("Residential",$K$48)),
INDEX(Calc_WholesaleRES_2[[Ausnet]:[United Energy]],MATCH("Wholesale cost",Calc_WholesaleRES_2[[Cost item]:[Cost item]],0),MATCH(M$54,Calc_WholesaleRES_2[[#Headers],[Ausnet]:[United Energy]],0)),
INDEX(Calc_WholesaleSME_2[[Ausnet]:[United Energy]],MATCH("Wholesale cost",Calc_WholesaleSME_2[[Cost item]:[Cost item]],0),MATCH(M$54,Calc_WholesaleSME_2[[#Headers],[Ausnet]:[United Energy]],0)))</f>
        <v>0.12648439961732669</v>
      </c>
      <c r="N86" s="73">
        <f>IF(ISNUMBER(SEARCH("Residential",$K$48)),
INDEX(Calc_WholesaleRES_2[[Ausnet]:[United Energy]],MATCH("Wholesale cost",Calc_WholesaleRES_2[[Cost item]:[Cost item]],0),MATCH(N$54,Calc_WholesaleRES_2[[#Headers],[Ausnet]:[United Energy]],0)),
INDEX(Calc_WholesaleSME_2[[Ausnet]:[United Energy]],MATCH("Wholesale cost",Calc_WholesaleSME_2[[Cost item]:[Cost item]],0),MATCH(N$54,Calc_WholesaleSME_2[[#Headers],[Ausnet]:[United Energy]],0)))</f>
        <v>0.13021020918052265</v>
      </c>
      <c r="O86" s="73">
        <f>IF(ISNUMBER(SEARCH("Residential",$K$48)),
INDEX(Calc_WholesaleRES_2[[Ausnet]:[United Energy]],MATCH("Wholesale cost",Calc_WholesaleRES_2[[Cost item]:[Cost item]],0),MATCH(O$54,Calc_WholesaleRES_2[[#Headers],[Ausnet]:[United Energy]],0)),
INDEX(Calc_WholesaleSME_2[[Ausnet]:[United Energy]],MATCH("Wholesale cost",Calc_WholesaleSME_2[[Cost item]:[Cost item]],0),MATCH(O$54,Calc_WholesaleSME_2[[#Headers],[Ausnet]:[United Energy]],0)))</f>
        <v>0.12548093617538489</v>
      </c>
      <c r="P86" s="73">
        <f>IF(ISNUMBER(SEARCH("Residential",$K$48)),
INDEX(Calc_WholesaleRES_2[[Ausnet]:[United Energy]],MATCH("Wholesale cost",Calc_WholesaleRES_2[[Cost item]:[Cost item]],0),MATCH(P$54,Calc_WholesaleRES_2[[#Headers],[Ausnet]:[United Energy]],0)),
INDEX(Calc_WholesaleSME_2[[Ausnet]:[United Energy]],MATCH("Wholesale cost",Calc_WholesaleSME_2[[Cost item]:[Cost item]],0),MATCH(P$54,Calc_WholesaleSME_2[[#Headers],[Ausnet]:[United Energy]],0)))</f>
        <v>0.13037554287242703</v>
      </c>
    </row>
    <row r="87" spans="3:16" outlineLevel="1" x14ac:dyDescent="0.25"/>
    <row r="88" spans="3:16" ht="15.75" outlineLevel="1" x14ac:dyDescent="0.25">
      <c r="C88" s="31" t="s">
        <v>141</v>
      </c>
      <c r="D88" s="73">
        <f>SUMIFS(Calc_OtherCosts_1[Ausnet],Calc_OtherCosts_1[[Fixed/Variable]:[Fixed/Variable]],"Variable")</f>
        <v>7.8047200000000005E-4</v>
      </c>
      <c r="E88" s="73">
        <f>SUMIFS(Calc_OtherCosts_1[Citipower],Calc_OtherCosts_1[[Fixed/Variable]:[Fixed/Variable]],"Variable")</f>
        <v>7.8047200000000005E-4</v>
      </c>
      <c r="F88" s="73">
        <f>SUMIFS(Calc_OtherCosts_1[Jemena],Calc_OtherCosts_1[[Fixed/Variable]:[Fixed/Variable]],"Variable")</f>
        <v>7.8047200000000005E-4</v>
      </c>
      <c r="G88" s="73">
        <f>SUMIFS(Calc_OtherCosts_1[Powercor],Calc_OtherCosts_1[[Fixed/Variable]:[Fixed/Variable]],"Variable")</f>
        <v>7.8047200000000005E-4</v>
      </c>
      <c r="H88" s="73">
        <f>SUMIFS(Calc_OtherCosts_1[United Energy],Calc_OtherCosts_1[[Fixed/Variable]:[Fixed/Variable]],"Variable")</f>
        <v>7.8047200000000005E-4</v>
      </c>
      <c r="K88" s="31" t="s">
        <v>141</v>
      </c>
      <c r="L88" s="73">
        <f>SUMIFS(Calc_OtherCosts_2[Ausnet],Calc_OtherCosts_2[[Fixed/Variable]:[Fixed/Variable]],"Variable")</f>
        <v>1.6791732404258365E-3</v>
      </c>
      <c r="M88" s="73">
        <f>SUMIFS(Calc_OtherCosts_2[Citipower],Calc_OtherCosts_2[[Fixed/Variable]:[Fixed/Variable]],"Variable")</f>
        <v>1.6791732404258365E-3</v>
      </c>
      <c r="N88" s="73">
        <f>SUMIFS(Calc_OtherCosts_2[Jemena],Calc_OtherCosts_2[[Fixed/Variable]:[Fixed/Variable]],"Variable")</f>
        <v>1.6791732404258365E-3</v>
      </c>
      <c r="O88" s="73">
        <f>SUMIFS(Calc_OtherCosts_2[Powercor],Calc_OtherCosts_2[[Fixed/Variable]:[Fixed/Variable]],"Variable")</f>
        <v>1.6791732404258365E-3</v>
      </c>
      <c r="P88" s="73">
        <f>SUMIFS(Calc_OtherCosts_2[United Energy],Calc_OtherCosts_2[[Fixed/Variable]:[Fixed/Variable]],"Variable")</f>
        <v>1.6791732404258365E-3</v>
      </c>
    </row>
    <row r="89" spans="3:16" outlineLevel="1" x14ac:dyDescent="0.25"/>
    <row r="90" spans="3:16" ht="15.75" outlineLevel="1" x14ac:dyDescent="0.25">
      <c r="C90" s="31" t="s">
        <v>527</v>
      </c>
      <c r="K90" s="31" t="s">
        <v>527</v>
      </c>
    </row>
    <row r="91" spans="3:16" outlineLevel="1" x14ac:dyDescent="0.25">
      <c r="C91" t="s">
        <v>68</v>
      </c>
      <c r="D91" s="73">
        <f>SUMIFS(Calc_NetworkV_1[Ausnet],Calc_NetworkV_1[[Cost item]:[Cost item]],$C91,Calc_NetworkV_1[[Customer type]:[Customer type]],IF(ISNUMBER(SEARCH("Residential",$C$48)),"Residential","Small business"))</f>
        <v>0.19387499999999999</v>
      </c>
      <c r="E91" s="73">
        <f>SUMIFS(Calc_NetworkV_1[Citipower],Calc_NetworkV_1[[Cost item]:[Cost item]],$C91,Calc_NetworkV_1[[Customer type]:[Customer type]],IF(ISNUMBER(SEARCH("Residential",$C$48)),"Residential","Small business"))</f>
        <v>0</v>
      </c>
      <c r="F91" s="73">
        <f>SUMIFS(Calc_NetworkV_1[Jemena],Calc_NetworkV_1[[Cost item]:[Cost item]],$C91,Calc_NetworkV_1[[Customer type]:[Customer type]],IF(ISNUMBER(SEARCH("Residential",$C$48)),"Residential","Small business"))</f>
        <v>0</v>
      </c>
      <c r="G91" s="73">
        <f>SUMIFS(Calc_NetworkV_1[Powercor],Calc_NetworkV_1[Cost item],$C91,Calc_NetworkV_1[Customer type],IF(ISNUMBER(SEARCH("Residential",$C$48)),"Residential","Small business"))</f>
        <v>0</v>
      </c>
      <c r="H91" s="73">
        <f>SUMIFS(Calc_NetworkV_1[United Energy],Calc_NetworkV_1[[Cost item]:[Cost item]],$C91,Calc_NetworkV_1[[Customer type]:[Customer type]],IF(ISNUMBER(SEARCH("Residential",$C$48)),"Residential","Small business"))</f>
        <v>0</v>
      </c>
      <c r="K91" t="s">
        <v>68</v>
      </c>
      <c r="L91" s="73">
        <f>SUMIFS(Calc_NetworkV_2[Ausnet],Calc_NetworkV_2[Cost item],$K91,Calc_NetworkV_2[Customer type],IF(ISNUMBER(SEARCH("Residential",$K$48)),"Residential","Small business"))</f>
        <v>0.18668411930490375</v>
      </c>
      <c r="M91" s="73">
        <f>SUMIFS(Calc_NetworkV_2[Citipower],Calc_NetworkV_2[[Cost item]:[Cost item]],$K91,Calc_NetworkV_2[[Customer type]:[Customer type]],IF(ISNUMBER(SEARCH("Residential",$K$48)),"Residential","Small business"))</f>
        <v>0</v>
      </c>
      <c r="N91" s="73">
        <f>SUMIFS(Calc_NetworkV_2[Jemena],Calc_NetworkV_2[[Cost item]:[Cost item]],$K91,Calc_NetworkV_2[[Customer type]:[Customer type]],IF(ISNUMBER(SEARCH("Residential",$K$48)),"Residential","Small business"))</f>
        <v>0</v>
      </c>
      <c r="O91" s="73">
        <f>SUMIFS(Calc_NetworkV_2[Powercor],Calc_NetworkV_2[[Cost item]:[Cost item]],$K91,Calc_NetworkV_2[[Customer type]:[Customer type]],IF(ISNUMBER(SEARCH("Residential",$K$48)),"Residential","Small business"))</f>
        <v>0</v>
      </c>
      <c r="P91" s="73">
        <f>SUMIFS(Calc_NetworkV_2[United Energy],Calc_NetworkV_2[[Cost item]:[Cost item]],$K91,Calc_NetworkV_2[[Customer type]:[Customer type]],IF(ISNUMBER(SEARCH("Residential",$K$48)),"Residential","Small business"))</f>
        <v>0</v>
      </c>
    </row>
    <row r="92" spans="3:16" outlineLevel="1" x14ac:dyDescent="0.25">
      <c r="C92" t="s">
        <v>70</v>
      </c>
      <c r="D92" s="73">
        <f>SUMIFS(Calc_NetworkV_1[Ausnet],Calc_NetworkV_1[Cost item],$C92,Calc_NetworkV_1[Customer type],IF(ISNUMBER(SEARCH("Residential",$C$48)),"Residential","Small business"))</f>
        <v>0.203847</v>
      </c>
      <c r="E92" s="73">
        <f>SUMIFS(Calc_NetworkV_1[Citipower],Calc_NetworkV_1[[Cost item]:[Cost item]],$C92,Calc_NetworkV_1[[Customer type]:[Customer type]],IF(ISNUMBER(SEARCH("Residential",$C$48)),"Residential","Small business"))</f>
        <v>0</v>
      </c>
      <c r="F92" s="73">
        <f>SUMIFS(Calc_NetworkV_1[Jemena],Calc_NetworkV_1[[Cost item]:[Cost item]],$C92,Calc_NetworkV_1[[Customer type]:[Customer type]],IF(ISNUMBER(SEARCH("Residential",$C$48)),"Residential","Small business"))</f>
        <v>0</v>
      </c>
      <c r="G92" s="73">
        <f>SUMIFS(Calc_NetworkV_1[Powercor],Calc_NetworkV_1[[Cost item]:[Cost item]],$C92,Calc_NetworkV_1[[Customer type]:[Customer type]],IF(ISNUMBER(SEARCH("Residential",$C$48)),"Residential","Small business"))</f>
        <v>0</v>
      </c>
      <c r="H92" s="73">
        <f>SUMIFS(Calc_NetworkV_1[United Energy],Calc_NetworkV_1[[Cost item]:[Cost item]],$C92,Calc_NetworkV_1[[Customer type]:[Customer type]],IF(ISNUMBER(SEARCH("Residential",$C$48)),"Residential","Small business"))</f>
        <v>0</v>
      </c>
      <c r="K92" t="s">
        <v>70</v>
      </c>
      <c r="L92" s="73">
        <f>SUMIFS(Calc_NetworkV_2[Ausnet],Calc_NetworkV_2[[Cost item]:[Cost item]],$K92,Calc_NetworkV_2[[Customer type]:[Customer type]],IF(ISNUMBER(SEARCH("Residential",$K$48)),"Residential","Small business"))</f>
        <v>0.20620858559880922</v>
      </c>
      <c r="M92" s="73">
        <f>SUMIFS(Calc_NetworkV_2[Citipower],Calc_NetworkV_2[[Cost item]:[Cost item]],$K92,Calc_NetworkV_2[[Customer type]:[Customer type]],IF(ISNUMBER(SEARCH("Residential",$K$48)),"Residential","Small business"))</f>
        <v>0</v>
      </c>
      <c r="N92" s="73">
        <f>SUMIFS(Calc_NetworkV_2[Jemena],Calc_NetworkV_2[[Cost item]:[Cost item]],$K92,Calc_NetworkV_2[[Customer type]:[Customer type]],IF(ISNUMBER(SEARCH("Residential",$K$48)),"Residential","Small business"))</f>
        <v>0</v>
      </c>
      <c r="O92" s="73">
        <f>SUMIFS(Calc_NetworkV_2[Powercor],Calc_NetworkV_2[[Cost item]:[Cost item]],$K92,Calc_NetworkV_2[[Customer type]:[Customer type]],IF(ISNUMBER(SEARCH("Residential",$K$48)),"Residential","Small business"))</f>
        <v>0</v>
      </c>
      <c r="P92" s="73">
        <f>SUMIFS(Calc_NetworkV_2[United Energy],Calc_NetworkV_2[[Cost item]:[Cost item]],$K92,Calc_NetworkV_2[[Customer type]:[Customer type]],IF(ISNUMBER(SEARCH("Residential",$K$48)),"Residential","Small business"))</f>
        <v>0</v>
      </c>
    </row>
    <row r="93" spans="3:16" outlineLevel="1" x14ac:dyDescent="0.25">
      <c r="C93" t="s">
        <v>71</v>
      </c>
      <c r="D93" s="73">
        <f>SUMIFS(Calc_NetworkV_1[Ausnet],Calc_NetworkV_1[[Cost item]:[Cost item]],$C93,Calc_NetworkV_1[[Customer type]:[Customer type]],IF(ISNUMBER(SEARCH("Residential",$C$48)),"Residential","Small business"))</f>
        <v>0</v>
      </c>
      <c r="E93" s="73">
        <f>SUMIFS(Calc_NetworkV_1[Citipower],Calc_NetworkV_1[[Cost item]:[Cost item]],$C93,Calc_NetworkV_1[[Customer type]:[Customer type]],IF(ISNUMBER(SEARCH("Residential",$C$48)),"Residential","Small business"))</f>
        <v>8.8800000000000004E-2</v>
      </c>
      <c r="F93" s="73">
        <f>SUMIFS(Calc_NetworkV_1[Jemena],Calc_NetworkV_1[[Cost item]:[Cost item]],$C93,Calc_NetworkV_1[[Customer type]:[Customer type]],IF(ISNUMBER(SEARCH("Residential",$C$48)),"Residential","Small business"))</f>
        <v>0.13405337370000001</v>
      </c>
      <c r="G93" s="73">
        <f>SUMIFS(Calc_NetworkV_1[Powercor],Calc_NetworkV_1[[Cost item]:[Cost item]],$C93,Calc_NetworkV_1[[Customer type]:[Customer type]],IF(ISNUMBER(SEARCH("Residential",$C$48)),"Residential","Small business"))</f>
        <v>0.10589999999999999</v>
      </c>
      <c r="H93" s="73">
        <f>SUMIFS(Calc_NetworkV_1[United Energy],Calc_NetworkV_1[[Cost item]:[Cost item]],$C93,Calc_NetworkV_1[[Customer type]:[Customer type]],IF(ISNUMBER(SEARCH("Residential",$C$48)),"Residential","Small business"))</f>
        <v>9.8599999999999993E-2</v>
      </c>
      <c r="K93" t="s">
        <v>71</v>
      </c>
      <c r="L93" s="73">
        <f>SUMIFS(Calc_NetworkV_2[Ausnet],Calc_NetworkV_2[[Cost item]:[Cost item]],$K93,Calc_NetworkV_2[[Customer type]:[Customer type]],IF(ISNUMBER(SEARCH("Residential",$K$48)),"Residential","Small business"))</f>
        <v>0</v>
      </c>
      <c r="M93" s="73">
        <f>SUMIFS(Calc_NetworkV_2[Citipower],Calc_NetworkV_2[[Cost item]:[Cost item]],$K93,Calc_NetworkV_2[[Customer type]:[Customer type]],IF(ISNUMBER(SEARCH("Residential",$K$48)),"Residential","Small business"))</f>
        <v>8.1500000000000003E-2</v>
      </c>
      <c r="N93" s="73">
        <f>SUMIFS(Calc_NetworkV_2[Jemena],Calc_NetworkV_2[[Cost item]:[Cost item]],$K93,Calc_NetworkV_2[[Customer type]:[Customer type]],IF(ISNUMBER(SEARCH("Residential",$K$48)),"Residential","Small business"))</f>
        <v>0.11834</v>
      </c>
      <c r="O93" s="73">
        <f>SUMIFS(Calc_NetworkV_2[Powercor],Calc_NetworkV_2[[Cost item]:[Cost item]],$K93,Calc_NetworkV_2[[Customer type]:[Customer type]],IF(ISNUMBER(SEARCH("Residential",$K$48)),"Residential","Small business"))</f>
        <v>9.8100000000000007E-2</v>
      </c>
      <c r="P93" s="73">
        <f>SUMIFS(Calc_NetworkV_2[United Energy],Calc_NetworkV_2[[Cost item]:[Cost item]],$K93,Calc_NetworkV_2[[Customer type]:[Customer type]],IF(ISNUMBER(SEARCH("Residential",$K$48)),"Residential","Small business"))</f>
        <v>9.3900000000000011E-2</v>
      </c>
    </row>
    <row r="94" spans="3:16" outlineLevel="1" x14ac:dyDescent="0.25"/>
    <row r="95" spans="3:16" ht="15.75" outlineLevel="1" x14ac:dyDescent="0.25">
      <c r="C95" s="31" t="s">
        <v>528</v>
      </c>
      <c r="K95" s="31" t="s">
        <v>528</v>
      </c>
    </row>
    <row r="96" spans="3:16" outlineLevel="1" x14ac:dyDescent="0.25">
      <c r="C96" t="s">
        <v>80</v>
      </c>
      <c r="D96" s="73" t="str" cm="1">
        <f t="array" ref="D96">IF(ISNUMBER(SEARCH("Residential",$C$48)),
INDEX(OP_RatesTU_RES_1[Ausnet],MATCH(1,(OP_RatesTU_RES_1[Cost element]="Network")*(OP_RatesTU_RES_1[Rate name]=CH_CostStack_SME!$C96),0),1),
INDEX(OP_RatesTU_SME_1[Ausnet],MATCH(1,(OP_RatesTU_SME_1[Cost element]="Network")*(OP_RatesTU_SME_1[Rate name]=CH_CostStack_SME!$C96),0),1))</f>
        <v>-</v>
      </c>
      <c r="E96" s="73" t="str" cm="1">
        <f t="array" ref="E96">IF(ISNUMBER(SEARCH("Residential",$C$48)),
INDEX(OP_RatesTU_RES_1[Citipower],MATCH(1,(OP_RatesTU_RES_1[Cost element]="Network")*(OP_RatesTU_RES_1[Rate name]=CH_CostStack_SME!$C96),0),1),
INDEX(OP_RatesTU_SME_1[Citipower],MATCH(1,(OP_RatesTU_SME_1[Cost element]="Network")*(OP_RatesTU_SME_1[Rate name]=CH_CostStack_SME!$C96),0),1))</f>
        <v>-</v>
      </c>
      <c r="F96" s="73" t="str" cm="1">
        <f t="array" ref="F96">IF(ISNUMBER(SEARCH("Residential",$C$48)),
INDEX(OP_RatesTU_RES_1[Jemena],MATCH(1,(OP_RatesTU_RES_1[Cost element]="Network")*(OP_RatesTU_RES_1[Rate name]=CH_CostStack_SME!$C96),0),1),
INDEX(OP_RatesTU_SME_1[Jemena],MATCH(1,(OP_RatesTU_SME_1[Cost element]="Network")*(OP_RatesTU_SME_1[Rate name]=CH_CostStack_SME!$C96),0),1))</f>
        <v>-</v>
      </c>
      <c r="G96" s="73" t="str" cm="1">
        <f t="array" ref="G96">IF(ISNUMBER(SEARCH("Residential",$C$48)),
INDEX(OP_RatesTU_RES_1[Powercor],MATCH(1,(OP_RatesTU_RES_1[Cost element]="Network")*(OP_RatesTU_RES_1[Rate name]=CH_CostStack_SME!$C96),0),1),
INDEX(OP_RatesTU_SME_1[Powercor],MATCH(1,(OP_RatesTU_SME_1[Cost element]="Network")*(OP_RatesTU_SME_1[Rate name]=CH_CostStack_SME!$C96),0),1))</f>
        <v>-</v>
      </c>
      <c r="H96" s="73" t="str" cm="1">
        <f t="array" ref="H96">IF(ISNUMBER(SEARCH("Residential",$C$48)),
INDEX(OP_RatesTU_RES_1[United Energy],MATCH(1,(OP_RatesTU_RES_1[Cost element]="Network")*(OP_RatesTU_RES_1[Rate name]=CH_CostStack_SME!$C96),0),1),
INDEX(OP_RatesTU_SME_1[United Energy],MATCH(1,(OP_RatesTU_SME_1[Cost element]="Network")*(OP_RatesTU_SME_1[Rate name]=CH_CostStack_SME!$C96),0),1))</f>
        <v>-</v>
      </c>
      <c r="K96" t="s">
        <v>80</v>
      </c>
      <c r="L96" s="73" t="str" cm="1">
        <f t="array" ref="L96">IF(ISNUMBER(SEARCH("Residential",$K$48)),
INDEX(OP_RatesTU_RES_2[Ausnet],MATCH(1,(OP_RatesTU_RES_2[Cost element]="Network")*(OP_RatesTU_RES_2[Rate name]=CH_CostStack_SME!$K96),0),1),
INDEX(OP_RatesTU_SME_2[Ausnet],MATCH(1,(OP_RatesTU_SME_2[Cost element]="Network")*(OP_RatesTU_SME_2[Rate name]=CH_CostStack_SME!$K96),0),1))</f>
        <v>-</v>
      </c>
      <c r="M96" s="73" t="str" cm="1">
        <f t="array" ref="M96">IF(ISNUMBER(SEARCH("Residential",$K$48)),
INDEX(OP_RatesTU_RES_2[Citipower],MATCH(1,(OP_RatesTU_RES_2[Cost element]="Network")*(OP_RatesTU_RES_2[Rate name]=CH_CostStack_SME!$K96),0),1),
INDEX(OP_RatesTU_SME_2[Citipower],MATCH(1,(OP_RatesTU_SME_2[Cost element]="Network")*(OP_RatesTU_SME_2[Rate name]=CH_CostStack_SME!$K96),0),1))</f>
        <v>-</v>
      </c>
      <c r="N96" s="73" t="str" cm="1">
        <f t="array" ref="N96">IF(ISNUMBER(SEARCH("Residential",$K$48)),
INDEX(OP_RatesTU_RES_2[Jemena],MATCH(1,(OP_RatesTU_RES_2[Cost element]="Network")*(OP_RatesTU_RES_2[Rate name]=CH_CostStack_SME!$K96),0),1),
INDEX(OP_RatesTU_SME_2[Jemena],MATCH(1,(OP_RatesTU_SME_2[Cost element]="Network")*(OP_RatesTU_SME_2[Rate name]=CH_CostStack_SME!$K96),0),1))</f>
        <v>-</v>
      </c>
      <c r="O96" s="73" t="str" cm="1">
        <f t="array" ref="O96">IF(ISNUMBER(SEARCH("Residential",$K$48)),
INDEX(OP_RatesTU_RES_2[Powercor],MATCH(1,(OP_RatesTU_RES_2[Cost element]="Network")*(OP_RatesTU_RES_2[Rate name]=CH_CostStack_SME!$K96),0),1),
INDEX(OP_RatesTU_SME_2[Powercor],MATCH(1,(OP_RatesTU_SME_2[Cost element]="Network")*(OP_RatesTU_SME_2[Rate name]=CH_CostStack_SME!$K96),0),1))</f>
        <v>-</v>
      </c>
      <c r="P96" s="73" t="str" cm="1">
        <f t="array" ref="P96">IF(ISNUMBER(SEARCH("Residential",$K$48)),
INDEX(OP_RatesTU_RES_2[United Energy],MATCH(1,(OP_RatesTU_RES_2[Cost element]="Network")*(OP_RatesTU_RES_2[Rate name]=CH_CostStack_SME!$K96),0),1),
INDEX(OP_RatesTU_SME_2[United Energy],MATCH(1,(OP_RatesTU_SME_2[Cost element]="Network")*(OP_RatesTU_SME_2[Rate name]=CH_CostStack_SME!$K96),0),1))</f>
        <v>-</v>
      </c>
    </row>
    <row r="97" spans="3:16" outlineLevel="1" x14ac:dyDescent="0.25"/>
    <row r="98" spans="3:16" ht="15.75" outlineLevel="1" x14ac:dyDescent="0.25">
      <c r="C98" s="31" t="s">
        <v>529</v>
      </c>
      <c r="K98" s="31" t="s">
        <v>529</v>
      </c>
    </row>
    <row r="99" spans="3:16" outlineLevel="1" x14ac:dyDescent="0.25">
      <c r="C99" t="s">
        <v>68</v>
      </c>
      <c r="D99" s="73" cm="1">
        <f t="array" ref="D99">IF(ISNUMBER(SEARCH("Residential",$C$48)),
INDEX(OP_RatesTU_RES_1[Ausnet],MATCH(1,(OP_RatesTU_RES_1[Cost element]="Environmental")*(OP_RatesTU_RES_1[Rate name]=CH_CostStack_SME!$C99),0),1),
INDEX(OP_RatesTU_SME_1[Ausnet],MATCH(1,(OP_RatesTU_SME_1[Cost element]="Environmental")*(OP_RatesTU_SME_1[Rate name]=CH_CostStack_SME!$C99),0),1))</f>
        <v>0</v>
      </c>
      <c r="E99" s="73" cm="1">
        <f t="array" ref="E99">IF(ISNUMBER(SEARCH("Residential",$C$48)),
INDEX(OP_RatesTU_RES_1[Citipower],MATCH(1,(OP_RatesTU_RES_1[Cost element]="Environmental")*(OP_RatesTU_RES_1[Rate name]=CH_CostStack_SME!$C99),0),1),
INDEX(OP_RatesTU_SME_1[Citipower],MATCH(1,(OP_RatesTU_SME_1[Cost element]="Environmental")*(OP_RatesTU_SME_1[Rate name]=CH_CostStack_SME!$C99),0),1))</f>
        <v>0</v>
      </c>
      <c r="F99" s="73" cm="1">
        <f t="array" ref="F99">IF(ISNUMBER(SEARCH("Residential",$C$48)),
INDEX(OP_RatesTU_RES_1[Jemena],MATCH(1,(OP_RatesTU_RES_1[Cost element]="Environmental")*(OP_RatesTU_RES_1[Rate name]=CH_CostStack_SME!$C99),0),1),
INDEX(OP_RatesTU_SME_1[Jemena],MATCH(1,(OP_RatesTU_SME_1[Cost element]="Environmental")*(OP_RatesTU_SME_1[Rate name]=CH_CostStack_SME!$C99),0),1))</f>
        <v>0</v>
      </c>
      <c r="G99" s="73" cm="1">
        <f t="array" ref="G99">IF(ISNUMBER(SEARCH("Residential",$C$48)),
INDEX(OP_RatesTU_RES_1[Powercor],MATCH(1,(OP_RatesTU_RES_1[Cost element]="Environmental")*(OP_RatesTU_RES_1[Rate name]=CH_CostStack_SME!$C99),0),1),
INDEX(OP_RatesTU_SME_1[Powercor],MATCH(1,(OP_RatesTU_SME_1[Cost element]="Environmental")*(OP_RatesTU_SME_1[Rate name]=CH_CostStack_SME!$C99),0),1))</f>
        <v>0</v>
      </c>
      <c r="H99" s="73" cm="1">
        <f t="array" ref="H99">IF(ISNUMBER(SEARCH("Residential",$C$48)),
INDEX(OP_RatesTU_RES_1[United Energy],MATCH(1,(OP_RatesTU_RES_1[Cost element]="Environmental")*(OP_RatesTU_RES_1[Rate name]=CH_CostStack_SME!$C99),0),1),
INDEX(OP_RatesTU_SME_1[United Energy],MATCH(1,(OP_RatesTU_SME_1[Cost element]="Environmental")*(OP_RatesTU_SME_1[Rate name]=CH_CostStack_SME!$C99),0),1))</f>
        <v>0</v>
      </c>
      <c r="K99" t="s">
        <v>68</v>
      </c>
      <c r="L99" s="73" cm="1">
        <f t="array" ref="L99">IF(ISNUMBER(SEARCH("Residential",$K$48)),
INDEX(OP_RatesTU_RES_2[Ausnet],MATCH(1,(OP_RatesTU_RES_2[Cost element]="Environmental")*(OP_RatesTU_RES_2[Rate name]=CH_CostStack_SME!$C99),0),1),
INDEX(OP_RatesTU_SME_2[Ausnet],MATCH(1,(OP_RatesTU_SME_2[Cost element]="Environmental")*(OP_RatesTU_SME_2[Rate name]=CH_CostStack_SME!$C99),0),1))</f>
        <v>-1.4451020409271499E-3</v>
      </c>
      <c r="M99" s="73" cm="1">
        <f t="array" ref="M99">IF(ISNUMBER(SEARCH("Residential",$K$48)),
INDEX(OP_RatesTU_RES_2[Citipower],MATCH(1,(OP_RatesTU_RES_2[Cost element]="Environmental")*(OP_RatesTU_RES_2[Rate name]=CH_CostStack_SME!$C99),0),1),
INDEX(OP_RatesTU_SME_2[Citipower],MATCH(1,(OP_RatesTU_SME_2[Cost element]="Environmental")*(OP_RatesTU_SME_2[Rate name]=CH_CostStack_SME!$C99),0),1))</f>
        <v>0</v>
      </c>
      <c r="N99" s="73" cm="1">
        <f t="array" ref="N99">IF(ISNUMBER(SEARCH("Residential",$K$48)),
INDEX(OP_RatesTU_RES_2[Jemena],MATCH(1,(OP_RatesTU_RES_2[Cost element]="Environmental")*(OP_RatesTU_RES_2[Rate name]=CH_CostStack_SME!$C99),0),1),
INDEX(OP_RatesTU_SME_2[Jemena],MATCH(1,(OP_RatesTU_SME_2[Cost element]="Environmental")*(OP_RatesTU_SME_2[Rate name]=CH_CostStack_SME!$C99),0),1))</f>
        <v>0</v>
      </c>
      <c r="O99" s="73" cm="1">
        <f t="array" ref="O99">IF(ISNUMBER(SEARCH("Residential",$K$48)),
INDEX(OP_RatesTU_RES_2[Powercor],MATCH(1,(OP_RatesTU_RES_2[Cost element]="Environmental")*(OP_RatesTU_RES_2[Rate name]=CH_CostStack_SME!$C99),0),1),
INDEX(OP_RatesTU_SME_2[Powercor],MATCH(1,(OP_RatesTU_SME_2[Cost element]="Environmental")*(OP_RatesTU_SME_2[Rate name]=CH_CostStack_SME!$C99),0),1))</f>
        <v>0</v>
      </c>
      <c r="P99" s="73" cm="1">
        <f t="array" ref="P99">IF(ISNUMBER(SEARCH("Residential",$K$48)),
INDEX(OP_RatesTU_RES_2[United Energy],MATCH(1,(OP_RatesTU_RES_2[Cost element]="Environmental")*(OP_RatesTU_RES_2[Rate name]=CH_CostStack_SME!$C99),0),1),
INDEX(OP_RatesTU_SME_2[United Energy],MATCH(1,(OP_RatesTU_SME_2[Cost element]="Environmental")*(OP_RatesTU_SME_2[Rate name]=CH_CostStack_SME!$C99),0),1))</f>
        <v>0</v>
      </c>
    </row>
    <row r="100" spans="3:16" outlineLevel="1" x14ac:dyDescent="0.25">
      <c r="C100" t="s">
        <v>70</v>
      </c>
      <c r="D100" s="73" cm="1">
        <f t="array" ref="D100">IF(ISNUMBER(SEARCH("Residential",$C$48)),
INDEX(OP_RatesTU_RES_1[Ausnet],MATCH(1,(OP_RatesTU_RES_1[Cost element]="Environmental")*(OP_RatesTU_RES_1[Rate name]=CH_CostStack_SME!$C100),0),1),
INDEX(OP_RatesTU_SME_1[Ausnet],MATCH(1,(OP_RatesTU_SME_1[Cost element]="Environmental")*(OP_RatesTU_SME_1[Rate name]=CH_CostStack_SME!$C100),0),1))</f>
        <v>0</v>
      </c>
      <c r="E100" s="73" cm="1">
        <f t="array" ref="E100">IF(ISNUMBER(SEARCH("Residential",$C$48)),
INDEX(OP_RatesTU_RES_1[Citipower],MATCH(1,(OP_RatesTU_RES_1[Cost element]="Environmental")*(OP_RatesTU_RES_1[Rate name]=CH_CostStack_SME!$C100),0),1),
INDEX(OP_RatesTU_SME_1[Citipower],MATCH(1,(OP_RatesTU_SME_1[Cost element]="Environmental")*(OP_RatesTU_SME_1[Rate name]=CH_CostStack_SME!$C100),0),1))</f>
        <v>0</v>
      </c>
      <c r="F100" s="73" cm="1">
        <f t="array" ref="F100">IF(ISNUMBER(SEARCH("Residential",$C$48)),
INDEX(OP_RatesTU_RES_1[Jemena],MATCH(1,(OP_RatesTU_RES_1[Cost element]="Environmental")*(OP_RatesTU_RES_1[Rate name]=CH_CostStack_SME!$C100),0),1),
INDEX(OP_RatesTU_SME_1[Jemena],MATCH(1,(OP_RatesTU_SME_1[Cost element]="Environmental")*(OP_RatesTU_SME_1[Rate name]=CH_CostStack_SME!$C100),0),1))</f>
        <v>0</v>
      </c>
      <c r="G100" s="73" cm="1">
        <f t="array" ref="G100">IF(ISNUMBER(SEARCH("Residential",$C$48)),
INDEX(OP_RatesTU_RES_1[Powercor],MATCH(1,(OP_RatesTU_RES_1[Cost element]="Environmental")*(OP_RatesTU_RES_1[Rate name]=CH_CostStack_SME!$C100),0),1),
INDEX(OP_RatesTU_SME_1[Powercor],MATCH(1,(OP_RatesTU_SME_1[Cost element]="Environmental")*(OP_RatesTU_SME_1[Rate name]=CH_CostStack_SME!$C100),0),1))</f>
        <v>0</v>
      </c>
      <c r="H100" s="73" cm="1">
        <f t="array" ref="H100">IF(ISNUMBER(SEARCH("Residential",$C$48)),
INDEX(OP_RatesTU_RES_1[United Energy],MATCH(1,(OP_RatesTU_RES_1[Cost element]="Environmental")*(OP_RatesTU_RES_1[Rate name]=CH_CostStack_SME!$C100),0),1),
INDEX(OP_RatesTU_SME_1[United Energy],MATCH(1,(OP_RatesTU_SME_1[Cost element]="Environmental")*(OP_RatesTU_SME_1[Rate name]=CH_CostStack_SME!$C100),0),1))</f>
        <v>0</v>
      </c>
      <c r="K100" t="s">
        <v>70</v>
      </c>
      <c r="L100" s="73" cm="1">
        <f t="array" ref="L100">IF(ISNUMBER(SEARCH("Residential",$K$48)),
INDEX(OP_RatesTU_RES_2[Ausnet],MATCH(1,(OP_RatesTU_RES_2[Cost element]="Environmental")*(OP_RatesTU_RES_2[Rate name]=CH_CostStack_SME!$C100),0),1),
INDEX(OP_RatesTU_SME_2[Ausnet],MATCH(1,(OP_RatesTU_SME_2[Cost element]="Environmental")*(OP_RatesTU_SME_2[Rate name]=CH_CostStack_SME!$C100),0),1))</f>
        <v>-1.4451020409271499E-3</v>
      </c>
      <c r="M100" s="73" cm="1">
        <f t="array" ref="M100">IF(ISNUMBER(SEARCH("Residential",$K$48)),
INDEX(OP_RatesTU_RES_2[Citipower],MATCH(1,(OP_RatesTU_RES_2[Cost element]="Environmental")*(OP_RatesTU_RES_2[Rate name]=CH_CostStack_SME!$C100),0),1),
INDEX(OP_RatesTU_SME_2[Citipower],MATCH(1,(OP_RatesTU_SME_2[Cost element]="Environmental")*(OP_RatesTU_SME_2[Rate name]=CH_CostStack_SME!$C100),0),1))</f>
        <v>0</v>
      </c>
      <c r="N100" s="73" cm="1">
        <f t="array" ref="N100">IF(ISNUMBER(SEARCH("Residential",$K$48)),
INDEX(OP_RatesTU_RES_2[Jemena],MATCH(1,(OP_RatesTU_RES_2[Cost element]="Environmental")*(OP_RatesTU_RES_2[Rate name]=CH_CostStack_SME!$C100),0),1),
INDEX(OP_RatesTU_SME_2[Jemena],MATCH(1,(OP_RatesTU_SME_2[Cost element]="Environmental")*(OP_RatesTU_SME_2[Rate name]=CH_CostStack_SME!$C100),0),1))</f>
        <v>0</v>
      </c>
      <c r="O100" s="73" cm="1">
        <f t="array" ref="O100">IF(ISNUMBER(SEARCH("Residential",$K$48)),
INDEX(OP_RatesTU_RES_2[Powercor],MATCH(1,(OP_RatesTU_RES_2[Cost element]="Environmental")*(OP_RatesTU_RES_2[Rate name]=CH_CostStack_SME!$C100),0),1),
INDEX(OP_RatesTU_SME_2[Powercor],MATCH(1,(OP_RatesTU_SME_2[Cost element]="Environmental")*(OP_RatesTU_SME_2[Rate name]=CH_CostStack_SME!$C100),0),1))</f>
        <v>0</v>
      </c>
      <c r="P100" s="73" cm="1">
        <f t="array" ref="P100">IF(ISNUMBER(SEARCH("Residential",$K$48)),
INDEX(OP_RatesTU_RES_2[United Energy],MATCH(1,(OP_RatesTU_RES_2[Cost element]="Environmental")*(OP_RatesTU_RES_2[Rate name]=CH_CostStack_SME!$C100),0),1),
INDEX(OP_RatesTU_SME_2[United Energy],MATCH(1,(OP_RatesTU_SME_2[Cost element]="Environmental")*(OP_RatesTU_SME_2[Rate name]=CH_CostStack_SME!$C100),0),1))</f>
        <v>0</v>
      </c>
    </row>
    <row r="101" spans="3:16" x14ac:dyDescent="0.25">
      <c r="C101" t="s">
        <v>71</v>
      </c>
      <c r="D101" s="73" cm="1">
        <f t="array" ref="D101">IF(ISNUMBER(SEARCH("Residential",$C$48)),
INDEX(OP_RatesTU_RES_1[Ausnet],MATCH(1,(OP_RatesTU_RES_1[Cost element]="Environmental")*(OP_RatesTU_RES_1[Rate name]=CH_CostStack_SME!$C101),0),1),
INDEX(OP_RatesTU_SME_1[Ausnet],MATCH(1,(OP_RatesTU_SME_1[Cost element]="Environmental")*(OP_RatesTU_SME_1[Rate name]=CH_CostStack_SME!$C101),0),1))</f>
        <v>0</v>
      </c>
      <c r="E101" s="73" cm="1">
        <f t="array" ref="E101">IF(ISNUMBER(SEARCH("Residential",$C$48)),
INDEX(OP_RatesTU_RES_1[Citipower],MATCH(1,(OP_RatesTU_RES_1[Cost element]="Environmental")*(OP_RatesTU_RES_1[Rate name]=CH_CostStack_SME!$C101),0),1),
INDEX(OP_RatesTU_SME_1[Citipower],MATCH(1,(OP_RatesTU_SME_1[Cost element]="Environmental")*(OP_RatesTU_SME_1[Rate name]=CH_CostStack_SME!$C101),0),1))</f>
        <v>0</v>
      </c>
      <c r="F101" s="73" cm="1">
        <f t="array" ref="F101">IF(ISNUMBER(SEARCH("Residential",$C$48)),
INDEX(OP_RatesTU_RES_1[Jemena],MATCH(1,(OP_RatesTU_RES_1[Cost element]="Environmental")*(OP_RatesTU_RES_1[Rate name]=CH_CostStack_SME!$C101),0),1),
INDEX(OP_RatesTU_SME_1[Jemena],MATCH(1,(OP_RatesTU_SME_1[Cost element]="Environmental")*(OP_RatesTU_SME_1[Rate name]=CH_CostStack_SME!$C101),0),1))</f>
        <v>0</v>
      </c>
      <c r="G101" s="73" cm="1">
        <f t="array" ref="G101">IF(ISNUMBER(SEARCH("Residential",$C$48)),
INDEX(OP_RatesTU_RES_1[Powercor],MATCH(1,(OP_RatesTU_RES_1[Cost element]="Environmental")*(OP_RatesTU_RES_1[Rate name]=CH_CostStack_SME!$C101),0),1),
INDEX(OP_RatesTU_SME_1[Powercor],MATCH(1,(OP_RatesTU_SME_1[Cost element]="Environmental")*(OP_RatesTU_SME_1[Rate name]=CH_CostStack_SME!$C101),0),1))</f>
        <v>0</v>
      </c>
      <c r="H101" s="73" cm="1">
        <f t="array" ref="H101">IF(ISNUMBER(SEARCH("Residential",$C$48)),
INDEX(OP_RatesTU_RES_1[United Energy],MATCH(1,(OP_RatesTU_RES_1[Cost element]="Environmental")*(OP_RatesTU_RES_1[Rate name]=CH_CostStack_SME!$C101),0),1),
INDEX(OP_RatesTU_SME_1[United Energy],MATCH(1,(OP_RatesTU_SME_1[Cost element]="Environmental")*(OP_RatesTU_SME_1[Rate name]=CH_CostStack_SME!$C101),0),1))</f>
        <v>0</v>
      </c>
      <c r="K101" t="s">
        <v>71</v>
      </c>
      <c r="L101" s="73" cm="1">
        <f t="array" ref="L101">IF(ISNUMBER(SEARCH("Residential",$K$48)),
INDEX(OP_RatesTU_RES_2[Ausnet],MATCH(1,(OP_RatesTU_RES_2[Cost element]="Environmental")*(OP_RatesTU_RES_2[Rate name]=CH_CostStack_SME!$C101),0),1),
INDEX(OP_RatesTU_SME_2[Ausnet],MATCH(1,(OP_RatesTU_SME_2[Cost element]="Environmental")*(OP_RatesTU_SME_2[Rate name]=CH_CostStack_SME!$C101),0),1))</f>
        <v>0</v>
      </c>
      <c r="M101" s="73" cm="1">
        <f t="array" ref="M101">IF(ISNUMBER(SEARCH("Residential",$K$48)),
INDEX(OP_RatesTU_RES_2[Citipower],MATCH(1,(OP_RatesTU_RES_2[Cost element]="Environmental")*(OP_RatesTU_RES_2[Rate name]=CH_CostStack_SME!$C101),0),1),
INDEX(OP_RatesTU_SME_2[Citipower],MATCH(1,(OP_RatesTU_SME_2[Cost element]="Environmental")*(OP_RatesTU_SME_2[Rate name]=CH_CostStack_SME!$C101),0),1))</f>
        <v>-1.4016011881474891E-3</v>
      </c>
      <c r="N101" s="73" cm="1">
        <f t="array" ref="N101">IF(ISNUMBER(SEARCH("Residential",$K$48)),
INDEX(OP_RatesTU_RES_2[Jemena],MATCH(1,(OP_RatesTU_RES_2[Cost element]="Environmental")*(OP_RatesTU_RES_2[Rate name]=CH_CostStack_SME!$C101),0),1),
INDEX(OP_RatesTU_SME_2[Jemena],MATCH(1,(OP_RatesTU_SME_2[Cost element]="Environmental")*(OP_RatesTU_SME_2[Rate name]=CH_CostStack_SME!$C101),0),1))</f>
        <v>-1.3896720485833702E-3</v>
      </c>
      <c r="O101" s="73" cm="1">
        <f t="array" ref="O101">IF(ISNUMBER(SEARCH("Residential",$K$48)),
INDEX(OP_RatesTU_RES_2[Powercor],MATCH(1,(OP_RatesTU_RES_2[Cost element]="Environmental")*(OP_RatesTU_RES_2[Rate name]=CH_CostStack_SME!$C101),0),1),
INDEX(OP_RatesTU_SME_2[Powercor],MATCH(1,(OP_RatesTU_SME_2[Cost element]="Environmental")*(OP_RatesTU_SME_2[Rate name]=CH_CostStack_SME!$C101),0),1))</f>
        <v>-1.432313335205126E-3</v>
      </c>
      <c r="P101" s="73" cm="1">
        <f t="array" ref="P101">IF(ISNUMBER(SEARCH("Residential",$K$48)),
INDEX(OP_RatesTU_RES_2[United Energy],MATCH(1,(OP_RatesTU_RES_2[Cost element]="Environmental")*(OP_RatesTU_RES_2[Rate name]=CH_CostStack_SME!$C101),0),1),
INDEX(OP_RatesTU_SME_2[United Energy],MATCH(1,(OP_RatesTU_SME_2[Cost element]="Environmental")*(OP_RatesTU_SME_2[Rate name]=CH_CostStack_SME!$C101),0),1))</f>
        <v>-1.3977880905040913E-3</v>
      </c>
    </row>
    <row r="107" spans="3:16" x14ac:dyDescent="0.25">
      <c r="D107" s="84"/>
    </row>
  </sheetData>
  <sheetProtection algorithmName="SHA-512" hashValue="oAp86ID+Aak2hlBlgKdwc9u7uzSSSmslCQIyusM2N4DyC6n1DEWNOTcI/QcZgm/r3mnu4l2XwfnlhQJR58ikdQ==" saltValue="wv0AMYy8rE1Ar/TfdL2tXg==" spinCount="100000" sheet="1" objects="1" scenarios="1"/>
  <mergeCells count="1">
    <mergeCell ref="A2:A3"/>
  </mergeCells>
  <dataValidations count="2">
    <dataValidation type="list" allowBlank="1" showInputMessage="1" showErrorMessage="1" sqref="D31" xr:uid="{6BCABA61-F090-4D0F-ABD5-92940F5878BB}">
      <formula1>$D$54:$I$54</formula1>
    </dataValidation>
    <dataValidation type="list" allowBlank="1" showInputMessage="1" showErrorMessage="1" sqref="D32" xr:uid="{DF33FDCE-05AB-4550-AFC9-8592FC6562AE}">
      <formula1>"Residential,Small business"</formula1>
    </dataValidation>
  </dataValidations>
  <pageMargins left="0.7" right="0.7" top="0.75" bottom="0.75" header="0.3" footer="0.3"/>
  <pageSetup paperSize="9" orientation="portrait" r:id="rId1"/>
  <headerFooter>
    <oddHeader>&amp;C&amp;B&amp;"Arial"&amp;12&amp;Kff0000​‌OFFICIAL‌​</oddHeader>
  </headerFooter>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645C930-BF7B-480B-B40F-E64015FCE4AD}">
          <x14:formula1>
            <xm:f>'Lookup refs'!$I$8:$I$13</xm:f>
          </x14:formula1>
          <xm:sqref>C48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36FE-7522-432C-9E07-B6421590DE6E}">
  <sheetPr>
    <tabColor rgb="FFCE0058"/>
    <pageSetUpPr autoPageBreaks="0"/>
  </sheetPr>
  <dimension ref="A1:X173"/>
  <sheetViews>
    <sheetView showGridLines="0" topLeftCell="B1" zoomScale="85" zoomScaleNormal="85" workbookViewId="0">
      <pane ySplit="3" topLeftCell="A4" activePane="bottomLeft" state="frozen"/>
      <selection activeCell="B33" sqref="B33"/>
      <selection pane="bottomLeft" activeCell="H23" sqref="H23"/>
    </sheetView>
  </sheetViews>
  <sheetFormatPr defaultColWidth="9.42578125" defaultRowHeight="15" outlineLevelRow="2" outlineLevelCol="1" x14ac:dyDescent="0.25"/>
  <cols>
    <col min="1" max="1" width="100.5703125" hidden="1" customWidth="1" outlineLevel="1"/>
    <col min="2" max="2" width="10.5703125" style="5" customWidth="1" collapsed="1"/>
    <col min="3" max="3" width="30.5703125" customWidth="1"/>
    <col min="4" max="4" width="15.5703125" customWidth="1"/>
    <col min="5" max="5" width="16.42578125" customWidth="1"/>
    <col min="6" max="12" width="15.5703125" customWidth="1"/>
    <col min="13" max="13" width="30.5703125" customWidth="1"/>
    <col min="14" max="14" width="15.5703125" customWidth="1"/>
    <col min="15" max="15" width="16.42578125" customWidth="1"/>
    <col min="16" max="22" width="15.5703125" customWidth="1"/>
  </cols>
  <sheetData>
    <row r="1" spans="1:22" ht="15" customHeight="1" x14ac:dyDescent="0.25">
      <c r="A1" s="1" t="s">
        <v>32</v>
      </c>
      <c r="B1" s="16"/>
      <c r="C1" s="17"/>
      <c r="D1" s="17"/>
      <c r="E1" s="17"/>
      <c r="F1" s="87" t="s">
        <v>52</v>
      </c>
      <c r="G1" s="70"/>
      <c r="H1" s="17"/>
      <c r="I1" s="17"/>
      <c r="J1" s="17"/>
      <c r="K1" s="17"/>
      <c r="L1" s="17"/>
      <c r="M1" s="17"/>
      <c r="N1" s="17"/>
      <c r="O1" s="17"/>
      <c r="P1" s="17"/>
      <c r="Q1" s="17"/>
      <c r="R1" s="17"/>
      <c r="S1" s="17"/>
      <c r="T1" s="17"/>
      <c r="U1" s="17"/>
      <c r="V1" s="17"/>
    </row>
    <row r="2" spans="1:22" s="3" customFormat="1" ht="50.1" customHeight="1" x14ac:dyDescent="0.25">
      <c r="A2" s="234" t="s">
        <v>33</v>
      </c>
      <c r="B2" s="20"/>
      <c r="C2" s="20" t="str">
        <f>Disclaimer!$B$1</f>
        <v>VDO calculation model</v>
      </c>
      <c r="D2" s="20"/>
      <c r="E2" s="20"/>
      <c r="F2" s="129" t="str">
        <f>Calc_Rates!$D$5</f>
        <v>VDO 2024-25 - Draft</v>
      </c>
      <c r="G2" s="129" t="str">
        <f>Calc_Rates!$D$266</f>
        <v>VDO 2023-24 - Final</v>
      </c>
      <c r="H2" s="20"/>
      <c r="I2" s="20"/>
      <c r="J2" s="20"/>
      <c r="K2" s="20"/>
      <c r="L2" s="20"/>
      <c r="M2" s="20"/>
      <c r="N2" s="20"/>
      <c r="O2" s="20"/>
      <c r="P2" s="20"/>
      <c r="Q2" s="20"/>
      <c r="R2" s="20"/>
      <c r="S2" s="20"/>
      <c r="T2" s="20"/>
      <c r="U2" s="20"/>
      <c r="V2" s="20"/>
    </row>
    <row r="3" spans="1:22" s="3" customFormat="1" ht="30" customHeight="1" x14ac:dyDescent="0.25">
      <c r="A3" s="234"/>
      <c r="B3" s="22">
        <f ca="1">_xlfn.SHEET()</f>
        <v>14</v>
      </c>
      <c r="C3" s="21" t="str">
        <f>"VDO rates"</f>
        <v>VDO rates</v>
      </c>
      <c r="D3" s="21"/>
      <c r="E3" s="21"/>
      <c r="F3" s="69">
        <f>SUM(G55:K62,Q55:U62,G44:K51,Q44:U51,G66:K74,Q66:U74)</f>
        <v>0</v>
      </c>
      <c r="G3" s="69">
        <f>SUM(G128:K135,Q128:U135,G117:K124,Q117:U124,G139:K147,Q139:U147)</f>
        <v>0</v>
      </c>
      <c r="H3" s="21"/>
      <c r="I3" s="21"/>
      <c r="J3" s="21"/>
      <c r="K3" s="21"/>
      <c r="L3" s="21"/>
      <c r="M3" s="21"/>
      <c r="N3" s="21"/>
      <c r="O3" s="21"/>
      <c r="P3" s="21"/>
      <c r="Q3" s="21"/>
      <c r="R3" s="21"/>
      <c r="S3" s="21"/>
      <c r="T3" s="21"/>
      <c r="U3" s="21"/>
      <c r="V3" s="21"/>
    </row>
    <row r="4" spans="1:22" x14ac:dyDescent="0.25">
      <c r="B4"/>
    </row>
    <row r="5" spans="1:22" ht="16.5" thickBot="1" x14ac:dyDescent="0.3">
      <c r="A5" s="1" t="s">
        <v>35</v>
      </c>
      <c r="B5" s="161">
        <f ca="1">MAX(B$3:B4)+0.01</f>
        <v>14.01</v>
      </c>
      <c r="C5" s="200" t="str">
        <f>"VDO rates - "&amp;Calc_Rates!$D$5</f>
        <v>VDO rates - VDO 2024-25 - Draft</v>
      </c>
      <c r="D5" s="200"/>
      <c r="E5" s="200"/>
      <c r="F5" s="200"/>
      <c r="G5" s="200"/>
      <c r="H5" s="200"/>
      <c r="I5" s="200"/>
      <c r="J5" s="200"/>
      <c r="K5" s="200"/>
      <c r="L5" s="200"/>
      <c r="M5" s="200"/>
      <c r="N5" s="200"/>
      <c r="O5" s="200"/>
      <c r="P5" s="200"/>
      <c r="Q5" s="200"/>
      <c r="R5" s="200"/>
      <c r="S5" s="200"/>
      <c r="T5" s="200"/>
      <c r="U5" s="200"/>
      <c r="V5" s="200"/>
    </row>
    <row r="6" spans="1:22" outlineLevel="1" x14ac:dyDescent="0.25"/>
    <row r="7" spans="1:22" ht="15.75" outlineLevel="1" x14ac:dyDescent="0.25">
      <c r="C7" s="24" t="s">
        <v>53</v>
      </c>
      <c r="M7" s="24" t="s">
        <v>54</v>
      </c>
      <c r="P7" s="62"/>
      <c r="Q7" s="62"/>
      <c r="R7" s="62"/>
    </row>
    <row r="8" spans="1:22" ht="15.75" outlineLevel="1" x14ac:dyDescent="0.25">
      <c r="C8" s="94" t="s">
        <v>55</v>
      </c>
      <c r="D8" s="94" t="s">
        <v>56</v>
      </c>
      <c r="E8" s="94" t="s">
        <v>57</v>
      </c>
      <c r="F8" s="94" t="s">
        <v>58</v>
      </c>
      <c r="G8" s="43" t="s">
        <v>59</v>
      </c>
      <c r="H8" s="43" t="s">
        <v>60</v>
      </c>
      <c r="I8" s="43" t="s">
        <v>61</v>
      </c>
      <c r="J8" s="43" t="s">
        <v>62</v>
      </c>
      <c r="K8" s="43" t="s">
        <v>63</v>
      </c>
      <c r="M8" s="94" t="s">
        <v>55</v>
      </c>
      <c r="N8" s="94" t="s">
        <v>56</v>
      </c>
      <c r="O8" s="94" t="s">
        <v>57</v>
      </c>
      <c r="P8" s="94" t="s">
        <v>58</v>
      </c>
      <c r="Q8" s="43" t="s">
        <v>59</v>
      </c>
      <c r="R8" s="43" t="s">
        <v>60</v>
      </c>
      <c r="S8" s="43" t="s">
        <v>61</v>
      </c>
      <c r="T8" s="43" t="s">
        <v>62</v>
      </c>
      <c r="U8" s="43" t="s">
        <v>63</v>
      </c>
    </row>
    <row r="9" spans="1:22" outlineLevel="1" x14ac:dyDescent="0.25">
      <c r="C9" s="18" t="s">
        <v>64</v>
      </c>
      <c r="D9" s="18" t="s">
        <v>65</v>
      </c>
      <c r="E9" s="18" t="s">
        <v>66</v>
      </c>
      <c r="F9" s="18" t="s">
        <v>58</v>
      </c>
      <c r="G9" s="217" cm="1">
        <f t="array" ref="G9">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1.4064000000000001</v>
      </c>
      <c r="H9" s="217" cm="1">
        <f t="array" ref="H9">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1.2045999999999999</v>
      </c>
      <c r="I9" s="217" cm="1">
        <f t="array" ref="I9">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1.2423999999999999</v>
      </c>
      <c r="J9" s="217" cm="1">
        <f t="array" ref="J9">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1.3517999999999999</v>
      </c>
      <c r="K9" s="217" cm="1">
        <f t="array" ref="K9">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1.1304000000000001</v>
      </c>
      <c r="M9" s="18" t="s">
        <v>64</v>
      </c>
      <c r="N9" s="18" t="s">
        <v>65</v>
      </c>
      <c r="O9" s="18" t="s">
        <v>67</v>
      </c>
      <c r="P9" s="18" t="s">
        <v>58</v>
      </c>
      <c r="Q9" s="217" cm="1">
        <f t="array" ref="Q9">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1.4064000000000001</v>
      </c>
      <c r="R9" s="217" cm="1">
        <f t="array" ref="R9">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1.3956</v>
      </c>
      <c r="S9" s="217" cm="1">
        <f t="array" ref="S9">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1.4296</v>
      </c>
      <c r="T9" s="217" cm="1">
        <f t="array" ref="T9">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1.4791000000000001</v>
      </c>
      <c r="U9" s="217" cm="1">
        <f t="array" ref="U9">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1.3214999999999999</v>
      </c>
    </row>
    <row r="10" spans="1:22" outlineLevel="1" x14ac:dyDescent="0.25">
      <c r="C10" s="18" t="s">
        <v>68</v>
      </c>
      <c r="D10" s="18" t="s">
        <v>69</v>
      </c>
      <c r="E10" s="18" t="s">
        <v>66</v>
      </c>
      <c r="F10" s="18" t="s">
        <v>58</v>
      </c>
      <c r="G10" s="217" cm="1">
        <f t="array" ref="G10">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0.34520000000000001</v>
      </c>
      <c r="H10" s="217" cm="1">
        <f t="array" ref="H10">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0" s="217" cm="1">
        <f t="array" ref="I10">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0" s="217" cm="1">
        <f t="array" ref="J10">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0" s="217" cm="1">
        <f t="array" ref="K10">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0" s="18" t="s">
        <v>68</v>
      </c>
      <c r="N10" s="18" t="s">
        <v>69</v>
      </c>
      <c r="O10" s="18" t="s">
        <v>67</v>
      </c>
      <c r="P10" s="18" t="s">
        <v>58</v>
      </c>
      <c r="Q10" s="217" cm="1">
        <f t="array" ref="Q10">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0.38469999999999999</v>
      </c>
      <c r="R10" s="217" cm="1">
        <f t="array" ref="R10">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0" s="217" cm="1">
        <f t="array" ref="S10">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0" s="217" cm="1">
        <f t="array" ref="T10">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0" s="217" cm="1">
        <f t="array" ref="U10">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1" spans="1:22" outlineLevel="1" x14ac:dyDescent="0.25">
      <c r="C11" s="18" t="s">
        <v>70</v>
      </c>
      <c r="D11" s="18" t="s">
        <v>69</v>
      </c>
      <c r="E11" s="18" t="s">
        <v>66</v>
      </c>
      <c r="F11" s="18" t="s">
        <v>58</v>
      </c>
      <c r="G11" s="217" cm="1">
        <f t="array" ref="G1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0.3483</v>
      </c>
      <c r="H11" s="217" cm="1">
        <f t="array" ref="H1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1" s="217" cm="1">
        <f t="array" ref="I1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1" s="217" cm="1">
        <f t="array" ref="J1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1" s="217" cm="1">
        <f t="array" ref="K1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1" s="18" t="s">
        <v>70</v>
      </c>
      <c r="N11" s="18" t="s">
        <v>69</v>
      </c>
      <c r="O11" s="18" t="s">
        <v>67</v>
      </c>
      <c r="P11" s="18" t="s">
        <v>58</v>
      </c>
      <c r="Q11" s="217" cm="1">
        <f t="array" ref="Q1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0.39629999999999999</v>
      </c>
      <c r="R11" s="217" cm="1">
        <f t="array" ref="R1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1" s="217" cm="1">
        <f t="array" ref="S1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1" s="217" cm="1">
        <f t="array" ref="T1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1" s="217" cm="1">
        <f t="array" ref="U1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2" spans="1:22" outlineLevel="1" x14ac:dyDescent="0.25">
      <c r="C12" s="18" t="s">
        <v>71</v>
      </c>
      <c r="D12" s="18" t="s">
        <v>69</v>
      </c>
      <c r="E12" s="18" t="s">
        <v>66</v>
      </c>
      <c r="F12" s="18" t="s">
        <v>58</v>
      </c>
      <c r="G12" s="217" cm="1">
        <f t="array" ref="G12">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H12" s="217" cm="1">
        <f t="array" ref="H12">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0.25580000000000003</v>
      </c>
      <c r="I12" s="217" cm="1">
        <f t="array" ref="I12">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0.2974</v>
      </c>
      <c r="J12" s="217" cm="1">
        <f t="array" ref="J12">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0.2954</v>
      </c>
      <c r="K12" s="217" cm="1">
        <f t="array" ref="K12">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0.28060000000000002</v>
      </c>
      <c r="M12" s="18" t="s">
        <v>71</v>
      </c>
      <c r="N12" s="18" t="s">
        <v>69</v>
      </c>
      <c r="O12" s="18" t="s">
        <v>67</v>
      </c>
      <c r="P12" s="18" t="s">
        <v>58</v>
      </c>
      <c r="Q12" s="217" cm="1">
        <f t="array" ref="Q12">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2" s="217" cm="1">
        <f t="array" ref="R12">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0.25280000000000002</v>
      </c>
      <c r="S12" s="217" cm="1">
        <f t="array" ref="S12">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0.31230000000000002</v>
      </c>
      <c r="T12" s="217" cm="1">
        <f t="array" ref="T12">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0.2782</v>
      </c>
      <c r="U12" s="217" cm="1">
        <f t="array" ref="U12">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0.27039999999999997</v>
      </c>
    </row>
    <row r="13" spans="1:22" outlineLevel="1" x14ac:dyDescent="0.25">
      <c r="C13" s="18" t="s">
        <v>72</v>
      </c>
      <c r="D13" s="18" t="s">
        <v>65</v>
      </c>
      <c r="E13" s="18" t="s">
        <v>66</v>
      </c>
      <c r="F13" s="18" t="s">
        <v>58</v>
      </c>
      <c r="G13" s="217" cm="1">
        <f t="array" ref="G13">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1.4064000000000001</v>
      </c>
      <c r="H13" s="217" cm="1">
        <f t="array" ref="H13">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1.2045999999999999</v>
      </c>
      <c r="I13" s="217" cm="1">
        <f t="array" ref="I13">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1.2423999999999999</v>
      </c>
      <c r="J13" s="217" cm="1">
        <f t="array" ref="J13">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1.3517999999999999</v>
      </c>
      <c r="K13" s="217" cm="1">
        <f t="array" ref="K13">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1.1304000000000001</v>
      </c>
      <c r="M13" s="18" t="s">
        <v>72</v>
      </c>
      <c r="N13" s="18" t="s">
        <v>65</v>
      </c>
      <c r="O13" s="18" t="s">
        <v>67</v>
      </c>
      <c r="P13" s="18" t="s">
        <v>58</v>
      </c>
      <c r="Q13" s="217" cm="1">
        <f t="array" ref="Q13">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1.4064000000000001</v>
      </c>
      <c r="R13" s="217" cm="1">
        <f t="array" ref="R13">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1.3956</v>
      </c>
      <c r="S13" s="217" cm="1">
        <f t="array" ref="S13">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1.8537999999999999</v>
      </c>
      <c r="T13" s="217" cm="1">
        <f t="array" ref="T13">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1.4791000000000001</v>
      </c>
      <c r="U13" s="217" cm="1">
        <f t="array" ref="U13">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1.3214999999999999</v>
      </c>
    </row>
    <row r="14" spans="1:22" outlineLevel="1" x14ac:dyDescent="0.25">
      <c r="C14" s="18" t="s">
        <v>73</v>
      </c>
      <c r="D14" s="18" t="s">
        <v>69</v>
      </c>
      <c r="E14" s="18" t="s">
        <v>66</v>
      </c>
      <c r="F14" s="18" t="s">
        <v>58</v>
      </c>
      <c r="G14" s="217" cm="1">
        <f t="array" ref="G14">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0.46560000000000001</v>
      </c>
      <c r="H14" s="217" cm="1">
        <f t="array" ref="H14">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0.34820000000000001</v>
      </c>
      <c r="I14" s="217" cm="1">
        <f t="array" ref="I14">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0.37480000000000002</v>
      </c>
      <c r="J14" s="217" cm="1">
        <f t="array" ref="J14">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0.40039999999999998</v>
      </c>
      <c r="K14" s="217" cm="1">
        <f t="array" ref="K14">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0.37980000000000003</v>
      </c>
      <c r="M14" s="18" t="s">
        <v>73</v>
      </c>
      <c r="N14" s="18" t="s">
        <v>69</v>
      </c>
      <c r="O14" s="18" t="s">
        <v>67</v>
      </c>
      <c r="P14" s="18" t="s">
        <v>58</v>
      </c>
      <c r="Q14" s="217" cm="1">
        <f t="array" ref="Q14">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0.3967</v>
      </c>
      <c r="R14" s="217" cm="1">
        <f t="array" ref="R14">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0.31759999999999999</v>
      </c>
      <c r="S14" s="217" cm="1">
        <f t="array" ref="S14">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0.35449999999999998</v>
      </c>
      <c r="T14" s="217" cm="1">
        <f t="array" ref="T14">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0.37430000000000002</v>
      </c>
      <c r="U14" s="217" cm="1">
        <f t="array" ref="U14">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0.34379999999999999</v>
      </c>
    </row>
    <row r="15" spans="1:22" outlineLevel="1" x14ac:dyDescent="0.25">
      <c r="C15" s="18" t="s">
        <v>74</v>
      </c>
      <c r="D15" s="18" t="s">
        <v>69</v>
      </c>
      <c r="E15" s="18" t="s">
        <v>66</v>
      </c>
      <c r="F15" s="18" t="s">
        <v>58</v>
      </c>
      <c r="G15" s="217" cm="1">
        <f t="array" ref="G15">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0.24429999999999999</v>
      </c>
      <c r="H15" s="217" cm="1">
        <f t="array" ref="H15">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0.2089</v>
      </c>
      <c r="I15" s="217" cm="1">
        <f t="array" ref="I15">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0.23519999999999999</v>
      </c>
      <c r="J15" s="217" cm="1">
        <f t="array" ref="J15">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0.2392</v>
      </c>
      <c r="K15" s="217" cm="1">
        <f t="array" ref="K15">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0.22720000000000001</v>
      </c>
      <c r="M15" s="18" t="s">
        <v>74</v>
      </c>
      <c r="N15" s="18" t="s">
        <v>69</v>
      </c>
      <c r="O15" s="18" t="s">
        <v>67</v>
      </c>
      <c r="P15" s="18" t="s">
        <v>58</v>
      </c>
      <c r="Q15" s="217" cm="1">
        <f t="array" ref="Q15">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0.21540000000000001</v>
      </c>
      <c r="R15" s="217" cm="1">
        <f t="array" ref="R15">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0.187</v>
      </c>
      <c r="S15" s="217" cm="1">
        <f t="array" ref="S15">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0.19800000000000001</v>
      </c>
      <c r="T15" s="217" cm="1">
        <f t="array" ref="T15">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0.2039</v>
      </c>
      <c r="U15" s="217" cm="1">
        <f t="array" ref="U15">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0.19769999999999999</v>
      </c>
    </row>
    <row r="16" spans="1:22" outlineLevel="1" x14ac:dyDescent="0.25">
      <c r="C16" s="18" t="s">
        <v>75</v>
      </c>
      <c r="D16" s="18" t="s">
        <v>69</v>
      </c>
      <c r="E16" s="18" t="s">
        <v>66</v>
      </c>
      <c r="F16" s="18" t="s">
        <v>58</v>
      </c>
      <c r="G16" s="217" cm="1">
        <f t="array" ref="G16">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0.24429999999999999</v>
      </c>
      <c r="H16" s="217" cm="1">
        <f t="array" ref="H16">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0.1905</v>
      </c>
      <c r="I16" s="217" cm="1">
        <f t="array" ref="I16">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0.2266</v>
      </c>
      <c r="J16" s="217" cm="1">
        <f t="array" ref="J16">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0.21629999999999999</v>
      </c>
      <c r="K16" s="217" cm="1">
        <f t="array" ref="K16">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0.20619999999999999</v>
      </c>
      <c r="M16" s="33"/>
      <c r="N16" s="33"/>
      <c r="O16" s="18"/>
      <c r="P16" s="42" t="s">
        <v>58</v>
      </c>
      <c r="Q16" s="217" cm="1">
        <f t="array" ref="Q16">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6" s="217" cm="1">
        <f t="array" ref="R16">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6" s="217" cm="1">
        <f t="array" ref="S16">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6" s="217" cm="1">
        <f t="array" ref="T16">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6" s="217" cm="1">
        <f t="array" ref="U16">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7" spans="3:21" outlineLevel="1" x14ac:dyDescent="0.25"/>
    <row r="18" spans="3:21" ht="15.75" outlineLevel="1" x14ac:dyDescent="0.25">
      <c r="C18" s="24" t="s">
        <v>76</v>
      </c>
      <c r="H18" s="62"/>
      <c r="M18" s="24" t="s">
        <v>77</v>
      </c>
      <c r="R18" s="62"/>
      <c r="S18" s="218"/>
    </row>
    <row r="19" spans="3:21" ht="15.75" outlineLevel="2" x14ac:dyDescent="0.25">
      <c r="C19" s="32" t="s">
        <v>55</v>
      </c>
      <c r="D19" s="32" t="s">
        <v>56</v>
      </c>
      <c r="E19" s="32" t="s">
        <v>57</v>
      </c>
      <c r="F19" s="32" t="s">
        <v>58</v>
      </c>
      <c r="G19" s="43" t="s">
        <v>59</v>
      </c>
      <c r="H19" s="43" t="s">
        <v>60</v>
      </c>
      <c r="I19" s="43" t="s">
        <v>61</v>
      </c>
      <c r="J19" s="43" t="s">
        <v>62</v>
      </c>
      <c r="K19" s="219" t="s">
        <v>63</v>
      </c>
      <c r="M19" s="32" t="s">
        <v>55</v>
      </c>
      <c r="N19" s="32" t="s">
        <v>56</v>
      </c>
      <c r="O19" s="32" t="s">
        <v>57</v>
      </c>
      <c r="P19" s="32" t="s">
        <v>58</v>
      </c>
      <c r="Q19" s="43" t="s">
        <v>59</v>
      </c>
      <c r="R19" s="43" t="s">
        <v>60</v>
      </c>
      <c r="S19" s="43" t="s">
        <v>61</v>
      </c>
      <c r="T19" s="43" t="s">
        <v>62</v>
      </c>
      <c r="U19" s="219" t="s">
        <v>63</v>
      </c>
    </row>
    <row r="20" spans="3:21" outlineLevel="2" x14ac:dyDescent="0.25">
      <c r="C20" s="18" t="s">
        <v>64</v>
      </c>
      <c r="D20" s="18" t="s">
        <v>65</v>
      </c>
      <c r="E20" s="18" t="s">
        <v>66</v>
      </c>
      <c r="F20" s="42" t="s">
        <v>58</v>
      </c>
      <c r="G20" s="220">
        <f>SUMIFS(Calc_Rates!G$17:G$47,Calc_Rates!$C$17:$C$47,OP_Rates!$C20,Calc_Rates!$F$17:$F$47,OP_Rates!$E20)</f>
        <v>1.406355758426028</v>
      </c>
      <c r="H20" s="220">
        <f>SUMIFS(Calc_Rates!H$17:H$47,Calc_Rates!$C$17:$C$47,OP_Rates!$C20,Calc_Rates!$F$17:$F$47,OP_Rates!$E20)</f>
        <v>1.2046162224454868</v>
      </c>
      <c r="I20" s="220">
        <f>SUMIFS(Calc_Rates!I$17:I$47,Calc_Rates!$C$17:$C$47,OP_Rates!$C20,Calc_Rates!$F$17:$F$47,OP_Rates!$E20)</f>
        <v>1.2424323392123839</v>
      </c>
      <c r="J20" s="220">
        <f>SUMIFS(Calc_Rates!J$17:J$47,Calc_Rates!$C$17:$C$47,OP_Rates!$C20,Calc_Rates!$F$17:$F$47,OP_Rates!$E20)</f>
        <v>1.3518130578298491</v>
      </c>
      <c r="K20" s="221">
        <f>SUMIFS(Calc_Rates!K$17:K$47,Calc_Rates!$C$17:$C$47,OP_Rates!$C20,Calc_Rates!$F$17:$F$47,OP_Rates!$E20)</f>
        <v>1.1304182972353454</v>
      </c>
      <c r="M20" s="18" t="s">
        <v>64</v>
      </c>
      <c r="N20" s="18" t="s">
        <v>65</v>
      </c>
      <c r="O20" s="18" t="s">
        <v>67</v>
      </c>
      <c r="P20" s="42" t="s">
        <v>58</v>
      </c>
      <c r="Q20" s="220">
        <f>IF(SUMIFS(Calc_Rates!G$17:G$47,Calc_Rates!$C$17:$C$47,OP_Rates!$M20,Calc_Rates!$F$17:$F$47,OP_Rates!$O20)=0,"-",SUMIFS(Calc_Rates!G$17:G$47,Calc_Rates!$C$17:$C$47,OP_Rates!$M20,Calc_Rates!$F$17:$F$47,OP_Rates!$O20))</f>
        <v>1.406355758426028</v>
      </c>
      <c r="R20" s="220">
        <f>IF(SUMIFS(Calc_Rates!H$17:H$47,Calc_Rates!$C$17:$C$47,OP_Rates!$M20,Calc_Rates!$F$17:$F$47,OP_Rates!$O20)=0,"-",SUMIFS(Calc_Rates!H$17:H$47,Calc_Rates!$C$17:$C$47,OP_Rates!$M20,Calc_Rates!$F$17:$F$47,OP_Rates!$O20))</f>
        <v>1.3955832624454869</v>
      </c>
      <c r="S20" s="220">
        <f>IF(SUMIFS(Calc_Rates!I$17:I$47,Calc_Rates!$C$17:$C$47,OP_Rates!$M20,Calc_Rates!$F$17:$F$47,OP_Rates!$O20)=0,"-",SUMIFS(Calc_Rates!I$17:I$47,Calc_Rates!$C$17:$C$47,OP_Rates!$M20,Calc_Rates!$F$17:$F$47,OP_Rates!$O20))</f>
        <v>1.4295795836380274</v>
      </c>
      <c r="T20" s="220">
        <f>IF(SUMIFS(Calc_Rates!J$17:J$47,Calc_Rates!$C$17:$C$47,OP_Rates!$M20,Calc_Rates!$F$17:$F$47,OP_Rates!$O20)=0,"-",SUMIFS(Calc_Rates!J$17:J$47,Calc_Rates!$C$17:$C$47,OP_Rates!$M20,Calc_Rates!$F$17:$F$47,OP_Rates!$O20))</f>
        <v>1.4791244178298493</v>
      </c>
      <c r="U20" s="220">
        <f>IF(SUMIFS(Calc_Rates!K$17:K$47,Calc_Rates!$C$17:$C$47,OP_Rates!$M20,Calc_Rates!$F$17:$F$47,OP_Rates!$O20)=0,"-",SUMIFS(Calc_Rates!K$17:K$47,Calc_Rates!$C$17:$C$47,OP_Rates!$M20,Calc_Rates!$F$17:$F$47,OP_Rates!$O20))</f>
        <v>1.3215014972353454</v>
      </c>
    </row>
    <row r="21" spans="3:21" outlineLevel="2" x14ac:dyDescent="0.25">
      <c r="C21" s="18" t="s">
        <v>68</v>
      </c>
      <c r="D21" s="18" t="s">
        <v>69</v>
      </c>
      <c r="E21" s="18" t="s">
        <v>66</v>
      </c>
      <c r="F21" s="42" t="s">
        <v>58</v>
      </c>
      <c r="G21" s="220">
        <f>IF(SUMIFS(Calc_Rates!G$61:G$139,Calc_Rates!$C$61:$C$139,OP_Rates!$C21&amp;" charge",Calc_Rates!$F$61:$F$139,OP_Rates!$E21)=0,"-",SUMIFS(Calc_Rates!G$61:G$139,Calc_Rates!$C$61:$C$139,OP_Rates!$C21&amp;" charge",Calc_Rates!$F$61:$F$139,OP_Rates!$E21))</f>
        <v>0.34519143731855717</v>
      </c>
      <c r="H21" s="220" t="str">
        <f>IF(SUMIFS(Calc_Rates!H$61:H$139,Calc_Rates!$C$61:$C$139,OP_Rates!$C21&amp;" charge",Calc_Rates!$F$61:$F$139,OP_Rates!$E21)=0,"-",SUMIFS(Calc_Rates!H$61:H$139,Calc_Rates!$C$61:$C$139,OP_Rates!$C21&amp;" charge",Calc_Rates!$F$61:$F$139,OP_Rates!$E21))</f>
        <v>-</v>
      </c>
      <c r="I21" s="220" t="str">
        <f>IF(SUMIFS(Calc_Rates!I$61:I$139,Calc_Rates!$C$61:$C$139,OP_Rates!$C21&amp;" charge",Calc_Rates!$F$61:$F$139,OP_Rates!$E21)=0,"-",SUMIFS(Calc_Rates!I$61:I$139,Calc_Rates!$C$61:$C$139,OP_Rates!$C21&amp;" charge",Calc_Rates!$F$61:$F$139,OP_Rates!$E21))</f>
        <v>-</v>
      </c>
      <c r="J21" s="220" t="str">
        <f>IF(SUMIFS(Calc_Rates!J$61:J$139,Calc_Rates!$C$61:$C$139,OP_Rates!$C21&amp;" charge",Calc_Rates!$F$61:$F$139,OP_Rates!$E21)=0,"-",SUMIFS(Calc_Rates!J$61:J$139,Calc_Rates!$C$61:$C$139,OP_Rates!$C21&amp;" charge",Calc_Rates!$F$61:$F$139,OP_Rates!$E21))</f>
        <v>-</v>
      </c>
      <c r="K21" s="220" t="str">
        <f>IF(SUMIFS(Calc_Rates!K$61:K$139,Calc_Rates!$C$61:$C$139,OP_Rates!$C21&amp;" charge",Calc_Rates!$F$61:$F$139,OP_Rates!$E21)=0,"-",SUMIFS(Calc_Rates!K$61:K$139,Calc_Rates!$C$61:$C$139,OP_Rates!$C21&amp;" charge",Calc_Rates!$F$61:$F$139,OP_Rates!$E21))</f>
        <v>-</v>
      </c>
      <c r="M21" s="18" t="s">
        <v>68</v>
      </c>
      <c r="N21" s="18" t="s">
        <v>69</v>
      </c>
      <c r="O21" s="18" t="s">
        <v>67</v>
      </c>
      <c r="P21" s="42" t="s">
        <v>58</v>
      </c>
      <c r="Q21" s="220">
        <f>IF(SUMIFS(Calc_Rates!G$61:G$139,Calc_Rates!$C$61:$C$139,OP_Rates!$M21&amp;" charge",Calc_Rates!$F$61:$F$139,OP_Rates!$O21)=0,"-",SUMIFS(Calc_Rates!G$61:G$139,Calc_Rates!$C$61:$C$139,OP_Rates!$M21&amp;" charge",Calc_Rates!$F$61:$F$139,OP_Rates!$O21))</f>
        <v>0.384717825741626</v>
      </c>
      <c r="R21" s="220" t="str">
        <f>IF(SUMIFS(Calc_Rates!H$61:H$139,Calc_Rates!$C$61:$C$139,OP_Rates!$M21&amp;" charge",Calc_Rates!$F$61:$F$139,OP_Rates!$O21)=0,"-",SUMIFS(Calc_Rates!H$61:H$139,Calc_Rates!$C$61:$C$139,OP_Rates!$M21&amp;" charge",Calc_Rates!$F$61:$F$139,OP_Rates!$O21))</f>
        <v>-</v>
      </c>
      <c r="S21" s="220" t="str">
        <f>IF(SUMIFS(Calc_Rates!I$61:I$139,Calc_Rates!$C$61:$C$139,OP_Rates!$M21&amp;" charge",Calc_Rates!$F$61:$F$139,OP_Rates!$O21)=0,"-",SUMIFS(Calc_Rates!I$61:I$139,Calc_Rates!$C$61:$C$139,OP_Rates!$M21&amp;" charge",Calc_Rates!$F$61:$F$139,OP_Rates!$O21))</f>
        <v>-</v>
      </c>
      <c r="T21" s="220" t="str">
        <f>IF(SUMIFS(Calc_Rates!J$61:J$139,Calc_Rates!$C$61:$C$139,OP_Rates!$M21&amp;" charge",Calc_Rates!$F$61:$F$139,OP_Rates!$O21)=0,"-",SUMIFS(Calc_Rates!J$61:J$139,Calc_Rates!$C$61:$C$139,OP_Rates!$M21&amp;" charge",Calc_Rates!$F$61:$F$139,OP_Rates!$O21))</f>
        <v>-</v>
      </c>
      <c r="U21" s="220" t="str">
        <f>IF(SUMIFS(Calc_Rates!K$61:K$139,Calc_Rates!$C$61:$C$139,OP_Rates!$M21&amp;" charge",Calc_Rates!$F$61:$F$139,OP_Rates!$O21)=0,"-",SUMIFS(Calc_Rates!K$61:K$139,Calc_Rates!$C$61:$C$139,OP_Rates!$M21&amp;" charge",Calc_Rates!$F$61:$F$139,OP_Rates!$O21))</f>
        <v>-</v>
      </c>
    </row>
    <row r="22" spans="3:21" outlineLevel="2" x14ac:dyDescent="0.25">
      <c r="C22" s="18" t="s">
        <v>70</v>
      </c>
      <c r="D22" s="18" t="s">
        <v>69</v>
      </c>
      <c r="E22" s="18" t="s">
        <v>66</v>
      </c>
      <c r="F22" s="42" t="s">
        <v>58</v>
      </c>
      <c r="G22" s="220">
        <f>IF(SUMIFS(Calc_Rates!G$61:G$139,Calc_Rates!$C$61:$C$139,OP_Rates!$C22&amp;" charge",Calc_Rates!$F$61:$F$139,OP_Rates!$E22)=0,"-",SUMIFS(Calc_Rates!G$61:G$139,Calc_Rates!$C$61:$C$139,OP_Rates!$C22&amp;" charge",Calc_Rates!$F$61:$F$139,OP_Rates!$E22))</f>
        <v>0.34829755571855719</v>
      </c>
      <c r="H22" s="220" t="str">
        <f>IF(SUMIFS(Calc_Rates!H$61:H$139,Calc_Rates!$C$61:$C$139,OP_Rates!$C22&amp;" charge",Calc_Rates!$F$61:$F$139,OP_Rates!$E22)=0,"-",SUMIFS(Calc_Rates!H$61:H$139,Calc_Rates!$C$61:$C$139,OP_Rates!$C22&amp;" charge",Calc_Rates!$F$61:$F$139,OP_Rates!$E22))</f>
        <v>-</v>
      </c>
      <c r="I22" s="220" t="str">
        <f>IF(SUMIFS(Calc_Rates!I$61:I$139,Calc_Rates!$C$61:$C$139,OP_Rates!$C22&amp;" charge",Calc_Rates!$F$61:$F$139,OP_Rates!$E22)=0,"-",SUMIFS(Calc_Rates!I$61:I$139,Calc_Rates!$C$61:$C$139,OP_Rates!$C22&amp;" charge",Calc_Rates!$F$61:$F$139,OP_Rates!$E22))</f>
        <v>-</v>
      </c>
      <c r="J22" s="220" t="str">
        <f>IF(SUMIFS(Calc_Rates!J$61:J$139,Calc_Rates!$C$61:$C$139,OP_Rates!$C22&amp;" charge",Calc_Rates!$F$61:$F$139,OP_Rates!$E22)=0,"-",SUMIFS(Calc_Rates!J$61:J$139,Calc_Rates!$C$61:$C$139,OP_Rates!$C22&amp;" charge",Calc_Rates!$F$61:$F$139,OP_Rates!$E22))</f>
        <v>-</v>
      </c>
      <c r="K22" s="220" t="str">
        <f>IF(SUMIFS(Calc_Rates!K$61:K$139,Calc_Rates!$C$61:$C$139,OP_Rates!$C22&amp;" charge",Calc_Rates!$F$61:$F$139,OP_Rates!$E22)=0,"-",SUMIFS(Calc_Rates!K$61:K$139,Calc_Rates!$C$61:$C$139,OP_Rates!$C22&amp;" charge",Calc_Rates!$F$61:$F$139,OP_Rates!$E22))</f>
        <v>-</v>
      </c>
      <c r="M22" s="18" t="s">
        <v>70</v>
      </c>
      <c r="N22" s="18" t="s">
        <v>69</v>
      </c>
      <c r="O22" s="18" t="s">
        <v>67</v>
      </c>
      <c r="P22" s="42" t="s">
        <v>58</v>
      </c>
      <c r="Q22" s="220">
        <f>IF(SUMIFS(Calc_Rates!G$61:G$139,Calc_Rates!$C$61:$C$139,OP_Rates!$M22&amp;" charge",Calc_Rates!$F$61:$F$139,OP_Rates!$O22)=0,"-",SUMIFS(Calc_Rates!G$61:G$139,Calc_Rates!$C$61:$C$139,OP_Rates!$M22&amp;" charge",Calc_Rates!$F$61:$F$139,OP_Rates!$O22))</f>
        <v>0.39630130094162602</v>
      </c>
      <c r="R22" s="220" t="str">
        <f>IF(SUMIFS(Calc_Rates!H$61:H$139,Calc_Rates!$C$61:$C$139,OP_Rates!$M22&amp;" charge",Calc_Rates!$F$61:$F$139,OP_Rates!$O22)=0,"-",SUMIFS(Calc_Rates!H$61:H$139,Calc_Rates!$C$61:$C$139,OP_Rates!$M22&amp;" charge",Calc_Rates!$F$61:$F$139,OP_Rates!$O22))</f>
        <v>-</v>
      </c>
      <c r="S22" s="220" t="str">
        <f>IF(SUMIFS(Calc_Rates!I$61:I$139,Calc_Rates!$C$61:$C$139,OP_Rates!$M22&amp;" charge",Calc_Rates!$F$61:$F$139,OP_Rates!$O22)=0,"-",SUMIFS(Calc_Rates!I$61:I$139,Calc_Rates!$C$61:$C$139,OP_Rates!$M22&amp;" charge",Calc_Rates!$F$61:$F$139,OP_Rates!$O22))</f>
        <v>-</v>
      </c>
      <c r="T22" s="220" t="str">
        <f>IF(SUMIFS(Calc_Rates!J$61:J$139,Calc_Rates!$C$61:$C$139,OP_Rates!$M22&amp;" charge",Calc_Rates!$F$61:$F$139,OP_Rates!$O22)=0,"-",SUMIFS(Calc_Rates!J$61:J$139,Calc_Rates!$C$61:$C$139,OP_Rates!$M22&amp;" charge",Calc_Rates!$F$61:$F$139,OP_Rates!$O22))</f>
        <v>-</v>
      </c>
      <c r="U22" s="220" t="str">
        <f>IF(SUMIFS(Calc_Rates!K$61:K$139,Calc_Rates!$C$61:$C$139,OP_Rates!$M22&amp;" charge",Calc_Rates!$F$61:$F$139,OP_Rates!$O22)=0,"-",SUMIFS(Calc_Rates!K$61:K$139,Calc_Rates!$C$61:$C$139,OP_Rates!$M22&amp;" charge",Calc_Rates!$F$61:$F$139,OP_Rates!$O22))</f>
        <v>-</v>
      </c>
    </row>
    <row r="23" spans="3:21" outlineLevel="2" x14ac:dyDescent="0.25">
      <c r="C23" s="18" t="s">
        <v>71</v>
      </c>
      <c r="D23" s="18" t="s">
        <v>69</v>
      </c>
      <c r="E23" s="18" t="s">
        <v>66</v>
      </c>
      <c r="F23" s="42" t="s">
        <v>58</v>
      </c>
      <c r="G23" s="220" t="str">
        <f>IF(SUMIFS(Calc_Rates!G$61:G$139,Calc_Rates!$C$61:$C$139,OP_Rates!$C23&amp;" charge",Calc_Rates!$F$61:$F$139,OP_Rates!$E23)=0,"-",SUMIFS(Calc_Rates!G$61:G$139,Calc_Rates!$C$61:$C$139,OP_Rates!$C23&amp;" charge",Calc_Rates!$F$61:$F$139,OP_Rates!$E23))</f>
        <v>-</v>
      </c>
      <c r="H23" s="220">
        <f>IF(SUMIFS(Calc_Rates!H$61:H$139,Calc_Rates!$C$61:$C$139,OP_Rates!$C23&amp;" charge",Calc_Rates!$F$61:$F$139,OP_Rates!$E23)=0,"-",SUMIFS(Calc_Rates!H$61:H$139,Calc_Rates!$C$61:$C$139,OP_Rates!$C23&amp;" charge",Calc_Rates!$F$61:$F$139,OP_Rates!$E23))</f>
        <v>0.255757117023936</v>
      </c>
      <c r="I23" s="220">
        <f>IF(SUMIFS(Calc_Rates!I$61:I$139,Calc_Rates!$C$61:$C$139,OP_Rates!$C23&amp;" charge",Calc_Rates!$F$61:$F$139,OP_Rates!$E23)=0,"-",SUMIFS(Calc_Rates!I$61:I$139,Calc_Rates!$C$61:$C$139,OP_Rates!$C23&amp;" charge",Calc_Rates!$F$61:$F$139,OP_Rates!$E23))</f>
        <v>0.29741863761668502</v>
      </c>
      <c r="J23" s="220">
        <f>IF(SUMIFS(Calc_Rates!J$61:J$139,Calc_Rates!$C$61:$C$139,OP_Rates!$C23&amp;" charge",Calc_Rates!$F$61:$F$139,OP_Rates!$E23)=0,"-",SUMIFS(Calc_Rates!J$61:J$139,Calc_Rates!$C$61:$C$139,OP_Rates!$C23&amp;" charge",Calc_Rates!$F$61:$F$139,OP_Rates!$E23))</f>
        <v>0.29541268138508159</v>
      </c>
      <c r="K23" s="220">
        <f>IF(SUMIFS(Calc_Rates!K$61:K$139,Calc_Rates!$C$61:$C$139,OP_Rates!$C23&amp;" charge",Calc_Rates!$F$61:$F$139,OP_Rates!$E23)=0,"-",SUMIFS(Calc_Rates!K$61:K$139,Calc_Rates!$C$61:$C$139,OP_Rates!$C23&amp;" charge",Calc_Rates!$F$61:$F$139,OP_Rates!$E23))</f>
        <v>0.28061009248828306</v>
      </c>
      <c r="M23" s="18" t="s">
        <v>71</v>
      </c>
      <c r="N23" s="18" t="s">
        <v>69</v>
      </c>
      <c r="O23" s="18" t="s">
        <v>67</v>
      </c>
      <c r="P23" s="42" t="s">
        <v>58</v>
      </c>
      <c r="Q23" s="220" t="str">
        <f>IF(SUMIFS(Calc_Rates!G$61:G$139,Calc_Rates!$C$61:$C$139,OP_Rates!$M23&amp;" charge",Calc_Rates!$F$61:$F$139,OP_Rates!$O23)=0,"-",SUMIFS(Calc_Rates!G$61:G$139,Calc_Rates!$C$61:$C$139,OP_Rates!$M23&amp;" charge",Calc_Rates!$F$61:$F$139,OP_Rates!$O23))</f>
        <v>-</v>
      </c>
      <c r="R23" s="220">
        <f>IF(SUMIFS(Calc_Rates!H$61:H$139,Calc_Rates!$C$61:$C$139,OP_Rates!$M23&amp;" charge",Calc_Rates!$F$61:$F$139,OP_Rates!$O23)=0,"-",SUMIFS(Calc_Rates!H$61:H$139,Calc_Rates!$C$61:$C$139,OP_Rates!$M23&amp;" charge",Calc_Rates!$F$61:$F$139,OP_Rates!$O23))</f>
        <v>0.252775812543936</v>
      </c>
      <c r="S23" s="220">
        <f>IF(SUMIFS(Calc_Rates!I$61:I$139,Calc_Rates!$C$61:$C$139,OP_Rates!$M23&amp;" charge",Calc_Rates!$F$61:$F$139,OP_Rates!$O23)=0,"-",SUMIFS(Calc_Rates!I$61:I$139,Calc_Rates!$C$61:$C$139,OP_Rates!$M23&amp;" charge",Calc_Rates!$F$61:$F$139,OP_Rates!$O23))</f>
        <v>0.31226159059384861</v>
      </c>
      <c r="T23" s="220">
        <f>IF(SUMIFS(Calc_Rates!J$61:J$139,Calc_Rates!$C$61:$C$139,OP_Rates!$M23&amp;" charge",Calc_Rates!$F$61:$F$139,OP_Rates!$O23)=0,"-",SUMIFS(Calc_Rates!J$61:J$139,Calc_Rates!$C$61:$C$139,OP_Rates!$M23&amp;" charge",Calc_Rates!$F$61:$F$139,OP_Rates!$O23))</f>
        <v>0.27823543925996158</v>
      </c>
      <c r="U23" s="220">
        <f>IF(SUMIFS(Calc_Rates!K$61:K$139,Calc_Rates!$C$61:$C$139,OP_Rates!$M23&amp;" charge",Calc_Rates!$F$61:$F$139,OP_Rates!$O23)=0,"-",SUMIFS(Calc_Rates!K$61:K$139,Calc_Rates!$C$61:$C$139,OP_Rates!$M23&amp;" charge",Calc_Rates!$F$61:$F$139,OP_Rates!$O23))</f>
        <v>0.27040802746391601</v>
      </c>
    </row>
    <row r="24" spans="3:21" outlineLevel="2" x14ac:dyDescent="0.25">
      <c r="C24" s="18" t="s">
        <v>72</v>
      </c>
      <c r="D24" s="18" t="s">
        <v>65</v>
      </c>
      <c r="E24" s="18" t="s">
        <v>66</v>
      </c>
      <c r="F24" s="42" t="s">
        <v>58</v>
      </c>
      <c r="G24" s="220">
        <f>IF(SUMIFS(Calc_Rates!G$17:G$47,Calc_Rates!$C$17:$C$47,OP_Rates!$C24,Calc_Rates!$F$17:$F$47,OP_Rates!$E24)=0,"-",SUMIFS(Calc_Rates!G$17:G$47,Calc_Rates!$C$17:$C$47,OP_Rates!$C24,Calc_Rates!$F$17:$F$47,OP_Rates!$E24))</f>
        <v>1.406355758426028</v>
      </c>
      <c r="H24" s="220">
        <f>IF(SUMIFS(Calc_Rates!H$17:H$47,Calc_Rates!$C$17:$C$47,OP_Rates!$C24,Calc_Rates!$F$17:$F$47,OP_Rates!$E24)=0,"-",SUMIFS(Calc_Rates!H$17:H$47,Calc_Rates!$C$17:$C$47,OP_Rates!$C24,Calc_Rates!$F$17:$F$47,OP_Rates!$E24))</f>
        <v>1.2046162224454868</v>
      </c>
      <c r="I24" s="220">
        <f>IF(SUMIFS(Calc_Rates!I$17:I$47,Calc_Rates!$C$17:$C$47,OP_Rates!$C24,Calc_Rates!$F$17:$F$47,OP_Rates!$E24)=0,"-",SUMIFS(Calc_Rates!I$17:I$47,Calc_Rates!$C$17:$C$47,OP_Rates!$C24,Calc_Rates!$F$17:$F$47,OP_Rates!$E24))</f>
        <v>1.2424323392123839</v>
      </c>
      <c r="J24" s="220">
        <f>IF(SUMIFS(Calc_Rates!J$17:J$47,Calc_Rates!$C$17:$C$47,OP_Rates!$C24,Calc_Rates!$F$17:$F$47,OP_Rates!$E24)=0,"-",SUMIFS(Calc_Rates!J$17:J$47,Calc_Rates!$C$17:$C$47,OP_Rates!$C24,Calc_Rates!$F$17:$F$47,OP_Rates!$E24))</f>
        <v>1.3518130578298491</v>
      </c>
      <c r="K24" s="220">
        <f>IF(SUMIFS(Calc_Rates!K$17:K$47,Calc_Rates!$C$17:$C$47,OP_Rates!$C24,Calc_Rates!$F$17:$F$47,OP_Rates!$E24)=0,"-",SUMIFS(Calc_Rates!K$17:K$47,Calc_Rates!$C$17:$C$47,OP_Rates!$C24,Calc_Rates!$F$17:$F$47,OP_Rates!$E24))</f>
        <v>1.1304182972353454</v>
      </c>
      <c r="M24" s="18" t="s">
        <v>72</v>
      </c>
      <c r="N24" s="18" t="s">
        <v>65</v>
      </c>
      <c r="O24" s="18" t="s">
        <v>67</v>
      </c>
      <c r="P24" s="42" t="s">
        <v>58</v>
      </c>
      <c r="Q24" s="220">
        <f>IF(SUMIFS(Calc_Rates!G$17:G$47,Calc_Rates!$C$17:$C$47,OP_Rates!$M24,Calc_Rates!$F$17:$F$47,OP_Rates!$O24)=0,"-",SUMIFS(Calc_Rates!G$17:G$47,Calc_Rates!$C$17:$C$47,OP_Rates!$M24,Calc_Rates!$F$17:$F$47,OP_Rates!$O24))</f>
        <v>1.406355758426028</v>
      </c>
      <c r="R24" s="220">
        <f>IF(SUMIFS(Calc_Rates!H$17:H$47,Calc_Rates!$C$17:$C$47,OP_Rates!$M24,Calc_Rates!$F$17:$F$47,OP_Rates!$O24)=0,"-",SUMIFS(Calc_Rates!H$17:H$47,Calc_Rates!$C$17:$C$47,OP_Rates!$M24,Calc_Rates!$F$17:$F$47,OP_Rates!$O24))</f>
        <v>1.3955832624454869</v>
      </c>
      <c r="S24" s="220">
        <f>IF(SUMIFS(Calc_Rates!I$17:I$47,Calc_Rates!$C$17:$C$47,OP_Rates!$M24,Calc_Rates!$F$17:$F$47,OP_Rates!$O24)=0,"-",SUMIFS(Calc_Rates!I$17:I$47,Calc_Rates!$C$17:$C$47,OP_Rates!$M24,Calc_Rates!$F$17:$F$47,OP_Rates!$O24))</f>
        <v>1.8538119906841646</v>
      </c>
      <c r="T24" s="220">
        <f>IF(SUMIFS(Calc_Rates!J$17:J$47,Calc_Rates!$C$17:$C$47,OP_Rates!$M24,Calc_Rates!$F$17:$F$47,OP_Rates!$O24)=0,"-",SUMIFS(Calc_Rates!J$17:J$47,Calc_Rates!$C$17:$C$47,OP_Rates!$M24,Calc_Rates!$F$17:$F$47,OP_Rates!$O24))</f>
        <v>1.4791244178298493</v>
      </c>
      <c r="U24" s="220">
        <f>IF(SUMIFS(Calc_Rates!K$17:K$47,Calc_Rates!$C$17:$C$47,OP_Rates!$M24,Calc_Rates!$F$17:$F$47,OP_Rates!$O24)=0,"-",SUMIFS(Calc_Rates!K$17:K$47,Calc_Rates!$C$17:$C$47,OP_Rates!$M24,Calc_Rates!$F$17:$F$47,OP_Rates!$O24))</f>
        <v>1.3215014972353454</v>
      </c>
    </row>
    <row r="25" spans="3:21" outlineLevel="2" x14ac:dyDescent="0.25">
      <c r="C25" s="18" t="s">
        <v>73</v>
      </c>
      <c r="D25" s="18" t="s">
        <v>69</v>
      </c>
      <c r="E25" s="18" t="s">
        <v>66</v>
      </c>
      <c r="F25" s="42" t="s">
        <v>58</v>
      </c>
      <c r="G25" s="220">
        <f>IF(SUMIFS(Calc_Rates!G$61:G$139,Calc_Rates!$C$61:$C$139,OP_Rates!$C25&amp;" charge",Calc_Rates!$F$61:$F$139,OP_Rates!$E25)=0,"-",SUMIFS(Calc_Rates!G$61:G$139,Calc_Rates!$C$61:$C$139,OP_Rates!$C25&amp;" charge",Calc_Rates!$F$61:$F$139,OP_Rates!$E25))</f>
        <v>0.46561150344008334</v>
      </c>
      <c r="H25" s="220">
        <f>IF(SUMIFS(Calc_Rates!H$61:H$139,Calc_Rates!$C$61:$C$139,OP_Rates!$C25&amp;" charge",Calc_Rates!$F$61:$F$139,OP_Rates!$E25)=0,"-",SUMIFS(Calc_Rates!H$61:H$139,Calc_Rates!$C$61:$C$139,OP_Rates!$C25&amp;" charge",Calc_Rates!$F$61:$F$139,OP_Rates!$E25))</f>
        <v>0.34822047702393594</v>
      </c>
      <c r="I25" s="220">
        <f>IF(SUMIFS(Calc_Rates!I$61:I$139,Calc_Rates!$C$61:$C$139,OP_Rates!$C25&amp;" charge",Calc_Rates!$F$61:$F$139,OP_Rates!$E25)=0,"-",SUMIFS(Calc_Rates!I$61:I$139,Calc_Rates!$C$61:$C$139,OP_Rates!$C25&amp;" charge",Calc_Rates!$F$61:$F$139,OP_Rates!$E25))</f>
        <v>0.37482020182148501</v>
      </c>
      <c r="J25" s="220">
        <f>IF(SUMIFS(Calc_Rates!J$61:J$139,Calc_Rates!$C$61:$C$139,OP_Rates!$C25&amp;" charge",Calc_Rates!$F$61:$F$139,OP_Rates!$E25)=0,"-",SUMIFS(Calc_Rates!J$61:J$139,Calc_Rates!$C$61:$C$139,OP_Rates!$C25&amp;" charge",Calc_Rates!$F$61:$F$139,OP_Rates!$E25))</f>
        <v>0.40042132138508157</v>
      </c>
      <c r="K25" s="220">
        <f>IF(SUMIFS(Calc_Rates!K$61:K$139,Calc_Rates!$C$61:$C$139,OP_Rates!$C25&amp;" charge",Calc_Rates!$F$61:$F$139,OP_Rates!$E25)=0,"-",SUMIFS(Calc_Rates!K$61:K$139,Calc_Rates!$C$61:$C$139,OP_Rates!$C25&amp;" charge",Calc_Rates!$F$61:$F$139,OP_Rates!$E25))</f>
        <v>0.37981073248828301</v>
      </c>
      <c r="M25" s="18" t="s">
        <v>73</v>
      </c>
      <c r="N25" s="18" t="s">
        <v>69</v>
      </c>
      <c r="O25" s="18" t="s">
        <v>67</v>
      </c>
      <c r="P25" s="42" t="s">
        <v>58</v>
      </c>
      <c r="Q25" s="220">
        <f>IF(SUMIFS(Calc_Rates!G$61:G$139,Calc_Rates!$C$61:$C$139,OP_Rates!$M25&amp;" charge",Calc_Rates!$F$61:$F$139,OP_Rates!$O25)=0,"-",SUMIFS(Calc_Rates!G$61:G$139,Calc_Rates!$C$61:$C$139,OP_Rates!$M25&amp;" charge",Calc_Rates!$F$61:$F$139,OP_Rates!$O25))</f>
        <v>0.39673767818393302</v>
      </c>
      <c r="R25" s="220">
        <f>IF(SUMIFS(Calc_Rates!H$61:H$139,Calc_Rates!$C$61:$C$139,OP_Rates!$M25&amp;" charge",Calc_Rates!$F$61:$F$139,OP_Rates!$O25)=0,"-",SUMIFS(Calc_Rates!H$61:H$139,Calc_Rates!$C$61:$C$139,OP_Rates!$M25&amp;" charge",Calc_Rates!$F$61:$F$139,OP_Rates!$O25))</f>
        <v>0.31759309254393597</v>
      </c>
      <c r="S25" s="220">
        <f>IF(SUMIFS(Calc_Rates!I$61:I$139,Calc_Rates!$C$61:$C$139,OP_Rates!$M25&amp;" charge",Calc_Rates!$F$61:$F$139,OP_Rates!$O25)=0,"-",SUMIFS(Calc_Rates!I$61:I$139,Calc_Rates!$C$61:$C$139,OP_Rates!$M25&amp;" charge",Calc_Rates!$F$61:$F$139,OP_Rates!$O25))</f>
        <v>0.35445279170392863</v>
      </c>
      <c r="T25" s="220">
        <f>IF(SUMIFS(Calc_Rates!J$61:J$139,Calc_Rates!$C$61:$C$139,OP_Rates!$M25&amp;" charge",Calc_Rates!$F$61:$F$139,OP_Rates!$O25)=0,"-",SUMIFS(Calc_Rates!J$61:J$139,Calc_Rates!$C$61:$C$139,OP_Rates!$M25&amp;" charge",Calc_Rates!$F$61:$F$139,OP_Rates!$O25))</f>
        <v>0.37429975925996156</v>
      </c>
      <c r="U25" s="220">
        <f>IF(SUMIFS(Calc_Rates!K$61:K$139,Calc_Rates!$C$61:$C$139,OP_Rates!$M25&amp;" charge",Calc_Rates!$F$61:$F$139,OP_Rates!$O25)=0,"-",SUMIFS(Calc_Rates!K$61:K$139,Calc_Rates!$C$61:$C$139,OP_Rates!$M25&amp;" charge",Calc_Rates!$F$61:$F$139,OP_Rates!$O25))</f>
        <v>0.34382114746391595</v>
      </c>
    </row>
    <row r="26" spans="3:21" outlineLevel="2" x14ac:dyDescent="0.25">
      <c r="C26" s="18" t="s">
        <v>74</v>
      </c>
      <c r="D26" s="18" t="s">
        <v>69</v>
      </c>
      <c r="E26" s="18" t="s">
        <v>66</v>
      </c>
      <c r="F26" s="42" t="s">
        <v>58</v>
      </c>
      <c r="G26" s="220">
        <f>IF(SUMIFS(Calc_Rates!G$61:G$139,Calc_Rates!$C$61:$C$139,OP_Rates!$C26&amp;" charge",Calc_Rates!$F$61:$F$139,OP_Rates!$E26)=0,"-",SUMIFS(Calc_Rates!G$61:G$139,Calc_Rates!$C$61:$C$139,OP_Rates!$C26&amp;" charge",Calc_Rates!$F$61:$F$139,OP_Rates!$E26))</f>
        <v>0.24434192801926341</v>
      </c>
      <c r="H26" s="220">
        <f>IF(SUMIFS(Calc_Rates!H$61:H$139,Calc_Rates!$C$61:$C$139,OP_Rates!$C26&amp;" charge",Calc_Rates!$F$61:$F$139,OP_Rates!$E26)=0,"-",SUMIFS(Calc_Rates!H$61:H$139,Calc_Rates!$C$61:$C$139,OP_Rates!$C26&amp;" charge",Calc_Rates!$F$61:$F$139,OP_Rates!$E26))</f>
        <v>0.20894463702393601</v>
      </c>
      <c r="I26" s="220">
        <f>IF(SUMIFS(Calc_Rates!I$61:I$139,Calc_Rates!$C$61:$C$139,OP_Rates!$C26&amp;" charge",Calc_Rates!$F$61:$F$139,OP_Rates!$E26)=0,"-",SUMIFS(Calc_Rates!I$61:I$139,Calc_Rates!$C$61:$C$139,OP_Rates!$C26&amp;" charge",Calc_Rates!$F$61:$F$139,OP_Rates!$E26))</f>
        <v>0.23516653469444504</v>
      </c>
      <c r="J26" s="220">
        <f>IF(SUMIFS(Calc_Rates!J$61:J$139,Calc_Rates!$C$61:$C$139,OP_Rates!$C26&amp;" charge",Calc_Rates!$F$61:$F$139,OP_Rates!$E26)=0,"-",SUMIFS(Calc_Rates!J$61:J$139,Calc_Rates!$C$61:$C$139,OP_Rates!$C26&amp;" charge",Calc_Rates!$F$61:$F$139,OP_Rates!$E26))</f>
        <v>0.23919124138508158</v>
      </c>
      <c r="K26" s="220">
        <f>IF(SUMIFS(Calc_Rates!K$61:K$139,Calc_Rates!$C$61:$C$139,OP_Rates!$C26&amp;" charge",Calc_Rates!$F$61:$F$139,OP_Rates!$E26)=0,"-",SUMIFS(Calc_Rates!K$61:K$139,Calc_Rates!$C$61:$C$139,OP_Rates!$C26&amp;" charge",Calc_Rates!$F$61:$F$139,OP_Rates!$E26))</f>
        <v>0.22717649248828303</v>
      </c>
      <c r="M26" s="18" t="s">
        <v>74</v>
      </c>
      <c r="N26" s="18" t="s">
        <v>69</v>
      </c>
      <c r="O26" s="18" t="s">
        <v>67</v>
      </c>
      <c r="P26" s="42" t="s">
        <v>58</v>
      </c>
      <c r="Q26" s="220">
        <f>IF(SUMIFS(Calc_Rates!G$61:G$139,Calc_Rates!$C$61:$C$139,OP_Rates!$M26&amp;" charge",Calc_Rates!$F$61:$F$139,OP_Rates!$O26)=0,"-",SUMIFS(Calc_Rates!G$61:G$139,Calc_Rates!$C$61:$C$139,OP_Rates!$M26&amp;" charge",Calc_Rates!$F$61:$F$139,OP_Rates!$O26))</f>
        <v>0.21539029908870735</v>
      </c>
      <c r="R26" s="220">
        <f>IF(SUMIFS(Calc_Rates!H$61:H$139,Calc_Rates!$C$61:$C$139,OP_Rates!$M26&amp;" charge",Calc_Rates!$F$61:$F$139,OP_Rates!$O26)=0,"-",SUMIFS(Calc_Rates!H$61:H$139,Calc_Rates!$C$61:$C$139,OP_Rates!$M26&amp;" charge",Calc_Rates!$F$61:$F$139,OP_Rates!$O26))</f>
        <v>0.18702925254393601</v>
      </c>
      <c r="S26" s="220">
        <f>IF(SUMIFS(Calc_Rates!I$61:I$139,Calc_Rates!$C$61:$C$139,OP_Rates!$M26&amp;" charge",Calc_Rates!$F$61:$F$139,OP_Rates!$O26)=0,"-",SUMIFS(Calc_Rates!I$61:I$139,Calc_Rates!$C$61:$C$139,OP_Rates!$M26&amp;" charge",Calc_Rates!$F$61:$F$139,OP_Rates!$O26))</f>
        <v>0.19802476610392858</v>
      </c>
      <c r="T26" s="220">
        <f>IF(SUMIFS(Calc_Rates!J$61:J$139,Calc_Rates!$C$61:$C$139,OP_Rates!$M26&amp;" charge",Calc_Rates!$F$61:$F$139,OP_Rates!$O26)=0,"-",SUMIFS(Calc_Rates!J$61:J$139,Calc_Rates!$C$61:$C$139,OP_Rates!$M26&amp;" charge",Calc_Rates!$F$61:$F$139,OP_Rates!$O26))</f>
        <v>0.20389303925996152</v>
      </c>
      <c r="U26" s="220">
        <f>IF(SUMIFS(Calc_Rates!K$61:K$139,Calc_Rates!$C$61:$C$139,OP_Rates!$M26&amp;" charge",Calc_Rates!$F$61:$F$139,OP_Rates!$O26)=0,"-",SUMIFS(Calc_Rates!K$61:K$139,Calc_Rates!$C$61:$C$139,OP_Rates!$M26&amp;" charge",Calc_Rates!$F$61:$F$139,OP_Rates!$O26))</f>
        <v>0.19769186746391601</v>
      </c>
    </row>
    <row r="27" spans="3:21" outlineLevel="2" x14ac:dyDescent="0.25">
      <c r="C27" s="18" t="s">
        <v>75</v>
      </c>
      <c r="D27" s="18" t="s">
        <v>69</v>
      </c>
      <c r="E27" s="18" t="s">
        <v>66</v>
      </c>
      <c r="F27" s="42" t="s">
        <v>58</v>
      </c>
      <c r="G27" s="220">
        <f>IF(SUMIFS(Calc_Rates!G$61:G$139,Calc_Rates!$C$61:$C$139,OP_Rates!$C27&amp;" charge",Calc_Rates!$F$61:$F$139,OP_Rates!$E27)=0,"-",SUMIFS(Calc_Rates!G$61:G$139,Calc_Rates!$C$61:$C$139,OP_Rates!$C27&amp;" charge",Calc_Rates!$F$61:$F$139,OP_Rates!$E27))</f>
        <v>0.24434192801926341</v>
      </c>
      <c r="H27" s="220">
        <f>IF(SUMIFS(Calc_Rates!H$61:H$139,Calc_Rates!$C$61:$C$139,OP_Rates!$C27&amp;" charge",Calc_Rates!$F$61:$F$139,OP_Rates!$E27)=0,"-",SUMIFS(Calc_Rates!H$61:H$139,Calc_Rates!$C$61:$C$139,OP_Rates!$C27&amp;" charge",Calc_Rates!$F$61:$F$139,OP_Rates!$E27))</f>
        <v>0.19047519702393598</v>
      </c>
      <c r="I27" s="220">
        <f>IF(SUMIFS(Calc_Rates!I$61:I$139,Calc_Rates!$C$61:$C$139,OP_Rates!$C27&amp;" charge",Calc_Rates!$F$61:$F$139,OP_Rates!$E27)=0,"-",SUMIFS(Calc_Rates!I$61:I$139,Calc_Rates!$C$61:$C$139,OP_Rates!$C27&amp;" charge",Calc_Rates!$F$61:$F$139,OP_Rates!$E27))</f>
        <v>0.22658718418724505</v>
      </c>
      <c r="J27" s="220">
        <f>IF(SUMIFS(Calc_Rates!J$61:J$139,Calc_Rates!$C$61:$C$139,OP_Rates!$C27&amp;" charge",Calc_Rates!$F$61:$F$139,OP_Rates!$E27)=0,"-",SUMIFS(Calc_Rates!J$61:J$139,Calc_Rates!$C$61:$C$139,OP_Rates!$C27&amp;" charge",Calc_Rates!$F$61:$F$139,OP_Rates!$E27))</f>
        <v>0.21630772138508153</v>
      </c>
      <c r="K27" s="220">
        <f>IF(SUMIFS(Calc_Rates!K$61:K$139,Calc_Rates!$C$61:$C$139,OP_Rates!$C27&amp;" charge",Calc_Rates!$F$61:$F$139,OP_Rates!$E27)=0,"-",SUMIFS(Calc_Rates!K$61:K$139,Calc_Rates!$C$61:$C$139,OP_Rates!$C27&amp;" charge",Calc_Rates!$F$61:$F$139,OP_Rates!$E27))</f>
        <v>0.20615153248828305</v>
      </c>
      <c r="M27" s="18"/>
      <c r="N27" s="18"/>
      <c r="O27" s="18"/>
      <c r="P27" s="42" t="s">
        <v>58</v>
      </c>
      <c r="Q27" s="220"/>
      <c r="R27" s="220"/>
      <c r="S27" s="220"/>
      <c r="T27" s="220"/>
      <c r="U27" s="220"/>
    </row>
    <row r="28" spans="3:21" outlineLevel="1" x14ac:dyDescent="0.25"/>
    <row r="29" spans="3:21" ht="15.75" outlineLevel="1" x14ac:dyDescent="0.25">
      <c r="C29" s="24" t="s">
        <v>78</v>
      </c>
      <c r="M29" s="24" t="s">
        <v>79</v>
      </c>
    </row>
    <row r="30" spans="3:21" ht="15.75" outlineLevel="2" x14ac:dyDescent="0.25">
      <c r="C30" s="32" t="s">
        <v>55</v>
      </c>
      <c r="D30" s="32" t="s">
        <v>56</v>
      </c>
      <c r="E30" s="32" t="s">
        <v>57</v>
      </c>
      <c r="F30" s="32" t="s">
        <v>48</v>
      </c>
      <c r="G30" s="43" t="s">
        <v>59</v>
      </c>
      <c r="H30" s="43" t="s">
        <v>60</v>
      </c>
      <c r="I30" s="43" t="s">
        <v>61</v>
      </c>
      <c r="J30" s="43" t="s">
        <v>62</v>
      </c>
      <c r="K30" s="219" t="s">
        <v>63</v>
      </c>
      <c r="M30" s="32" t="s">
        <v>55</v>
      </c>
      <c r="N30" s="32" t="s">
        <v>56</v>
      </c>
      <c r="O30" s="32" t="s">
        <v>57</v>
      </c>
      <c r="P30" s="32" t="s">
        <v>48</v>
      </c>
      <c r="Q30" s="43" t="s">
        <v>59</v>
      </c>
      <c r="R30" s="43" t="s">
        <v>60</v>
      </c>
      <c r="S30" s="43" t="s">
        <v>61</v>
      </c>
      <c r="T30" s="43" t="s">
        <v>62</v>
      </c>
      <c r="U30" s="219" t="s">
        <v>63</v>
      </c>
    </row>
    <row r="31" spans="3:21" outlineLevel="2" x14ac:dyDescent="0.25">
      <c r="C31" s="42" t="s">
        <v>80</v>
      </c>
      <c r="D31" s="42" t="s">
        <v>65</v>
      </c>
      <c r="E31" s="42" t="s">
        <v>66</v>
      </c>
      <c r="F31" s="18" t="s">
        <v>81</v>
      </c>
      <c r="G31" s="222" t="str" cm="1">
        <f t="array" ref="G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1" s="222" t="str" cm="1">
        <f t="array" ref="H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1" s="222" t="str" cm="1">
        <f t="array" ref="I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1" s="222" t="str" cm="1">
        <f t="array" ref="J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1" s="222" t="str" cm="1">
        <f t="array" ref="K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1" s="42" t="s">
        <v>80</v>
      </c>
      <c r="N31" s="42" t="s">
        <v>65</v>
      </c>
      <c r="O31" s="42" t="s">
        <v>67</v>
      </c>
      <c r="P31" s="18" t="s">
        <v>81</v>
      </c>
      <c r="Q31" s="222" t="str" cm="1">
        <f t="array" ref="Q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1" s="222" t="str" cm="1">
        <f t="array" ref="R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1" s="222" t="str" cm="1">
        <f t="array" ref="S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1" s="222" t="str" cm="1">
        <f t="array" ref="T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1" s="222" t="str" cm="1">
        <f t="array" ref="U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2" spans="3:21" outlineLevel="2" x14ac:dyDescent="0.25">
      <c r="C32" s="42" t="s">
        <v>82</v>
      </c>
      <c r="D32" s="42" t="s">
        <v>65</v>
      </c>
      <c r="E32" s="42" t="s">
        <v>66</v>
      </c>
      <c r="F32" s="18" t="s">
        <v>81</v>
      </c>
      <c r="G32" s="222" t="str" cm="1">
        <f t="array" ref="G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2" s="222" t="str" cm="1">
        <f t="array" ref="H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2" s="222" t="str" cm="1">
        <f t="array" ref="I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2" s="222" t="str" cm="1">
        <f t="array" ref="J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2" s="222" t="str" cm="1">
        <f t="array" ref="K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2" s="42" t="s">
        <v>82</v>
      </c>
      <c r="N32" s="42" t="s">
        <v>65</v>
      </c>
      <c r="O32" s="42" t="s">
        <v>67</v>
      </c>
      <c r="P32" s="18" t="s">
        <v>81</v>
      </c>
      <c r="Q32" s="222" t="str" cm="1">
        <f t="array" ref="Q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2" s="222" t="str" cm="1">
        <f t="array" ref="R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2" s="222" t="str" cm="1">
        <f t="array" ref="S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2" s="222" t="str" cm="1">
        <f t="array" ref="T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2" s="222" t="str" cm="1">
        <f t="array" ref="U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3" spans="3:21" outlineLevel="2" x14ac:dyDescent="0.25">
      <c r="C33" s="42" t="s">
        <v>75</v>
      </c>
      <c r="D33" s="42" t="s">
        <v>69</v>
      </c>
      <c r="E33" s="42" t="s">
        <v>66</v>
      </c>
      <c r="F33" s="18" t="s">
        <v>81</v>
      </c>
      <c r="G33" s="222" t="str" cm="1">
        <f t="array" ref="G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3" s="222" t="str" cm="1">
        <f t="array" ref="H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3" s="222" t="str" cm="1">
        <f t="array" ref="I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3" s="222" t="str" cm="1">
        <f t="array" ref="J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3" s="222" t="str" cm="1">
        <f t="array" ref="K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3" s="42"/>
      <c r="N33" s="42"/>
      <c r="O33" s="42"/>
      <c r="P33" s="18"/>
      <c r="Q33" s="222" t="str" cm="1">
        <f t="array" ref="Q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3" s="222" t="str" cm="1">
        <f t="array" ref="R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3" s="222" t="str" cm="1">
        <f t="array" ref="S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3" s="222" t="str" cm="1">
        <f t="array" ref="T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3" s="222" t="str" cm="1">
        <f t="array" ref="U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4" spans="3:21" outlineLevel="2" x14ac:dyDescent="0.25">
      <c r="C34" s="42" t="s">
        <v>68</v>
      </c>
      <c r="D34" s="42" t="s">
        <v>69</v>
      </c>
      <c r="E34" s="42" t="s">
        <v>66</v>
      </c>
      <c r="F34" s="18" t="s">
        <v>83</v>
      </c>
      <c r="G34" s="222" cm="1">
        <f t="array" ref="G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4" s="222" cm="1">
        <f t="array" ref="H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4" s="222" cm="1">
        <f t="array" ref="I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4" s="222" cm="1">
        <f t="array" ref="J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4" s="222" cm="1">
        <f t="array" ref="K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4" s="42" t="s">
        <v>68</v>
      </c>
      <c r="N34" s="42" t="s">
        <v>69</v>
      </c>
      <c r="O34" s="42" t="s">
        <v>67</v>
      </c>
      <c r="P34" s="18" t="s">
        <v>83</v>
      </c>
      <c r="Q34" s="222" cm="1">
        <f t="array" ref="Q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4" s="222" cm="1">
        <f t="array" ref="R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4" s="222" cm="1">
        <f t="array" ref="S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4" s="222" cm="1">
        <f t="array" ref="T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4" s="222" cm="1">
        <f t="array" ref="U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5" spans="3:21" outlineLevel="2" x14ac:dyDescent="0.25">
      <c r="C35" s="42" t="s">
        <v>70</v>
      </c>
      <c r="D35" s="42" t="s">
        <v>69</v>
      </c>
      <c r="E35" s="42" t="s">
        <v>66</v>
      </c>
      <c r="F35" s="18" t="s">
        <v>83</v>
      </c>
      <c r="G35" s="222" cm="1">
        <f t="array" ref="G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5" s="222" cm="1">
        <f t="array" ref="H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5" s="222" cm="1">
        <f t="array" ref="I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5" s="222" cm="1">
        <f t="array" ref="J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5" s="222" cm="1">
        <f t="array" ref="K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5" s="42" t="s">
        <v>70</v>
      </c>
      <c r="N35" s="42" t="s">
        <v>69</v>
      </c>
      <c r="O35" s="42" t="s">
        <v>67</v>
      </c>
      <c r="P35" s="18" t="s">
        <v>83</v>
      </c>
      <c r="Q35" s="222" cm="1">
        <f t="array" ref="Q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5" s="222" cm="1">
        <f t="array" ref="R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5" s="222" cm="1">
        <f t="array" ref="S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5" s="222" cm="1">
        <f t="array" ref="T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5" s="222" cm="1">
        <f t="array" ref="U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6" spans="3:21" outlineLevel="2" x14ac:dyDescent="0.25">
      <c r="C36" s="42" t="s">
        <v>71</v>
      </c>
      <c r="D36" s="42" t="s">
        <v>69</v>
      </c>
      <c r="E36" s="42" t="s">
        <v>66</v>
      </c>
      <c r="F36" s="18" t="s">
        <v>83</v>
      </c>
      <c r="G36" s="222" cm="1">
        <f t="array" ref="G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6" s="222" cm="1">
        <f t="array" ref="H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6" s="222" cm="1">
        <f t="array" ref="I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6" s="222" cm="1">
        <f t="array" ref="J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6" s="222" cm="1">
        <f t="array" ref="K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6" s="42" t="s">
        <v>71</v>
      </c>
      <c r="N36" s="42" t="s">
        <v>69</v>
      </c>
      <c r="O36" s="42" t="s">
        <v>67</v>
      </c>
      <c r="P36" s="18" t="s">
        <v>83</v>
      </c>
      <c r="Q36" s="222" cm="1">
        <f t="array" ref="Q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6" s="222" cm="1">
        <f t="array" ref="R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6" s="222" cm="1">
        <f t="array" ref="S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6" s="222" cm="1">
        <f t="array" ref="T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6" s="222" cm="1">
        <f t="array" ref="U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7" spans="3:21" outlineLevel="2" x14ac:dyDescent="0.25">
      <c r="C37" s="42" t="s">
        <v>73</v>
      </c>
      <c r="D37" s="42" t="s">
        <v>69</v>
      </c>
      <c r="E37" s="42" t="s">
        <v>66</v>
      </c>
      <c r="F37" s="18" t="s">
        <v>83</v>
      </c>
      <c r="G37" s="222" cm="1">
        <f t="array" ref="G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7" s="222" cm="1">
        <f t="array" ref="H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7" s="222" cm="1">
        <f t="array" ref="I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7" s="222" cm="1">
        <f t="array" ref="J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7" s="222" cm="1">
        <f t="array" ref="K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7" s="42" t="s">
        <v>73</v>
      </c>
      <c r="N37" s="42" t="s">
        <v>69</v>
      </c>
      <c r="O37" s="42" t="s">
        <v>67</v>
      </c>
      <c r="P37" s="18" t="s">
        <v>83</v>
      </c>
      <c r="Q37" s="222" cm="1">
        <f t="array" ref="Q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7" s="222" cm="1">
        <f t="array" ref="R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7" s="222" cm="1">
        <f t="array" ref="S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7" s="222" cm="1">
        <f t="array" ref="T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7" s="222" cm="1">
        <f t="array" ref="U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8" spans="3:21" outlineLevel="2" x14ac:dyDescent="0.25">
      <c r="C38" s="42" t="s">
        <v>74</v>
      </c>
      <c r="D38" s="42" t="s">
        <v>69</v>
      </c>
      <c r="E38" s="42" t="s">
        <v>66</v>
      </c>
      <c r="F38" s="18" t="s">
        <v>83</v>
      </c>
      <c r="G38" s="222" cm="1">
        <f t="array" ref="G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8" s="222" cm="1">
        <f t="array" ref="H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8" s="222" cm="1">
        <f t="array" ref="I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8" s="222" cm="1">
        <f t="array" ref="J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8" s="222" cm="1">
        <f t="array" ref="K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8" s="42" t="s">
        <v>74</v>
      </c>
      <c r="N38" s="42" t="s">
        <v>69</v>
      </c>
      <c r="O38" s="42" t="s">
        <v>67</v>
      </c>
      <c r="P38" s="18" t="s">
        <v>83</v>
      </c>
      <c r="Q38" s="222" cm="1">
        <f t="array" ref="Q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8" s="222" cm="1">
        <f t="array" ref="R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8" s="222" cm="1">
        <f t="array" ref="S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8" s="222" cm="1">
        <f t="array" ref="T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8" s="222" cm="1">
        <f t="array" ref="U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9" spans="3:21" outlineLevel="2" x14ac:dyDescent="0.25">
      <c r="C39" s="42" t="s">
        <v>75</v>
      </c>
      <c r="D39" s="42" t="s">
        <v>69</v>
      </c>
      <c r="E39" s="42" t="s">
        <v>66</v>
      </c>
      <c r="F39" s="18" t="s">
        <v>83</v>
      </c>
      <c r="G39" s="222" cm="1">
        <f t="array" ref="G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9" s="222" cm="1">
        <f t="array" ref="H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9" s="222" cm="1">
        <f t="array" ref="I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9" s="222" cm="1">
        <f t="array" ref="J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9" s="222" cm="1">
        <f t="array" ref="K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9" s="42"/>
      <c r="N39" s="42"/>
      <c r="O39" s="42"/>
      <c r="P39" s="18"/>
      <c r="Q39" s="222" t="str" cm="1">
        <f t="array" ref="Q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9" s="222" t="str" cm="1">
        <f t="array" ref="R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9" s="222" t="str" cm="1">
        <f t="array" ref="S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9" s="222" t="str" cm="1">
        <f t="array" ref="T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9" s="222" t="str" cm="1">
        <f t="array" ref="U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40" spans="3:21" outlineLevel="1" x14ac:dyDescent="0.25"/>
    <row r="41" spans="3:21" ht="15.75" outlineLevel="1" x14ac:dyDescent="0.25">
      <c r="C41" s="223" t="s">
        <v>16</v>
      </c>
    </row>
    <row r="42" spans="3:21" ht="15.75" outlineLevel="2" x14ac:dyDescent="0.25">
      <c r="C42" s="24" t="str">
        <f>C$7&amp;" - checks"</f>
        <v>VDO residential rates - checks</v>
      </c>
      <c r="M42" s="24" t="str">
        <f>M$7&amp;" - checks"</f>
        <v>VDO small business rates - checks</v>
      </c>
    </row>
    <row r="43" spans="3:21" ht="15.75" outlineLevel="2" x14ac:dyDescent="0.25">
      <c r="C43" s="31" t="s">
        <v>55</v>
      </c>
      <c r="D43" s="31" t="s">
        <v>56</v>
      </c>
      <c r="E43" s="31" t="s">
        <v>57</v>
      </c>
      <c r="G43" s="35" t="s">
        <v>59</v>
      </c>
      <c r="H43" s="35" t="s">
        <v>60</v>
      </c>
      <c r="I43" s="35" t="s">
        <v>61</v>
      </c>
      <c r="J43" s="35" t="s">
        <v>62</v>
      </c>
      <c r="K43" s="35" t="s">
        <v>63</v>
      </c>
      <c r="M43" s="31" t="s">
        <v>55</v>
      </c>
      <c r="N43" s="31" t="s">
        <v>56</v>
      </c>
      <c r="O43" s="31" t="s">
        <v>57</v>
      </c>
      <c r="Q43" s="35" t="s">
        <v>59</v>
      </c>
      <c r="R43" s="35" t="s">
        <v>60</v>
      </c>
      <c r="S43" s="35" t="s">
        <v>61</v>
      </c>
      <c r="T43" s="35" t="s">
        <v>62</v>
      </c>
      <c r="U43" s="35" t="s">
        <v>63</v>
      </c>
    </row>
    <row r="44" spans="3:21" ht="15.75" outlineLevel="2" x14ac:dyDescent="0.25">
      <c r="C44" s="42" t="s">
        <v>64</v>
      </c>
      <c r="D44" s="42" t="s">
        <v>65</v>
      </c>
      <c r="E44" s="42" t="s">
        <v>66</v>
      </c>
      <c r="G44" s="215">
        <f>IF(ROUND(G9,4)=ROUND(
SUMIFS(OP_Rates_RES_1[Ausnet],OP_Rates_RES_1[[Rate name]:[Rate name]],$C44)+
SUMIFS(OP_RatesTU_RES_1[Ausnet],OP_RatesTU_RES_1[[Rate name]:[Rate name]],
IF($D44&lt;&gt;"$",$C44,LEFT($C44,LEN($C44)-FIND(" - supply",$C44)-1))),4),
0,1)</f>
        <v>0</v>
      </c>
      <c r="H44" s="215">
        <f>IF(ROUND(H9,4)=ROUND(
SUMIFS(OP_Rates_RES_1[Citipower],OP_Rates_RES_1[[Rate name]:[Rate name]],$C44)+
SUMIFS(OP_RatesTU_RES_1[Citipower],OP_RatesTU_RES_1[[Rate name]:[Rate name]],
IF($D44&lt;&gt;"$",$C44,LEFT($C44,LEN($C44)-FIND(" - supply",$C44)-1))),4),
0,1)</f>
        <v>0</v>
      </c>
      <c r="I44" s="215">
        <f>IF(ROUND(I9,4)=ROUND(
SUMIFS(OP_Rates_RES_1[Jemena],OP_Rates_RES_1[[Rate name]:[Rate name]],$C44)+
SUMIFS(OP_RatesTU_RES_1[Jemena],OP_RatesTU_RES_1[[Rate name]:[Rate name]],
IF($D44&lt;&gt;"$",$C44,LEFT($C44,LEN($C44)-FIND(" - supply",$C44)-1))),4),
0,1)</f>
        <v>0</v>
      </c>
      <c r="J44" s="215">
        <f>IF(ROUND(J9,4)=ROUND(
SUMIFS(OP_Rates_RES_1[Powercor],OP_Rates_RES_1[[Rate name]:[Rate name]],$C44)+
SUMIFS(OP_RatesTU_RES_1[Powercor],OP_RatesTU_RES_1[[Rate name]:[Rate name]],
IF($D44&lt;&gt;"$",$C44,LEFT($C44,LEN($C44)-FIND(" - supply",$C44)-1))),4),
0,1)</f>
        <v>0</v>
      </c>
      <c r="K44" s="215">
        <f>IF(ROUND(K9,4)=ROUND(
SUMIFS(OP_Rates_RES_1[United Energy],OP_Rates_RES_1[[Rate name]:[Rate name]],$C44)+
SUMIFS(OP_RatesTU_RES_1[United Energy],OP_RatesTU_RES_1[[Rate name]:[Rate name]],
IF($D44&lt;&gt;"$",$C44,LEFT($C44,LEN($C44)-FIND(" - supply",$C44)-1))),4),
0,1)</f>
        <v>0</v>
      </c>
      <c r="M44" s="42" t="s">
        <v>64</v>
      </c>
      <c r="N44" s="42" t="s">
        <v>65</v>
      </c>
      <c r="O44" s="42" t="s">
        <v>67</v>
      </c>
      <c r="Q44" s="215">
        <f>IF(ROUND(Q9,4)=ROUND(
SUMIFS(OP_Rates_SME_1[Ausnet],OP_Rates_SME_1[[Rate name]:[Rate name]],$C44)+
SUMIFS(OP_RatesTU_SME_1[Ausnet],OP_RatesTU_SME_1[[Rate name]:[Rate name]],
IF($D44&lt;&gt;"$",$C44,LEFT($C44,LEN($C44)-FIND(" - supply",$C44)-1))),4),
0,1)</f>
        <v>0</v>
      </c>
      <c r="R44" s="215">
        <f>IF(ROUND(R9,4)=ROUND(
SUMIFS(OP_Rates_SME_1[Citipower],OP_Rates_SME_1[[Rate name]:[Rate name]],$C44)+
SUMIFS(OP_RatesTU_SME_1[Citipower],OP_RatesTU_SME_1[[Rate name]:[Rate name]],
IF($D44&lt;&gt;"$",$C44,LEFT($C44,LEN($C44)-FIND(" - supply",$C44)-1))),4),
0,1)</f>
        <v>0</v>
      </c>
      <c r="S44" s="215">
        <f>IF(ROUND(S9,4)=ROUND(
SUMIFS(OP_Rates_SME_1[Jemena],OP_Rates_SME_1[[Rate name]:[Rate name]],$C44)+
SUMIFS(OP_RatesTU_SME_1[Jemena],OP_RatesTU_SME_1[[Rate name]:[Rate name]],
IF($D44&lt;&gt;"$",$C44,LEFT($C44,LEN($C44)-FIND(" - supply",$C44)-1))),4),
0,1)</f>
        <v>0</v>
      </c>
      <c r="T44" s="215">
        <f>IF(ROUND(T9,4)=ROUND(
SUMIFS(OP_Rates_SME_1[Powercor],OP_Rates_SME_1[[Rate name]:[Rate name]],$C44)+
SUMIFS(OP_RatesTU_SME_1[Powercor],OP_RatesTU_SME_1[[Rate name]:[Rate name]],
IF($D44&lt;&gt;"$",$C44,LEFT($C44,LEN($C44)-FIND(" - supply",$C44)-1))),4),
0,1)</f>
        <v>0</v>
      </c>
      <c r="U44" s="215">
        <f>IF(ROUND(U9,4)=ROUND(
SUMIFS(OP_Rates_SME_1[United Energy],OP_Rates_SME_1[[Rate name]:[Rate name]],$C44)+
SUMIFS(OP_RatesTU_SME_1[United Energy],OP_RatesTU_SME_1[[Rate name]:[Rate name]],
IF($D44&lt;&gt;"$",$C44,LEFT($C44,LEN($C44)-FIND(" - supply",$C44)-1))),4),
0,1)</f>
        <v>0</v>
      </c>
    </row>
    <row r="45" spans="3:21" ht="15.75" outlineLevel="2" x14ac:dyDescent="0.25">
      <c r="C45" s="42" t="s">
        <v>68</v>
      </c>
      <c r="D45" s="42" t="s">
        <v>69</v>
      </c>
      <c r="E45" s="42" t="s">
        <v>66</v>
      </c>
      <c r="G45" s="215">
        <f>IF(ROUND(G10,4)=ROUND(
SUMIFS(OP_Rates_RES_1[Ausnet],OP_Rates_RES_1[[Rate name]:[Rate name]],$C45)+
SUMIFS(OP_RatesTU_RES_1[Ausnet],OP_RatesTU_RES_1[[Rate name]:[Rate name]],
IF($D45&lt;&gt;"$",$C45,LEFT($C45,LEN($C45)-FIND(" - supply",$C45)-1))),4),
0,1)</f>
        <v>0</v>
      </c>
      <c r="H45" s="215">
        <f>IF(ROUND(H10,4)=ROUND(
SUMIFS(OP_Rates_RES_1[Citipower],OP_Rates_RES_1[[Rate name]:[Rate name]],$C45)+
SUMIFS(OP_RatesTU_RES_1[Citipower],OP_RatesTU_RES_1[[Rate name]:[Rate name]],
IF($D45&lt;&gt;"$",$C45,LEFT($C45,LEN($C45)-FIND(" - supply",$C45)-1))),4),
0,1)</f>
        <v>0</v>
      </c>
      <c r="I45" s="215">
        <f>IF(ROUND(I10,4)=ROUND(
SUMIFS(OP_Rates_RES_1[Jemena],OP_Rates_RES_1[[Rate name]:[Rate name]],$C45)+
SUMIFS(OP_RatesTU_RES_1[Jemena],OP_RatesTU_RES_1[[Rate name]:[Rate name]],
IF($D45&lt;&gt;"$",$C45,LEFT($C45,LEN($C45)-FIND(" - supply",$C45)-1))),4),
0,1)</f>
        <v>0</v>
      </c>
      <c r="J45" s="215">
        <f>IF(ROUND(J10,4)=ROUND(
SUMIFS(OP_Rates_RES_1[Powercor],OP_Rates_RES_1[[Rate name]:[Rate name]],$C45)+
SUMIFS(OP_RatesTU_RES_1[Powercor],OP_RatesTU_RES_1[[Rate name]:[Rate name]],
IF($D45&lt;&gt;"$",$C45,LEFT($C45,LEN($C45)-FIND(" - supply",$C45)-1))),4),
0,1)</f>
        <v>0</v>
      </c>
      <c r="K45" s="215">
        <f>IF(ROUND(K10,4)=ROUND(
SUMIFS(OP_Rates_RES_1[United Energy],OP_Rates_RES_1[[Rate name]:[Rate name]],$C45)+
SUMIFS(OP_RatesTU_RES_1[United Energy],OP_RatesTU_RES_1[[Rate name]:[Rate name]],
IF($D45&lt;&gt;"$",$C45,LEFT($C45,LEN($C45)-FIND(" - supply",$C45)-1))),4),
0,1)</f>
        <v>0</v>
      </c>
      <c r="M45" s="42" t="s">
        <v>68</v>
      </c>
      <c r="N45" s="42" t="s">
        <v>69</v>
      </c>
      <c r="O45" s="42" t="s">
        <v>67</v>
      </c>
      <c r="Q45" s="215">
        <f>IF(ROUND(Q10,4)=ROUND(
SUMIFS(OP_Rates_SME_1[Ausnet],OP_Rates_SME_1[[Rate name]:[Rate name]],$C45)+
SUMIFS(OP_RatesTU_SME_1[Ausnet],OP_RatesTU_SME_1[[Rate name]:[Rate name]],
IF($D45&lt;&gt;"$",$C45,LEFT($C45,LEN($C45)-FIND(" - supply",$C45)-1))),4),
0,1)</f>
        <v>0</v>
      </c>
      <c r="R45" s="215">
        <f>IF(ROUND(R10,4)=ROUND(
SUMIFS(OP_Rates_SME_1[Citipower],OP_Rates_SME_1[[Rate name]:[Rate name]],$C45)+
SUMIFS(OP_RatesTU_SME_1[Citipower],OP_RatesTU_SME_1[[Rate name]:[Rate name]],
IF($D45&lt;&gt;"$",$C45,LEFT($C45,LEN($C45)-FIND(" - supply",$C45)-1))),4),
0,1)</f>
        <v>0</v>
      </c>
      <c r="S45" s="215">
        <f>IF(ROUND(S10,4)=ROUND(
SUMIFS(OP_Rates_SME_1[Jemena],OP_Rates_SME_1[[Rate name]:[Rate name]],$C45)+
SUMIFS(OP_RatesTU_SME_1[Jemena],OP_RatesTU_SME_1[[Rate name]:[Rate name]],
IF($D45&lt;&gt;"$",$C45,LEFT($C45,LEN($C45)-FIND(" - supply",$C45)-1))),4),
0,1)</f>
        <v>0</v>
      </c>
      <c r="T45" s="215">
        <f>IF(ROUND(T10,4)=ROUND(
SUMIFS(OP_Rates_SME_1[Powercor],OP_Rates_SME_1[[Rate name]:[Rate name]],$C45)+
SUMIFS(OP_RatesTU_SME_1[Powercor],OP_RatesTU_SME_1[[Rate name]:[Rate name]],
IF($D45&lt;&gt;"$",$C45,LEFT($C45,LEN($C45)-FIND(" - supply",$C45)-1))),4),
0,1)</f>
        <v>0</v>
      </c>
      <c r="U45" s="215">
        <f>IF(ROUND(U10,4)=ROUND(
SUMIFS(OP_Rates_SME_1[United Energy],OP_Rates_SME_1[[Rate name]:[Rate name]],$C45)+
SUMIFS(OP_RatesTU_SME_1[United Energy],OP_RatesTU_SME_1[[Rate name]:[Rate name]],
IF($D45&lt;&gt;"$",$C45,LEFT($C45,LEN($C45)-FIND(" - supply",$C45)-1))),4),
0,1)</f>
        <v>0</v>
      </c>
    </row>
    <row r="46" spans="3:21" ht="15.75" outlineLevel="2" x14ac:dyDescent="0.25">
      <c r="C46" s="42" t="s">
        <v>70</v>
      </c>
      <c r="D46" s="42" t="s">
        <v>69</v>
      </c>
      <c r="E46" s="42" t="s">
        <v>66</v>
      </c>
      <c r="G46" s="215">
        <f>IF(ROUND(G11,4)=ROUND(
SUMIFS(OP_Rates_RES_1[Ausnet],OP_Rates_RES_1[[Rate name]:[Rate name]],$C46)+
SUMIFS(OP_RatesTU_RES_1[Ausnet],OP_RatesTU_RES_1[[Rate name]:[Rate name]],
IF($D46&lt;&gt;"$",$C46,LEFT($C46,LEN($C46)-FIND(" - supply",$C46)-1))),4),
0,1)</f>
        <v>0</v>
      </c>
      <c r="H46" s="215">
        <f>IF(ROUND(H11,4)=ROUND(
SUMIFS(OP_Rates_RES_1[Citipower],OP_Rates_RES_1[[Rate name]:[Rate name]],$C46)+
SUMIFS(OP_RatesTU_RES_1[Citipower],OP_RatesTU_RES_1[[Rate name]:[Rate name]],
IF($D46&lt;&gt;"$",$C46,LEFT($C46,LEN($C46)-FIND(" - supply",$C46)-1))),4),
0,1)</f>
        <v>0</v>
      </c>
      <c r="I46" s="215">
        <f>IF(ROUND(I11,4)=ROUND(
SUMIFS(OP_Rates_RES_1[Jemena],OP_Rates_RES_1[[Rate name]:[Rate name]],$C46)+
SUMIFS(OP_RatesTU_RES_1[Jemena],OP_RatesTU_RES_1[[Rate name]:[Rate name]],
IF($D46&lt;&gt;"$",$C46,LEFT($C46,LEN($C46)-FIND(" - supply",$C46)-1))),4),
0,1)</f>
        <v>0</v>
      </c>
      <c r="J46" s="215">
        <f>IF(ROUND(J11,4)=ROUND(
SUMIFS(OP_Rates_RES_1[Powercor],OP_Rates_RES_1[[Rate name]:[Rate name]],$C46)+
SUMIFS(OP_RatesTU_RES_1[Powercor],OP_RatesTU_RES_1[[Rate name]:[Rate name]],
IF($D46&lt;&gt;"$",$C46,LEFT($C46,LEN($C46)-FIND(" - supply",$C46)-1))),4),
0,1)</f>
        <v>0</v>
      </c>
      <c r="K46" s="215">
        <f>IF(ROUND(K11,4)=ROUND(
SUMIFS(OP_Rates_RES_1[United Energy],OP_Rates_RES_1[[Rate name]:[Rate name]],$C46)+
SUMIFS(OP_RatesTU_RES_1[United Energy],OP_RatesTU_RES_1[[Rate name]:[Rate name]],
IF($D46&lt;&gt;"$",$C46,LEFT($C46,LEN($C46)-FIND(" - supply",$C46)-1))),4),
0,1)</f>
        <v>0</v>
      </c>
      <c r="M46" s="42" t="s">
        <v>70</v>
      </c>
      <c r="N46" s="42" t="s">
        <v>69</v>
      </c>
      <c r="O46" s="42" t="s">
        <v>67</v>
      </c>
      <c r="Q46" s="215">
        <f>IF(ROUND(Q11,4)=ROUND(
SUMIFS(OP_Rates_SME_1[Ausnet],OP_Rates_SME_1[[Rate name]:[Rate name]],$C46)+
SUMIFS(OP_RatesTU_SME_1[Ausnet],OP_RatesTU_SME_1[[Rate name]:[Rate name]],
IF($D46&lt;&gt;"$",$C46,LEFT($C46,LEN($C46)-FIND(" - supply",$C46)-1))),4),
0,1)</f>
        <v>0</v>
      </c>
      <c r="R46" s="215">
        <f>IF(ROUND(R11,4)=ROUND(
SUMIFS(OP_Rates_SME_1[Citipower],OP_Rates_SME_1[[Rate name]:[Rate name]],$C46)+
SUMIFS(OP_RatesTU_SME_1[Citipower],OP_RatesTU_SME_1[[Rate name]:[Rate name]],
IF($D46&lt;&gt;"$",$C46,LEFT($C46,LEN($C46)-FIND(" - supply",$C46)-1))),4),
0,1)</f>
        <v>0</v>
      </c>
      <c r="S46" s="215">
        <f>IF(ROUND(S11,4)=ROUND(
SUMIFS(OP_Rates_SME_1[Jemena],OP_Rates_SME_1[[Rate name]:[Rate name]],$C46)+
SUMIFS(OP_RatesTU_SME_1[Jemena],OP_RatesTU_SME_1[[Rate name]:[Rate name]],
IF($D46&lt;&gt;"$",$C46,LEFT($C46,LEN($C46)-FIND(" - supply",$C46)-1))),4),
0,1)</f>
        <v>0</v>
      </c>
      <c r="T46" s="215">
        <f>IF(ROUND(T11,4)=ROUND(
SUMIFS(OP_Rates_SME_1[Powercor],OP_Rates_SME_1[[Rate name]:[Rate name]],$C46)+
SUMIFS(OP_RatesTU_SME_1[Powercor],OP_RatesTU_SME_1[[Rate name]:[Rate name]],
IF($D46&lt;&gt;"$",$C46,LEFT($C46,LEN($C46)-FIND(" - supply",$C46)-1))),4),
0,1)</f>
        <v>0</v>
      </c>
      <c r="U46" s="215">
        <f>IF(ROUND(U11,4)=ROUND(
SUMIFS(OP_Rates_SME_1[United Energy],OP_Rates_SME_1[[Rate name]:[Rate name]],$C46)+
SUMIFS(OP_RatesTU_SME_1[United Energy],OP_RatesTU_SME_1[[Rate name]:[Rate name]],
IF($D46&lt;&gt;"$",$C46,LEFT($C46,LEN($C46)-FIND(" - supply",$C46)-1))),4),
0,1)</f>
        <v>0</v>
      </c>
    </row>
    <row r="47" spans="3:21" ht="15.75" outlineLevel="2" x14ac:dyDescent="0.25">
      <c r="C47" s="42" t="s">
        <v>71</v>
      </c>
      <c r="D47" s="42" t="s">
        <v>69</v>
      </c>
      <c r="E47" s="42" t="s">
        <v>66</v>
      </c>
      <c r="G47" s="215">
        <f>IF(ROUND(G12,4)=ROUND(
SUMIFS(OP_Rates_RES_1[Ausnet],OP_Rates_RES_1[[Rate name]:[Rate name]],$C47)+
SUMIFS(OP_RatesTU_RES_1[Ausnet],OP_RatesTU_RES_1[[Rate name]:[Rate name]],
IF($D47&lt;&gt;"$",$C47,LEFT($C47,LEN($C47)-FIND(" - supply",$C47)-1))),4),
0,1)</f>
        <v>0</v>
      </c>
      <c r="H47" s="215">
        <f>IF(ROUND(H12,4)=ROUND(
SUMIFS(OP_Rates_RES_1[Citipower],OP_Rates_RES_1[[Rate name]:[Rate name]],$C47)+
SUMIFS(OP_RatesTU_RES_1[Citipower],OP_RatesTU_RES_1[[Rate name]:[Rate name]],
IF($D47&lt;&gt;"$",$C47,LEFT($C47,LEN($C47)-FIND(" - supply",$C47)-1))),4),
0,1)</f>
        <v>0</v>
      </c>
      <c r="I47" s="215">
        <f>IF(ROUND(I12,4)=ROUND(
SUMIFS(OP_Rates_RES_1[Jemena],OP_Rates_RES_1[[Rate name]:[Rate name]],$C47)+
SUMIFS(OP_RatesTU_RES_1[Jemena],OP_RatesTU_RES_1[[Rate name]:[Rate name]],
IF($D47&lt;&gt;"$",$C47,LEFT($C47,LEN($C47)-FIND(" - supply",$C47)-1))),4),
0,1)</f>
        <v>0</v>
      </c>
      <c r="J47" s="215">
        <f>IF(ROUND(J12,4)=ROUND(
SUMIFS(OP_Rates_RES_1[Powercor],OP_Rates_RES_1[[Rate name]:[Rate name]],$C47)+
SUMIFS(OP_RatesTU_RES_1[Powercor],OP_RatesTU_RES_1[[Rate name]:[Rate name]],
IF($D47&lt;&gt;"$",$C47,LEFT($C47,LEN($C47)-FIND(" - supply",$C47)-1))),4),
0,1)</f>
        <v>0</v>
      </c>
      <c r="K47" s="215">
        <f>IF(ROUND(K12,4)=ROUND(
SUMIFS(OP_Rates_RES_1[United Energy],OP_Rates_RES_1[[Rate name]:[Rate name]],$C47)+
SUMIFS(OP_RatesTU_RES_1[United Energy],OP_RatesTU_RES_1[[Rate name]:[Rate name]],
IF($D47&lt;&gt;"$",$C47,LEFT($C47,LEN($C47)-FIND(" - supply",$C47)-1))),4),
0,1)</f>
        <v>0</v>
      </c>
      <c r="M47" s="42" t="s">
        <v>71</v>
      </c>
      <c r="N47" s="42" t="s">
        <v>69</v>
      </c>
      <c r="O47" s="42" t="s">
        <v>67</v>
      </c>
      <c r="Q47" s="215">
        <f>IF(ROUND(Q12,4)=ROUND(
SUMIFS(OP_Rates_SME_1[Ausnet],OP_Rates_SME_1[[Rate name]:[Rate name]],$C47)+
SUMIFS(OP_RatesTU_SME_1[Ausnet],OP_RatesTU_SME_1[[Rate name]:[Rate name]],
IF($D47&lt;&gt;"$",$C47,LEFT($C47,LEN($C47)-FIND(" - supply",$C47)-1))),4),
0,1)</f>
        <v>0</v>
      </c>
      <c r="R47" s="215">
        <f>IF(ROUND(R12,4)=ROUND(
SUMIFS(OP_Rates_SME_1[Citipower],OP_Rates_SME_1[[Rate name]:[Rate name]],$C47)+
SUMIFS(OP_RatesTU_SME_1[Citipower],OP_RatesTU_SME_1[[Rate name]:[Rate name]],
IF($D47&lt;&gt;"$",$C47,LEFT($C47,LEN($C47)-FIND(" - supply",$C47)-1))),4),
0,1)</f>
        <v>0</v>
      </c>
      <c r="S47" s="215">
        <f>IF(ROUND(S12,4)=ROUND(
SUMIFS(OP_Rates_SME_1[Jemena],OP_Rates_SME_1[[Rate name]:[Rate name]],$C47)+
SUMIFS(OP_RatesTU_SME_1[Jemena],OP_RatesTU_SME_1[[Rate name]:[Rate name]],
IF($D47&lt;&gt;"$",$C47,LEFT($C47,LEN($C47)-FIND(" - supply",$C47)-1))),4),
0,1)</f>
        <v>0</v>
      </c>
      <c r="T47" s="215">
        <f>IF(ROUND(T12,4)=ROUND(
SUMIFS(OP_Rates_SME_1[Powercor],OP_Rates_SME_1[[Rate name]:[Rate name]],$C47)+
SUMIFS(OP_RatesTU_SME_1[Powercor],OP_RatesTU_SME_1[[Rate name]:[Rate name]],
IF($D47&lt;&gt;"$",$C47,LEFT($C47,LEN($C47)-FIND(" - supply",$C47)-1))),4),
0,1)</f>
        <v>0</v>
      </c>
      <c r="U47" s="215">
        <f>IF(ROUND(U12,4)=ROUND(
SUMIFS(OP_Rates_SME_1[United Energy],OP_Rates_SME_1[[Rate name]:[Rate name]],$C47)+
SUMIFS(OP_RatesTU_SME_1[United Energy],OP_RatesTU_SME_1[[Rate name]:[Rate name]],
IF($D47&lt;&gt;"$",$C47,LEFT($C47,LEN($C47)-FIND(" - supply",$C47)-1))),4),
0,1)</f>
        <v>0</v>
      </c>
    </row>
    <row r="48" spans="3:21" ht="15.75" outlineLevel="2" x14ac:dyDescent="0.25">
      <c r="C48" s="42" t="s">
        <v>72</v>
      </c>
      <c r="D48" s="42" t="s">
        <v>65</v>
      </c>
      <c r="E48" s="42" t="s">
        <v>66</v>
      </c>
      <c r="G48" s="215">
        <f>IF(ROUND(G13,4)=ROUND(
SUMIFS(OP_Rates_RES_1[Ausnet],OP_Rates_RES_1[[Rate name]:[Rate name]],$C48)+
SUMIFS(OP_RatesTU_RES_1[Ausnet],OP_RatesTU_RES_1[[Rate name]:[Rate name]],
IF($D48&lt;&gt;"$",$C48,LEFT($C48,LEN($C48)-FIND(" - supply",$C48)-1))),4),
0,1)</f>
        <v>0</v>
      </c>
      <c r="H48" s="215">
        <f>IF(ROUND(H13,4)=ROUND(
SUMIFS(OP_Rates_RES_1[Citipower],OP_Rates_RES_1[[Rate name]:[Rate name]],$C48)+
SUMIFS(OP_RatesTU_RES_1[Citipower],OP_RatesTU_RES_1[[Rate name]:[Rate name]],
IF($D48&lt;&gt;"$",$C48,LEFT($C48,LEN($C48)-FIND(" - supply",$C48)-1))),4),
0,1)</f>
        <v>0</v>
      </c>
      <c r="I48" s="215">
        <f>IF(ROUND(I13,4)=ROUND(
SUMIFS(OP_Rates_RES_1[Jemena],OP_Rates_RES_1[[Rate name]:[Rate name]],$C48)+
SUMIFS(OP_RatesTU_RES_1[Jemena],OP_RatesTU_RES_1[[Rate name]:[Rate name]],
IF($D48&lt;&gt;"$",$C48,LEFT($C48,LEN($C48)-FIND(" - supply",$C48)-1))),4),
0,1)</f>
        <v>0</v>
      </c>
      <c r="J48" s="215">
        <f>IF(ROUND(J13,4)=ROUND(
SUMIFS(OP_Rates_RES_1[Powercor],OP_Rates_RES_1[[Rate name]:[Rate name]],$C48)+
SUMIFS(OP_RatesTU_RES_1[Powercor],OP_RatesTU_RES_1[[Rate name]:[Rate name]],
IF($D48&lt;&gt;"$",$C48,LEFT($C48,LEN($C48)-FIND(" - supply",$C48)-1))),4),
0,1)</f>
        <v>0</v>
      </c>
      <c r="K48" s="215">
        <f>IF(ROUND(K13,4)=ROUND(
SUMIFS(OP_Rates_RES_1[United Energy],OP_Rates_RES_1[[Rate name]:[Rate name]],$C48)+
SUMIFS(OP_RatesTU_RES_1[United Energy],OP_RatesTU_RES_1[[Rate name]:[Rate name]],
IF($D48&lt;&gt;"$",$C48,LEFT($C48,LEN($C48)-FIND(" - supply",$C48)-1))),4),
0,1)</f>
        <v>0</v>
      </c>
      <c r="M48" s="42" t="s">
        <v>72</v>
      </c>
      <c r="N48" s="42" t="s">
        <v>65</v>
      </c>
      <c r="O48" s="42" t="s">
        <v>67</v>
      </c>
      <c r="Q48" s="215">
        <f>IF(ROUND(Q13,4)=ROUND(
SUMIFS(OP_Rates_SME_1[Ausnet],OP_Rates_SME_1[[Rate name]:[Rate name]],$C48)+
SUMIFS(OP_RatesTU_SME_1[Ausnet],OP_RatesTU_SME_1[[Rate name]:[Rate name]],
IF($D48&lt;&gt;"$",$C48,LEFT($C48,LEN($C48)-FIND(" - supply",$C48)-1))),4),
0,1)</f>
        <v>0</v>
      </c>
      <c r="R48" s="215">
        <f>IF(ROUND(R13,4)=ROUND(
SUMIFS(OP_Rates_SME_1[Citipower],OP_Rates_SME_1[[Rate name]:[Rate name]],$C48)+
SUMIFS(OP_RatesTU_SME_1[Citipower],OP_RatesTU_SME_1[[Rate name]:[Rate name]],
IF($D48&lt;&gt;"$",$C48,LEFT($C48,LEN($C48)-FIND(" - supply",$C48)-1))),4),
0,1)</f>
        <v>0</v>
      </c>
      <c r="S48" s="215">
        <f>IF(ROUND(S13,4)=ROUND(
SUMIFS(OP_Rates_SME_1[Jemena],OP_Rates_SME_1[[Rate name]:[Rate name]],$C48)+
SUMIFS(OP_RatesTU_SME_1[Jemena],OP_RatesTU_SME_1[[Rate name]:[Rate name]],
IF($D48&lt;&gt;"$",$C48,LEFT($C48,LEN($C48)-FIND(" - supply",$C48)-1))),4),
0,1)</f>
        <v>0</v>
      </c>
      <c r="T48" s="215">
        <f>IF(ROUND(T13,4)=ROUND(
SUMIFS(OP_Rates_SME_1[Powercor],OP_Rates_SME_1[[Rate name]:[Rate name]],$C48)+
SUMIFS(OP_RatesTU_SME_1[Powercor],OP_RatesTU_SME_1[[Rate name]:[Rate name]],
IF($D48&lt;&gt;"$",$C48,LEFT($C48,LEN($C48)-FIND(" - supply",$C48)-1))),4),
0,1)</f>
        <v>0</v>
      </c>
      <c r="U48" s="215">
        <f>IF(ROUND(U13,4)=ROUND(
SUMIFS(OP_Rates_SME_1[United Energy],OP_Rates_SME_1[[Rate name]:[Rate name]],$C48)+
SUMIFS(OP_RatesTU_SME_1[United Energy],OP_RatesTU_SME_1[[Rate name]:[Rate name]],
IF($D48&lt;&gt;"$",$C48,LEFT($C48,LEN($C48)-FIND(" - supply",$C48)-1))),4),
0,1)</f>
        <v>0</v>
      </c>
    </row>
    <row r="49" spans="3:21" ht="15.75" outlineLevel="2" x14ac:dyDescent="0.25">
      <c r="C49" s="42" t="s">
        <v>73</v>
      </c>
      <c r="D49" s="42" t="s">
        <v>69</v>
      </c>
      <c r="E49" s="42" t="s">
        <v>66</v>
      </c>
      <c r="G49" s="215">
        <f>IF(ROUND(G14,4)=ROUND(
SUMIFS(OP_Rates_RES_1[Ausnet],OP_Rates_RES_1[[Rate name]:[Rate name]],$C49)+
SUMIFS(OP_RatesTU_RES_1[Ausnet],OP_RatesTU_RES_1[[Rate name]:[Rate name]],
IF($D49&lt;&gt;"$",$C49,LEFT($C49,LEN($C49)-FIND(" - supply",$C49)-1))),4),
0,1)</f>
        <v>0</v>
      </c>
      <c r="H49" s="215">
        <f>IF(ROUND(H14,4)=ROUND(
SUMIFS(OP_Rates_RES_1[Citipower],OP_Rates_RES_1[[Rate name]:[Rate name]],$C49)+
SUMIFS(OP_RatesTU_RES_1[Citipower],OP_RatesTU_RES_1[[Rate name]:[Rate name]],
IF($D49&lt;&gt;"$",$C49,LEFT($C49,LEN($C49)-FIND(" - supply",$C49)-1))),4),
0,1)</f>
        <v>0</v>
      </c>
      <c r="I49" s="215">
        <f>IF(ROUND(I14,4)=ROUND(
SUMIFS(OP_Rates_RES_1[Jemena],OP_Rates_RES_1[[Rate name]:[Rate name]],$C49)+
SUMIFS(OP_RatesTU_RES_1[Jemena],OP_RatesTU_RES_1[[Rate name]:[Rate name]],
IF($D49&lt;&gt;"$",$C49,LEFT($C49,LEN($C49)-FIND(" - supply",$C49)-1))),4),
0,1)</f>
        <v>0</v>
      </c>
      <c r="J49" s="215">
        <f>IF(ROUND(J14,4)=ROUND(
SUMIFS(OP_Rates_RES_1[Powercor],OP_Rates_RES_1[[Rate name]:[Rate name]],$C49)+
SUMIFS(OP_RatesTU_RES_1[Powercor],OP_RatesTU_RES_1[[Rate name]:[Rate name]],
IF($D49&lt;&gt;"$",$C49,LEFT($C49,LEN($C49)-FIND(" - supply",$C49)-1))),4),
0,1)</f>
        <v>0</v>
      </c>
      <c r="K49" s="215">
        <f>IF(ROUND(K14,4)=ROUND(
SUMIFS(OP_Rates_RES_1[United Energy],OP_Rates_RES_1[[Rate name]:[Rate name]],$C49)+
SUMIFS(OP_RatesTU_RES_1[United Energy],OP_RatesTU_RES_1[[Rate name]:[Rate name]],
IF($D49&lt;&gt;"$",$C49,LEFT($C49,LEN($C49)-FIND(" - supply",$C49)-1))),4),
0,1)</f>
        <v>0</v>
      </c>
      <c r="M49" s="42" t="s">
        <v>73</v>
      </c>
      <c r="N49" s="42" t="s">
        <v>69</v>
      </c>
      <c r="O49" s="42" t="s">
        <v>67</v>
      </c>
      <c r="Q49" s="215">
        <f>IF(ROUND(Q14,4)=ROUND(
SUMIFS(OP_Rates_SME_1[Ausnet],OP_Rates_SME_1[[Rate name]:[Rate name]],$C49)+
SUMIFS(OP_RatesTU_SME_1[Ausnet],OP_RatesTU_SME_1[[Rate name]:[Rate name]],
IF($D49&lt;&gt;"$",$C49,LEFT($C49,LEN($C49)-FIND(" - supply",$C49)-1))),4),
0,1)</f>
        <v>0</v>
      </c>
      <c r="R49" s="215">
        <f>IF(ROUND(R14,4)=ROUND(
SUMIFS(OP_Rates_SME_1[Citipower],OP_Rates_SME_1[[Rate name]:[Rate name]],$C49)+
SUMIFS(OP_RatesTU_SME_1[Citipower],OP_RatesTU_SME_1[[Rate name]:[Rate name]],
IF($D49&lt;&gt;"$",$C49,LEFT($C49,LEN($C49)-FIND(" - supply",$C49)-1))),4),
0,1)</f>
        <v>0</v>
      </c>
      <c r="S49" s="215">
        <f>IF(ROUND(S14,4)=ROUND(
SUMIFS(OP_Rates_SME_1[Jemena],OP_Rates_SME_1[[Rate name]:[Rate name]],$C49)+
SUMIFS(OP_RatesTU_SME_1[Jemena],OP_RatesTU_SME_1[[Rate name]:[Rate name]],
IF($D49&lt;&gt;"$",$C49,LEFT($C49,LEN($C49)-FIND(" - supply",$C49)-1))),4),
0,1)</f>
        <v>0</v>
      </c>
      <c r="T49" s="215">
        <f>IF(ROUND(T14,4)=ROUND(
SUMIFS(OP_Rates_SME_1[Powercor],OP_Rates_SME_1[[Rate name]:[Rate name]],$C49)+
SUMIFS(OP_RatesTU_SME_1[Powercor],OP_RatesTU_SME_1[[Rate name]:[Rate name]],
IF($D49&lt;&gt;"$",$C49,LEFT($C49,LEN($C49)-FIND(" - supply",$C49)-1))),4),
0,1)</f>
        <v>0</v>
      </c>
      <c r="U49" s="215">
        <f>IF(ROUND(U14,4)=ROUND(
SUMIFS(OP_Rates_SME_1[United Energy],OP_Rates_SME_1[[Rate name]:[Rate name]],$C49)+
SUMIFS(OP_RatesTU_SME_1[United Energy],OP_RatesTU_SME_1[[Rate name]:[Rate name]],
IF($D49&lt;&gt;"$",$C49,LEFT($C49,LEN($C49)-FIND(" - supply",$C49)-1))),4),
0,1)</f>
        <v>0</v>
      </c>
    </row>
    <row r="50" spans="3:21" ht="15.75" outlineLevel="2" x14ac:dyDescent="0.25">
      <c r="C50" s="42" t="s">
        <v>74</v>
      </c>
      <c r="D50" s="42" t="s">
        <v>69</v>
      </c>
      <c r="E50" s="42" t="s">
        <v>66</v>
      </c>
      <c r="G50" s="215">
        <f>IF(ROUND(G15,4)=ROUND(
SUMIFS(OP_Rates_RES_1[Ausnet],OP_Rates_RES_1[[Rate name]:[Rate name]],$C50)+
SUMIFS(OP_RatesTU_RES_1[Ausnet],OP_RatesTU_RES_1[[Rate name]:[Rate name]],
IF($D50&lt;&gt;"$",$C50,LEFT($C50,LEN($C50)-FIND(" - supply",$C50)-1))),4),
0,1)</f>
        <v>0</v>
      </c>
      <c r="H50" s="215">
        <f>IF(ROUND(H15,4)=ROUND(
SUMIFS(OP_Rates_RES_1[Citipower],OP_Rates_RES_1[[Rate name]:[Rate name]],$C50)+
SUMIFS(OP_RatesTU_RES_1[Citipower],OP_RatesTU_RES_1[[Rate name]:[Rate name]],
IF($D50&lt;&gt;"$",$C50,LEFT($C50,LEN($C50)-FIND(" - supply",$C50)-1))),4),
0,1)</f>
        <v>0</v>
      </c>
      <c r="I50" s="215">
        <f>IF(ROUND(I15,4)=ROUND(
SUMIFS(OP_Rates_RES_1[Jemena],OP_Rates_RES_1[[Rate name]:[Rate name]],$C50)+
SUMIFS(OP_RatesTU_RES_1[Jemena],OP_RatesTU_RES_1[[Rate name]:[Rate name]],
IF($D50&lt;&gt;"$",$C50,LEFT($C50,LEN($C50)-FIND(" - supply",$C50)-1))),4),
0,1)</f>
        <v>0</v>
      </c>
      <c r="J50" s="215">
        <f>IF(ROUND(J15,4)=ROUND(
SUMIFS(OP_Rates_RES_1[Powercor],OP_Rates_RES_1[[Rate name]:[Rate name]],$C50)+
SUMIFS(OP_RatesTU_RES_1[Powercor],OP_RatesTU_RES_1[[Rate name]:[Rate name]],
IF($D50&lt;&gt;"$",$C50,LEFT($C50,LEN($C50)-FIND(" - supply",$C50)-1))),4),
0,1)</f>
        <v>0</v>
      </c>
      <c r="K50" s="215">
        <f>IF(ROUND(K15,4)=ROUND(
SUMIFS(OP_Rates_RES_1[United Energy],OP_Rates_RES_1[[Rate name]:[Rate name]],$C50)+
SUMIFS(OP_RatesTU_RES_1[United Energy],OP_RatesTU_RES_1[[Rate name]:[Rate name]],
IF($D50&lt;&gt;"$",$C50,LEFT($C50,LEN($C50)-FIND(" - supply",$C50)-1))),4),
0,1)</f>
        <v>0</v>
      </c>
      <c r="M50" s="42" t="s">
        <v>74</v>
      </c>
      <c r="N50" s="42" t="s">
        <v>69</v>
      </c>
      <c r="O50" s="42" t="s">
        <v>67</v>
      </c>
      <c r="Q50" s="215">
        <f>IF(ROUND(Q15,4)=ROUND(
SUMIFS(OP_Rates_SME_1[Ausnet],OP_Rates_SME_1[[Rate name]:[Rate name]],$C50)+
SUMIFS(OP_RatesTU_SME_1[Ausnet],OP_RatesTU_SME_1[[Rate name]:[Rate name]],
IF($D50&lt;&gt;"$",$C50,LEFT($C50,LEN($C50)-FIND(" - supply",$C50)-1))),4),
0,1)</f>
        <v>0</v>
      </c>
      <c r="R50" s="215">
        <f>IF(ROUND(R15,4)=ROUND(
SUMIFS(OP_Rates_SME_1[Citipower],OP_Rates_SME_1[[Rate name]:[Rate name]],$C50)+
SUMIFS(OP_RatesTU_SME_1[Citipower],OP_RatesTU_SME_1[[Rate name]:[Rate name]],
IF($D50&lt;&gt;"$",$C50,LEFT($C50,LEN($C50)-FIND(" - supply",$C50)-1))),4),
0,1)</f>
        <v>0</v>
      </c>
      <c r="S50" s="215">
        <f>IF(ROUND(S15,4)=ROUND(
SUMIFS(OP_Rates_SME_1[Jemena],OP_Rates_SME_1[[Rate name]:[Rate name]],$C50)+
SUMIFS(OP_RatesTU_SME_1[Jemena],OP_RatesTU_SME_1[[Rate name]:[Rate name]],
IF($D50&lt;&gt;"$",$C50,LEFT($C50,LEN($C50)-FIND(" - supply",$C50)-1))),4),
0,1)</f>
        <v>0</v>
      </c>
      <c r="T50" s="215">
        <f>IF(ROUND(T15,4)=ROUND(
SUMIFS(OP_Rates_SME_1[Powercor],OP_Rates_SME_1[[Rate name]:[Rate name]],$C50)+
SUMIFS(OP_RatesTU_SME_1[Powercor],OP_RatesTU_SME_1[[Rate name]:[Rate name]],
IF($D50&lt;&gt;"$",$C50,LEFT($C50,LEN($C50)-FIND(" - supply",$C50)-1))),4),
0,1)</f>
        <v>0</v>
      </c>
      <c r="U50" s="215">
        <f>IF(ROUND(U15,4)=ROUND(
SUMIFS(OP_Rates_SME_1[United Energy],OP_Rates_SME_1[[Rate name]:[Rate name]],$C50)+
SUMIFS(OP_RatesTU_SME_1[United Energy],OP_RatesTU_SME_1[[Rate name]:[Rate name]],
IF($D50&lt;&gt;"$",$C50,LEFT($C50,LEN($C50)-FIND(" - supply",$C50)-1))),4),
0,1)</f>
        <v>0</v>
      </c>
    </row>
    <row r="51" spans="3:21" ht="15.75" outlineLevel="2" x14ac:dyDescent="0.25">
      <c r="C51" s="42" t="s">
        <v>75</v>
      </c>
      <c r="D51" s="42" t="s">
        <v>69</v>
      </c>
      <c r="E51" s="42" t="s">
        <v>66</v>
      </c>
      <c r="G51" s="215">
        <f>IF(ROUND(G16,4)=ROUND(
SUMIFS(OP_Rates_RES_1[Ausnet],OP_Rates_RES_1[[Rate name]:[Rate name]],$C51)+
SUMIFS(OP_RatesTU_RES_1[Ausnet],OP_RatesTU_RES_1[[Rate name]:[Rate name]],
IF($D51&lt;&gt;"$",$C51,LEFT($C51,LEN($C51)-FIND(" - supply",$C51)-1))),4),
0,1)</f>
        <v>0</v>
      </c>
      <c r="H51" s="215">
        <f>IF(ROUND(H16,4)=ROUND(
SUMIFS(OP_Rates_RES_1[Citipower],OP_Rates_RES_1[[Rate name]:[Rate name]],$C51)+
SUMIFS(OP_RatesTU_RES_1[Citipower],OP_RatesTU_RES_1[[Rate name]:[Rate name]],
IF($D51&lt;&gt;"$",$C51,LEFT($C51,LEN($C51)-FIND(" - supply",$C51)-1))),4),
0,1)</f>
        <v>0</v>
      </c>
      <c r="I51" s="215">
        <f>IF(ROUND(I16,4)=ROUND(
SUMIFS(OP_Rates_RES_1[Jemena],OP_Rates_RES_1[[Rate name]:[Rate name]],$C51)+
SUMIFS(OP_RatesTU_RES_1[Jemena],OP_RatesTU_RES_1[[Rate name]:[Rate name]],
IF($D51&lt;&gt;"$",$C51,LEFT($C51,LEN($C51)-FIND(" - supply",$C51)-1))),4),
0,1)</f>
        <v>0</v>
      </c>
      <c r="J51" s="215">
        <f>IF(ROUND(J16,4)=ROUND(
SUMIFS(OP_Rates_RES_1[Powercor],OP_Rates_RES_1[[Rate name]:[Rate name]],$C51)+
SUMIFS(OP_RatesTU_RES_1[Powercor],OP_RatesTU_RES_1[[Rate name]:[Rate name]],
IF($D51&lt;&gt;"$",$C51,LEFT($C51,LEN($C51)-FIND(" - supply",$C51)-1))),4),
0,1)</f>
        <v>0</v>
      </c>
      <c r="K51" s="215">
        <f>IF(ROUND(K16,4)=ROUND(
SUMIFS(OP_Rates_RES_1[United Energy],OP_Rates_RES_1[[Rate name]:[Rate name]],$C51)+
SUMIFS(OP_RatesTU_RES_1[United Energy],OP_RatesTU_RES_1[[Rate name]:[Rate name]],
IF($D51&lt;&gt;"$",$C51,LEFT($C51,LEN($C51)-FIND(" - supply",$C51)-1))),4),
0,1)</f>
        <v>0</v>
      </c>
      <c r="M51" s="42"/>
      <c r="N51" s="42"/>
      <c r="O51" s="42"/>
      <c r="Q51" s="215"/>
      <c r="R51" s="215"/>
      <c r="S51" s="215"/>
      <c r="T51" s="215"/>
      <c r="U51" s="215"/>
    </row>
    <row r="52" spans="3:21" outlineLevel="2" x14ac:dyDescent="0.25"/>
    <row r="53" spans="3:21" ht="15.75" outlineLevel="2" x14ac:dyDescent="0.25">
      <c r="C53" s="24" t="str">
        <f>C$18&amp;" - checks"</f>
        <v>Residential calculated rate - checks</v>
      </c>
      <c r="M53" s="24" t="str">
        <f>M$18&amp;" - checks"</f>
        <v>Small business calculated rate - checks</v>
      </c>
    </row>
    <row r="54" spans="3:21" ht="15.75" outlineLevel="2" x14ac:dyDescent="0.25">
      <c r="C54" s="31" t="s">
        <v>55</v>
      </c>
      <c r="D54" s="31" t="s">
        <v>56</v>
      </c>
      <c r="E54" s="31" t="s">
        <v>57</v>
      </c>
      <c r="G54" s="35" t="s">
        <v>59</v>
      </c>
      <c r="H54" s="35" t="s">
        <v>60</v>
      </c>
      <c r="I54" s="35" t="s">
        <v>61</v>
      </c>
      <c r="J54" s="35" t="s">
        <v>62</v>
      </c>
      <c r="K54" s="35" t="s">
        <v>63</v>
      </c>
      <c r="M54" s="31" t="s">
        <v>55</v>
      </c>
      <c r="N54" s="31" t="s">
        <v>56</v>
      </c>
      <c r="O54" s="31" t="s">
        <v>57</v>
      </c>
      <c r="Q54" s="35" t="s">
        <v>59</v>
      </c>
      <c r="R54" s="35" t="s">
        <v>60</v>
      </c>
      <c r="S54" s="35" t="s">
        <v>61</v>
      </c>
      <c r="T54" s="35" t="s">
        <v>62</v>
      </c>
      <c r="U54" s="35" t="s">
        <v>63</v>
      </c>
    </row>
    <row r="55" spans="3:21" ht="15.75" outlineLevel="2" x14ac:dyDescent="0.25">
      <c r="C55" s="18" t="s">
        <v>64</v>
      </c>
      <c r="D55" s="18" t="s">
        <v>65</v>
      </c>
      <c r="E55" s="18" t="s">
        <v>66</v>
      </c>
      <c r="G55" s="215" cm="1">
        <f t="array" ref="G55">IF(G20="-","-",
IF(ROUND(G20,8)=
ROUND(((
(SUMIFS(Calc_NetworkF_1[Ausnet],Calc_NetworkF_1[[Cost item]:[Cost item]],$C55,Calc_NetworkF_1[[Customer type]:[Customer type]],$E55)+
SUMIFS(Calc_Fixed_1[Ausnet],Calc_Fixed_1[[Customer type]:[Customer type]],"All")+
SUMIFS(Calc_Fixed_1[Ausnet],Calc_Fixed_1[[Customer type]:[Customer type]],$E55))/DiY)*(1+Calc_ROM_1[Ausnet]))*(1+GST),8),0,1))</f>
        <v>0</v>
      </c>
      <c r="H55" s="215" cm="1">
        <f t="array" ref="H55">IF(H20="-","-",
IF(ROUND(H20,8)=
ROUND(((
(SUMIFS(Calc_NetworkF_1[Citipower],Calc_NetworkF_1[[Cost item]:[Cost item]],$C55,Calc_NetworkF_1[[Customer type]:[Customer type]],$E55)+
SUMIFS(Calc_Fixed_1[Citipower],Calc_Fixed_1[[Customer type]:[Customer type]],"All")+
SUMIFS(Calc_Fixed_1[Citipower],Calc_Fixed_1[[Customer type]:[Customer type]],$E55))/DiY)*(1+Calc_ROM_1[Citipower]))*(1+GST),8),0,1))</f>
        <v>0</v>
      </c>
      <c r="I55" s="215" cm="1">
        <f t="array" ref="I55">IF(I20="-","-",
IF(ROUND(I20,8)=
ROUND(((
(SUMIFS(Calc_NetworkF_1[Jemena],Calc_NetworkF_1[[Cost item]:[Cost item]],$C55,Calc_NetworkF_1[[Customer type]:[Customer type]],$E55)+
SUMIFS(Calc_Fixed_1[Jemena],Calc_Fixed_1[[Customer type]:[Customer type]],"All")+
SUMIFS(Calc_Fixed_1[Jemena],Calc_Fixed_1[[Customer type]:[Customer type]],$E55))/DiY)*(1+Calc_ROM_1[Jemena]))*(1+GST),8),0,1))</f>
        <v>0</v>
      </c>
      <c r="J55" s="215" cm="1">
        <f t="array" ref="J55">IF(J20="-","-",
IF(ROUND(J20,8)=
ROUND(((
(SUMIFS(Calc_NetworkF_1[Powercor],Calc_NetworkF_1[[Cost item]:[Cost item]],$C55,Calc_NetworkF_1[[Customer type]:[Customer type]],$E55)+
SUMIFS(Calc_Fixed_1[Powercor],Calc_Fixed_1[[Customer type]:[Customer type]],"All")+
SUMIFS(Calc_Fixed_1[Powercor],Calc_Fixed_1[[Customer type]:[Customer type]],$E55))/DiY)*(1+Calc_ROM_1[Powercor]))*(1+GST),8),0,1))</f>
        <v>0</v>
      </c>
      <c r="K55" s="215" cm="1">
        <f t="array" ref="K55">IF(K20="-","-",
IF(ROUND(K20,8)=
ROUND(((
(SUMIFS(Calc_NetworkF_1[United Energy],Calc_NetworkF_1[[Cost item]:[Cost item]],$C55,Calc_NetworkF_1[[Customer type]:[Customer type]],$E55)+
SUMIFS(Calc_Fixed_1[United Energy],Calc_Fixed_1[[Customer type]:[Customer type]],"All")+
SUMIFS(Calc_Fixed_1[United Energy],Calc_Fixed_1[[Customer type]:[Customer type]],$E55))/DiY)*(1+Calc_ROM_1[United Energy]))*(1+GST),8),0,1))</f>
        <v>0</v>
      </c>
      <c r="M55" s="18" t="s">
        <v>64</v>
      </c>
      <c r="N55" s="18" t="s">
        <v>65</v>
      </c>
      <c r="O55" s="18" t="s">
        <v>67</v>
      </c>
      <c r="Q55" s="215" cm="1">
        <f t="array" ref="Q55">IF(Q20="-","-",
IF(ROUND(Q20,8)=
ROUND(((
(SUMIFS(Calc_NetworkF_1[Ausnet],Calc_NetworkF_1[[Cost item]:[Cost item]],$M55,Calc_NetworkF_1[[Customer type]:[Customer type]],$O55)+
SUMIFS(Calc_Fixed_1[Ausnet],Calc_Fixed_1[[Customer type]:[Customer type]],"All")+
SUMIFS(Calc_Fixed_1[Ausnet],Calc_Fixed_1[[Customer type]:[Customer type]],$O55))/DiY)*(1+Calc_ROM_1[Ausnet]))*(1+GST),8),0,1))</f>
        <v>0</v>
      </c>
      <c r="R55" s="215" cm="1">
        <f t="array" ref="R55">IF(R20="-","-",
IF(ROUND(R20,8)=
ROUND(((
(SUMIFS(Calc_NetworkF_1[Citipower],Calc_NetworkF_1[[Cost item]:[Cost item]],$M55,Calc_NetworkF_1[[Customer type]:[Customer type]],$O55)+
SUMIFS(Calc_Fixed_1[Citipower],Calc_Fixed_1[[Customer type]:[Customer type]],"All")+
SUMIFS(Calc_Fixed_1[Citipower],Calc_Fixed_1[[Customer type]:[Customer type]],$O55))/DiY)*(1+Calc_ROM_1[Citipower]))*(1+GST),8),0,1))</f>
        <v>0</v>
      </c>
      <c r="S55" s="215" cm="1">
        <f t="array" ref="S55">IF(S20="-","-",
IF(ROUND(S20,8)=
ROUND(((
(SUMIFS(Calc_NetworkF_1[Jemena],Calc_NetworkF_1[[Cost item]:[Cost item]],$M55,Calc_NetworkF_1[[Customer type]:[Customer type]],$O55)+
SUMIFS(Calc_Fixed_1[Jemena],Calc_Fixed_1[[Customer type]:[Customer type]],"All")+
SUMIFS(Calc_Fixed_1[Jemena],Calc_Fixed_1[[Customer type]:[Customer type]],$O55))/DiY)*(1+Calc_ROM_1[Jemena]))*(1+GST),8),0,1))</f>
        <v>0</v>
      </c>
      <c r="T55" s="215" cm="1">
        <f t="array" ref="T55">IF(T20="-","-",
IF(ROUND(T20,8)=
ROUND(((
(SUMIFS(Calc_NetworkF_1[Powercor],Calc_NetworkF_1[[Cost item]:[Cost item]],$M55,Calc_NetworkF_1[[Customer type]:[Customer type]],$O55)+
SUMIFS(Calc_Fixed_1[Powercor],Calc_Fixed_1[[Customer type]:[Customer type]],"All")+
SUMIFS(Calc_Fixed_1[Powercor],Calc_Fixed_1[[Customer type]:[Customer type]],$O55))/DiY)*(1+Calc_ROM_1[Powercor]))*(1+GST),8),0,1))</f>
        <v>0</v>
      </c>
      <c r="U55" s="215" cm="1">
        <f t="array" ref="U55">IF(U20="-","-",
IF(ROUND(U20,8)=
ROUND(((
(SUMIFS(Calc_NetworkF_1[United Energy],Calc_NetworkF_1[[Cost item]:[Cost item]],$M55,Calc_NetworkF_1[[Customer type]:[Customer type]],$O55)+
SUMIFS(Calc_Fixed_1[United Energy],Calc_Fixed_1[[Customer type]:[Customer type]],"All")+
SUMIFS(Calc_Fixed_1[United Energy],Calc_Fixed_1[[Customer type]:[Customer type]],$O55))/DiY)*(1+Calc_ROM_1[United Energy]))*(1+GST),8),0,1))</f>
        <v>0</v>
      </c>
    </row>
    <row r="56" spans="3:21" ht="15.75" outlineLevel="2" x14ac:dyDescent="0.25">
      <c r="C56" s="18" t="s">
        <v>68</v>
      </c>
      <c r="D56" s="18" t="s">
        <v>69</v>
      </c>
      <c r="E56" s="18" t="s">
        <v>66</v>
      </c>
      <c r="G56" s="215" cm="1">
        <f t="array" ref="G56">IF(G21="-","-",
IF(ROUND(G21,8)=ROUND(
((SUMIFS(Calc_Variable_1[Ausnet],Calc_Variable_1[[Customer type]:[Customer type]],"All")+
SUMIFS(Calc_Variable_1[Ausnet],Calc_Variable_1[[Customer type]:[Customer type]],OP_Rates!$E56)+
SUMIFS(Calc_NetworkV_1[Ausnet],Calc_NetworkV_1[[Customer type]:[Customer type]],OP_Rates!$E56,Calc_NetworkV_1[[Cost item]:[Cost item]],OP_Rates!$C56))*(1+Calc_ROM_1[Ausnet]))*(1+GST),8),0,1))</f>
        <v>0</v>
      </c>
      <c r="H56" s="215" t="str" cm="1">
        <f t="array" ref="H56">IF(H21="-","-",
IF(ROUND(H21,8)=ROUND(
((SUMIFS(Calc_Variable_1[Citipower],Calc_Variable_1[[Customer type]:[Customer type]],"All")+
SUMIFS(Calc_Variable_1[Citipower],Calc_Variable_1[[Customer type]:[Customer type]],OP_Rates!$E56)+
SUMIFS(Calc_NetworkV_1[Citipower],Calc_NetworkV_1[[Customer type]:[Customer type]],OP_Rates!$E56,Calc_NetworkV_1[[Cost item]:[Cost item]],OP_Rates!$C56))*(1+Calc_ROM_1[Citipower]))*(1+GST),8),0,1))</f>
        <v>-</v>
      </c>
      <c r="I56" s="215" t="str" cm="1">
        <f t="array" ref="I56">IF(I21="-","-",
IF(ROUND(I21,8)=ROUND(
((SUMIFS(Calc_Variable_1[Jemena],Calc_Variable_1[[Customer type]:[Customer type]],"All")+
SUMIFS(Calc_Variable_1[Jemena],Calc_Variable_1[[Customer type]:[Customer type]],OP_Rates!$E56)+
SUMIFS(Calc_NetworkV_1[Jemena],Calc_NetworkV_1[[Customer type]:[Customer type]],OP_Rates!$E56,Calc_NetworkV_1[[Cost item]:[Cost item]],OP_Rates!$C56))*(1+Calc_ROM_1[Jemena]))*(1+GST),8),0,1))</f>
        <v>-</v>
      </c>
      <c r="J56" s="215" t="str" cm="1">
        <f t="array" ref="J56">IF(J21="-","-",
IF(ROUND(J21,8)=ROUND(
((SUMIFS(Calc_Variable_1[Powercor],Calc_Variable_1[[Customer type]:[Customer type]],"All")+
SUMIFS(Calc_Variable_1[Powercor],Calc_Variable_1[[Customer type]:[Customer type]],OP_Rates!$E56)+
SUMIFS(Calc_NetworkV_1[Powercor],Calc_NetworkV_1[[Customer type]:[Customer type]],OP_Rates!$E56,Calc_NetworkV_1[[Cost item]:[Cost item]],OP_Rates!$C56))*(1+Calc_ROM_1[Powercor]))*(1+GST),8),0,1))</f>
        <v>-</v>
      </c>
      <c r="K56" s="215" t="str" cm="1">
        <f t="array" ref="K56">IF(K21="-","-",
IF(ROUND(K21,8)=ROUND(
((SUMIFS(Calc_Variable_1[United Energy],Calc_Variable_1[[Customer type]:[Customer type]],"All")+
SUMIFS(Calc_Variable_1[United Energy],Calc_Variable_1[[Customer type]:[Customer type]],OP_Rates!$E56)+
SUMIFS(Calc_NetworkV_1[United Energy],Calc_NetworkV_1[[Customer type]:[Customer type]],OP_Rates!$E56,Calc_NetworkV_1[[Cost item]:[Cost item]],OP_Rates!$C56))*(1+Calc_ROM_1[United Energy]))*(1+GST),8),0,1))</f>
        <v>-</v>
      </c>
      <c r="M56" s="18" t="s">
        <v>68</v>
      </c>
      <c r="N56" s="18" t="s">
        <v>69</v>
      </c>
      <c r="O56" s="18" t="s">
        <v>67</v>
      </c>
      <c r="Q56" s="215" cm="1">
        <f t="array" ref="Q56">IF(Q21="-","-",
IF(ROUND(Q21,8)=ROUND(
((SUMIFS(Calc_Variable_1[Ausnet],Calc_Variable_1[[Customer type]:[Customer type]],"All")+
SUMIFS(Calc_Variable_1[Ausnet],Calc_Variable_1[[Customer type]:[Customer type]],OP_Rates!$O56)+
SUMIFS(Calc_NetworkV_1[Ausnet],Calc_NetworkV_1[[Customer type]:[Customer type]],OP_Rates!$O56,Calc_NetworkV_1[[Cost item]:[Cost item]],OP_Rates!$M56))*(1+Calc_ROM_1[Ausnet]))*(1+GST),8),0,1))</f>
        <v>0</v>
      </c>
      <c r="R56" s="215" t="str" cm="1">
        <f t="array" ref="R56">IF(R21="-","-",
IF(ROUND(R21,8)=ROUND(
((SUMIFS(Calc_Variable_1[Citipower],Calc_Variable_1[[Customer type]:[Customer type]],"All")+
SUMIFS(Calc_Variable_1[Citipower],Calc_Variable_1[[Customer type]:[Customer type]],OP_Rates!$O56)+
SUMIFS(Calc_NetworkV_1[Citipower],Calc_NetworkV_1[[Customer type]:[Customer type]],OP_Rates!$O56,Calc_NetworkV_1[[Cost item]:[Cost item]],OP_Rates!$M56))*(1+Calc_ROM_1[Citipower]))*(1+GST),8),0,1))</f>
        <v>-</v>
      </c>
      <c r="S56" s="215" t="str" cm="1">
        <f t="array" ref="S56">IF(S21="-","-",
IF(ROUND(S21,8)=ROUND(
((SUMIFS(Calc_Variable_1[Jemena],Calc_Variable_1[[Customer type]:[Customer type]],"All")+
SUMIFS(Calc_Variable_1[Jemena],Calc_Variable_1[[Customer type]:[Customer type]],OP_Rates!$O56)+
SUMIFS(Calc_NetworkV_1[Jemena],Calc_NetworkV_1[[Customer type]:[Customer type]],OP_Rates!$O56,Calc_NetworkV_1[[Cost item]:[Cost item]],OP_Rates!$M56))*(1+Calc_ROM_1[Jemena]))*(1+GST),8),0,1))</f>
        <v>-</v>
      </c>
      <c r="T56" s="215" t="str" cm="1">
        <f t="array" ref="T56">IF(T21="-","-",
IF(ROUND(T21,8)=ROUND(
((SUMIFS(Calc_Variable_1[Powercor],Calc_Variable_1[[Customer type]:[Customer type]],"All")+
SUMIFS(Calc_Variable_1[Powercor],Calc_Variable_1[[Customer type]:[Customer type]],OP_Rates!$O56)+
SUMIFS(Calc_NetworkV_1[Powercor],Calc_NetworkV_1[[Customer type]:[Customer type]],OP_Rates!$O56,Calc_NetworkV_1[[Cost item]:[Cost item]],OP_Rates!$M56))*(1+Calc_ROM_1[Powercor]))*(1+GST),8),0,1))</f>
        <v>-</v>
      </c>
      <c r="U56" s="215" t="str" cm="1">
        <f t="array" ref="U56">IF(U21="-","-",
IF(ROUND(U21,8)=ROUND(
((SUMIFS(Calc_Variable_1[United Energy],Calc_Variable_1[[Customer type]:[Customer type]],"All")+
SUMIFS(Calc_Variable_1[United Energy],Calc_Variable_1[[Customer type]:[Customer type]],OP_Rates!$O56)+
SUMIFS(Calc_NetworkV_1[United Energy],Calc_NetworkV_1[[Customer type]:[Customer type]],OP_Rates!$O56,Calc_NetworkV_1[[Cost item]:[Cost item]],OP_Rates!$M56))*(1+Calc_ROM_1[United Energy]))*(1+GST),8),0,1))</f>
        <v>-</v>
      </c>
    </row>
    <row r="57" spans="3:21" ht="15.75" outlineLevel="2" x14ac:dyDescent="0.25">
      <c r="C57" s="18" t="s">
        <v>70</v>
      </c>
      <c r="D57" s="18" t="s">
        <v>69</v>
      </c>
      <c r="E57" s="18" t="s">
        <v>66</v>
      </c>
      <c r="G57" s="215" cm="1">
        <f t="array" ref="G57">IF(G22="-","-",
IF(ROUND(G22,8)=ROUND(
((SUMIFS(Calc_Variable_1[Ausnet],Calc_Variable_1[[Customer type]:[Customer type]],"All")+
SUMIFS(Calc_Variable_1[Ausnet],Calc_Variable_1[[Customer type]:[Customer type]],OP_Rates!$E57)+
SUMIFS(Calc_NetworkV_1[Ausnet],Calc_NetworkV_1[[Customer type]:[Customer type]],OP_Rates!$E57,Calc_NetworkV_1[[Cost item]:[Cost item]],OP_Rates!$C57))*(1+Calc_ROM_1[Ausnet]))*(1+GST),8),0,1))</f>
        <v>0</v>
      </c>
      <c r="H57" s="215" t="str" cm="1">
        <f t="array" ref="H57">IF(H22="-","-",
IF(ROUND(H22,8)=ROUND(
((SUMIFS(Calc_Variable_1[Citipower],Calc_Variable_1[[Customer type]:[Customer type]],"All")+
SUMIFS(Calc_Variable_1[Citipower],Calc_Variable_1[[Customer type]:[Customer type]],OP_Rates!$E57)+
SUMIFS(Calc_NetworkV_1[Citipower],Calc_NetworkV_1[[Customer type]:[Customer type]],OP_Rates!$E57,Calc_NetworkV_1[[Cost item]:[Cost item]],OP_Rates!$C57))*(1+Calc_ROM_1[Citipower]))*(1+GST),8),0,1))</f>
        <v>-</v>
      </c>
      <c r="I57" s="215" t="str" cm="1">
        <f t="array" ref="I57">IF(I22="-","-",
IF(ROUND(I22,8)=ROUND(
((SUMIFS(Calc_Variable_1[Jemena],Calc_Variable_1[[Customer type]:[Customer type]],"All")+
SUMIFS(Calc_Variable_1[Jemena],Calc_Variable_1[[Customer type]:[Customer type]],OP_Rates!$E57)+
SUMIFS(Calc_NetworkV_1[Jemena],Calc_NetworkV_1[[Customer type]:[Customer type]],OP_Rates!$E57,Calc_NetworkV_1[[Cost item]:[Cost item]],OP_Rates!$C57))*(1+Calc_ROM_1[Jemena]))*(1+GST),8),0,1))</f>
        <v>-</v>
      </c>
      <c r="J57" s="215" t="str" cm="1">
        <f t="array" ref="J57">IF(J22="-","-",
IF(ROUND(J22,8)=ROUND(
((SUMIFS(Calc_Variable_1[Powercor],Calc_Variable_1[[Customer type]:[Customer type]],"All")+
SUMIFS(Calc_Variable_1[Powercor],Calc_Variable_1[[Customer type]:[Customer type]],OP_Rates!$E57)+
SUMIFS(Calc_NetworkV_1[Powercor],Calc_NetworkV_1[[Customer type]:[Customer type]],OP_Rates!$E57,Calc_NetworkV_1[[Cost item]:[Cost item]],OP_Rates!$C57))*(1+Calc_ROM_1[Powercor]))*(1+GST),8),0,1))</f>
        <v>-</v>
      </c>
      <c r="K57" s="215" t="str" cm="1">
        <f t="array" ref="K57">IF(K22="-","-",
IF(ROUND(K22,8)=ROUND(
((SUMIFS(Calc_Variable_1[United Energy],Calc_Variable_1[[Customer type]:[Customer type]],"All")+
SUMIFS(Calc_Variable_1[United Energy],Calc_Variable_1[[Customer type]:[Customer type]],OP_Rates!$E57)+
SUMIFS(Calc_NetworkV_1[United Energy],Calc_NetworkV_1[[Customer type]:[Customer type]],OP_Rates!$E57,Calc_NetworkV_1[[Cost item]:[Cost item]],OP_Rates!$C57))*(1+Calc_ROM_1[United Energy]))*(1+GST),8),0,1))</f>
        <v>-</v>
      </c>
      <c r="M57" s="18" t="s">
        <v>70</v>
      </c>
      <c r="N57" s="18" t="s">
        <v>69</v>
      </c>
      <c r="O57" s="18" t="s">
        <v>67</v>
      </c>
      <c r="Q57" s="215" cm="1">
        <f t="array" ref="Q57">IF(Q22="-","-",
IF(ROUND(Q22,8)=ROUND(
((SUMIFS(Calc_Variable_1[Ausnet],Calc_Variable_1[[Customer type]:[Customer type]],"All")+
SUMIFS(Calc_Variable_1[Ausnet],Calc_Variable_1[[Customer type]:[Customer type]],OP_Rates!$O57)+
SUMIFS(Calc_NetworkV_1[Ausnet],Calc_NetworkV_1[[Customer type]:[Customer type]],OP_Rates!$O57,Calc_NetworkV_1[[Cost item]:[Cost item]],OP_Rates!$M57))*(1+Calc_ROM_1[Ausnet]))*(1+GST),8),0,1))</f>
        <v>0</v>
      </c>
      <c r="R57" s="215" t="str" cm="1">
        <f t="array" ref="R57">IF(R22="-","-",
IF(ROUND(R22,8)=ROUND(
((SUMIFS(Calc_Variable_1[Citipower],Calc_Variable_1[[Customer type]:[Customer type]],"All")+
SUMIFS(Calc_Variable_1[Citipower],Calc_Variable_1[[Customer type]:[Customer type]],OP_Rates!$O57)+
SUMIFS(Calc_NetworkV_1[Citipower],Calc_NetworkV_1[[Customer type]:[Customer type]],OP_Rates!$O57,Calc_NetworkV_1[[Cost item]:[Cost item]],OP_Rates!$M57))*(1+Calc_ROM_1[Citipower]))*(1+GST),8),0,1))</f>
        <v>-</v>
      </c>
      <c r="S57" s="215" t="str" cm="1">
        <f t="array" ref="S57">IF(S22="-","-",
IF(ROUND(S22,8)=ROUND(
((SUMIFS(Calc_Variable_1[Jemena],Calc_Variable_1[[Customer type]:[Customer type]],"All")+
SUMIFS(Calc_Variable_1[Jemena],Calc_Variable_1[[Customer type]:[Customer type]],OP_Rates!$O57)+
SUMIFS(Calc_NetworkV_1[Jemena],Calc_NetworkV_1[[Customer type]:[Customer type]],OP_Rates!$O57,Calc_NetworkV_1[[Cost item]:[Cost item]],OP_Rates!$M57))*(1+Calc_ROM_1[Jemena]))*(1+GST),8),0,1))</f>
        <v>-</v>
      </c>
      <c r="T57" s="215" t="str" cm="1">
        <f t="array" ref="T57">IF(T22="-","-",
IF(ROUND(T22,8)=ROUND(
((SUMIFS(Calc_Variable_1[Powercor],Calc_Variable_1[[Customer type]:[Customer type]],"All")+
SUMIFS(Calc_Variable_1[Powercor],Calc_Variable_1[[Customer type]:[Customer type]],OP_Rates!$O57)+
SUMIFS(Calc_NetworkV_1[Powercor],Calc_NetworkV_1[[Customer type]:[Customer type]],OP_Rates!$O57,Calc_NetworkV_1[[Cost item]:[Cost item]],OP_Rates!$M57))*(1+Calc_ROM_1[Powercor]))*(1+GST),8),0,1))</f>
        <v>-</v>
      </c>
      <c r="U57" s="215" t="str" cm="1">
        <f t="array" ref="U57">IF(U22="-","-",
IF(ROUND(U22,8)=ROUND(
((SUMIFS(Calc_Variable_1[United Energy],Calc_Variable_1[[Customer type]:[Customer type]],"All")+
SUMIFS(Calc_Variable_1[United Energy],Calc_Variable_1[[Customer type]:[Customer type]],OP_Rates!$O57)+
SUMIFS(Calc_NetworkV_1[United Energy],Calc_NetworkV_1[[Customer type]:[Customer type]],OP_Rates!$O57,Calc_NetworkV_1[[Cost item]:[Cost item]],OP_Rates!$M57))*(1+Calc_ROM_1[United Energy]))*(1+GST),8),0,1))</f>
        <v>-</v>
      </c>
    </row>
    <row r="58" spans="3:21" ht="15.75" outlineLevel="2" x14ac:dyDescent="0.25">
      <c r="C58" s="18" t="s">
        <v>71</v>
      </c>
      <c r="D58" s="18" t="s">
        <v>69</v>
      </c>
      <c r="E58" s="18" t="s">
        <v>66</v>
      </c>
      <c r="G58" s="215" t="str" cm="1">
        <f t="array" ref="G58">IF(G23="-","-",
IF(ROUND(G23,8)=ROUND(
((SUMIFS(Calc_Variable_1[Ausnet],Calc_Variable_1[[Customer type]:[Customer type]],"All")+
SUMIFS(Calc_Variable_1[Ausnet],Calc_Variable_1[[Customer type]:[Customer type]],OP_Rates!$E58)+
SUMIFS(Calc_NetworkV_1[Ausnet],Calc_NetworkV_1[[Customer type]:[Customer type]],OP_Rates!$E58,Calc_NetworkV_1[[Cost item]:[Cost item]],OP_Rates!$C58))*(1+Calc_ROM_1[Ausnet]))*(1+GST),8),0,1))</f>
        <v>-</v>
      </c>
      <c r="H58" s="215" cm="1">
        <f t="array" ref="H58">IF(H23="-","-",
IF(ROUND(H23,8)=ROUND(
((SUMIFS(Calc_Variable_1[Citipower],Calc_Variable_1[[Customer type]:[Customer type]],"All")+
SUMIFS(Calc_Variable_1[Citipower],Calc_Variable_1[[Customer type]:[Customer type]],OP_Rates!$E58)+
SUMIFS(Calc_NetworkV_1[Citipower],Calc_NetworkV_1[[Customer type]:[Customer type]],OP_Rates!$E58,Calc_NetworkV_1[[Cost item]:[Cost item]],OP_Rates!$C58))*(1+Calc_ROM_1[Citipower]))*(1+GST),8),0,1))</f>
        <v>0</v>
      </c>
      <c r="I58" s="215" cm="1">
        <f t="array" ref="I58">IF(I23="-","-",
IF(ROUND(I23,8)=ROUND(
((SUMIFS(Calc_Variable_1[Jemena],Calc_Variable_1[[Customer type]:[Customer type]],"All")+
SUMIFS(Calc_Variable_1[Jemena],Calc_Variable_1[[Customer type]:[Customer type]],OP_Rates!$E58)+
SUMIFS(Calc_NetworkV_1[Jemena],Calc_NetworkV_1[[Customer type]:[Customer type]],OP_Rates!$E58,Calc_NetworkV_1[[Cost item]:[Cost item]],OP_Rates!$C58))*(1+Calc_ROM_1[Jemena]))*(1+GST),8),0,1))</f>
        <v>0</v>
      </c>
      <c r="J58" s="215" cm="1">
        <f t="array" ref="J58">IF(J23="-","-",
IF(ROUND(J23,8)=ROUND(
((SUMIFS(Calc_Variable_1[Powercor],Calc_Variable_1[[Customer type]:[Customer type]],"All")+
SUMIFS(Calc_Variable_1[Powercor],Calc_Variable_1[[Customer type]:[Customer type]],OP_Rates!$E58)+
SUMIFS(Calc_NetworkV_1[Powercor],Calc_NetworkV_1[[Customer type]:[Customer type]],OP_Rates!$E58,Calc_NetworkV_1[[Cost item]:[Cost item]],OP_Rates!$C58))*(1+Calc_ROM_1[Powercor]))*(1+GST),8),0,1))</f>
        <v>0</v>
      </c>
      <c r="K58" s="215" cm="1">
        <f t="array" ref="K58">IF(K23="-","-",
IF(ROUND(K23,8)=ROUND(
((SUMIFS(Calc_Variable_1[United Energy],Calc_Variable_1[[Customer type]:[Customer type]],"All")+
SUMIFS(Calc_Variable_1[United Energy],Calc_Variable_1[[Customer type]:[Customer type]],OP_Rates!$E58)+
SUMIFS(Calc_NetworkV_1[United Energy],Calc_NetworkV_1[[Customer type]:[Customer type]],OP_Rates!$E58,Calc_NetworkV_1[[Cost item]:[Cost item]],OP_Rates!$C58))*(1+Calc_ROM_1[United Energy]))*(1+GST),8),0,1))</f>
        <v>0</v>
      </c>
      <c r="M58" s="18" t="s">
        <v>71</v>
      </c>
      <c r="N58" s="18" t="s">
        <v>69</v>
      </c>
      <c r="O58" s="18" t="s">
        <v>67</v>
      </c>
      <c r="Q58" s="215" t="str" cm="1">
        <f t="array" ref="Q58">IF(Q23="-","-",
IF(ROUND(Q23,8)=ROUND(
((SUMIFS(Calc_Variable_1[Ausnet],Calc_Variable_1[[Customer type]:[Customer type]],"All")+
SUMIFS(Calc_Variable_1[Ausnet],Calc_Variable_1[[Customer type]:[Customer type]],OP_Rates!$O58)+
SUMIFS(Calc_NetworkV_1[Ausnet],Calc_NetworkV_1[[Customer type]:[Customer type]],OP_Rates!$O58,Calc_NetworkV_1[[Cost item]:[Cost item]],OP_Rates!$M58))*(1+Calc_ROM_1[Ausnet]))*(1+GST),8),0,1))</f>
        <v>-</v>
      </c>
      <c r="R58" s="215" cm="1">
        <f t="array" ref="R58">IF(R23="-","-",
IF(ROUND(R23,8)=ROUND(
((SUMIFS(Calc_Variable_1[Citipower],Calc_Variable_1[[Customer type]:[Customer type]],"All")+
SUMIFS(Calc_Variable_1[Citipower],Calc_Variable_1[[Customer type]:[Customer type]],OP_Rates!$O58)+
SUMIFS(Calc_NetworkV_1[Citipower],Calc_NetworkV_1[[Customer type]:[Customer type]],OP_Rates!$O58,Calc_NetworkV_1[[Cost item]:[Cost item]],OP_Rates!$M58))*(1+Calc_ROM_1[Citipower]))*(1+GST),8),0,1))</f>
        <v>0</v>
      </c>
      <c r="S58" s="215" cm="1">
        <f t="array" ref="S58">IF(S23="-","-",
IF(ROUND(S23,8)=ROUND(
((SUMIFS(Calc_Variable_1[Jemena],Calc_Variable_1[[Customer type]:[Customer type]],"All")+
SUMIFS(Calc_Variable_1[Jemena],Calc_Variable_1[[Customer type]:[Customer type]],OP_Rates!$O58)+
SUMIFS(Calc_NetworkV_1[Jemena],Calc_NetworkV_1[[Customer type]:[Customer type]],OP_Rates!$O58,Calc_NetworkV_1[[Cost item]:[Cost item]],OP_Rates!$M58))*(1+Calc_ROM_1[Jemena]))*(1+GST),8),0,1))</f>
        <v>0</v>
      </c>
      <c r="T58" s="215" cm="1">
        <f t="array" ref="T58">IF(T23="-","-",
IF(ROUND(T23,8)=ROUND(
((SUMIFS(Calc_Variable_1[Powercor],Calc_Variable_1[[Customer type]:[Customer type]],"All")+
SUMIFS(Calc_Variable_1[Powercor],Calc_Variable_1[[Customer type]:[Customer type]],OP_Rates!$O58)+
SUMIFS(Calc_NetworkV_1[Powercor],Calc_NetworkV_1[[Customer type]:[Customer type]],OP_Rates!$O58,Calc_NetworkV_1[[Cost item]:[Cost item]],OP_Rates!$M58))*(1+Calc_ROM_1[Powercor]))*(1+GST),8),0,1))</f>
        <v>0</v>
      </c>
      <c r="U58" s="215" cm="1">
        <f t="array" ref="U58">IF(U23="-","-",
IF(ROUND(U23,8)=ROUND(
((SUMIFS(Calc_Variable_1[United Energy],Calc_Variable_1[[Customer type]:[Customer type]],"All")+
SUMIFS(Calc_Variable_1[United Energy],Calc_Variable_1[[Customer type]:[Customer type]],OP_Rates!$O58)+
SUMIFS(Calc_NetworkV_1[United Energy],Calc_NetworkV_1[[Customer type]:[Customer type]],OP_Rates!$O58,Calc_NetworkV_1[[Cost item]:[Cost item]],OP_Rates!$M58))*(1+Calc_ROM_1[United Energy]))*(1+GST),8),0,1))</f>
        <v>0</v>
      </c>
    </row>
    <row r="59" spans="3:21" ht="15.75" outlineLevel="2" x14ac:dyDescent="0.25">
      <c r="C59" s="18" t="s">
        <v>72</v>
      </c>
      <c r="D59" s="18" t="s">
        <v>65</v>
      </c>
      <c r="E59" s="18" t="s">
        <v>66</v>
      </c>
      <c r="G59" s="215" cm="1">
        <f t="array" ref="G59">IF(G24="-","-",
IF(ROUND(G24,8)=
ROUND((((SUMIFS(Calc_NetworkF_1[Ausnet],Calc_NetworkF_1[[Cost item]:[Cost item]],$C59,Calc_NetworkF_1[[Customer type]:[Customer type]],$E59)+SUMIFS(Calc_Fixed_1[Ausnet],Calc_Fixed_1[[Customer type]:[Customer type]],"All")+SUMIFS(Calc_Fixed_1[Ausnet],Calc_Fixed_1[[Customer type]:[Customer type]],$E59))/DiY)*(1+Calc_ROM_1[Ausnet]))*(1+GST),8),0,1))</f>
        <v>0</v>
      </c>
      <c r="H59" s="215" cm="1">
        <f t="array" ref="H59">IF(H24="-","-",
IF(ROUND(H24,8)=
ROUND((((SUMIFS(Calc_NetworkF_1[Citipower],Calc_NetworkF_1[[Cost item]:[Cost item]],$C59,Calc_NetworkF_1[[Customer type]:[Customer type]],$E59)+SUMIFS(Calc_Fixed_1[Citipower],Calc_Fixed_1[[Customer type]:[Customer type]],"All")+SUMIFS(Calc_Fixed_1[Citipower],Calc_Fixed_1[[Customer type]:[Customer type]],$E59))/DiY)*(1+Calc_ROM_1[Citipower]))*(1+GST),8),0,1))</f>
        <v>0</v>
      </c>
      <c r="I59" s="215" cm="1">
        <f t="array" ref="I59">IF(I24="-","-",
IF(ROUND(I24,8)=
ROUND((((SUMIFS(Calc_NetworkF_1[Jemena],Calc_NetworkF_1[[Cost item]:[Cost item]],$C59,Calc_NetworkF_1[[Customer type]:[Customer type]],$E59)+SUMIFS(Calc_Fixed_1[Jemena],Calc_Fixed_1[[Customer type]:[Customer type]],"All")+SUMIFS(Calc_Fixed_1[Jemena],Calc_Fixed_1[[Customer type]:[Customer type]],$E59))/DiY)*(1+Calc_ROM_1[Jemena]))*(1+GST),8),0,1))</f>
        <v>0</v>
      </c>
      <c r="J59" s="215" cm="1">
        <f t="array" ref="J59">IF(J24="-","-",
IF(ROUND(J24,8)=
ROUND((((SUMIFS(Calc_NetworkF_1[Powercor],Calc_NetworkF_1[[Cost item]:[Cost item]],$C59,Calc_NetworkF_1[[Customer type]:[Customer type]],$E59)+SUMIFS(Calc_Fixed_1[Powercor],Calc_Fixed_1[[Customer type]:[Customer type]],"All")+SUMIFS(Calc_Fixed_1[Powercor],Calc_Fixed_1[[Customer type]:[Customer type]],$E59))/DiY)*(1+Calc_ROM_1[Powercor]))*(1+GST),8),0,1))</f>
        <v>0</v>
      </c>
      <c r="K59" s="215" cm="1">
        <f t="array" ref="K59">IF(K24="-","-",
IF(ROUND(K24,8)=
ROUND((((SUMIFS(Calc_NetworkF_1[United Energy],Calc_NetworkF_1[[Cost item]:[Cost item]],$C59,Calc_NetworkF_1[[Customer type]:[Customer type]],$E59)+SUMIFS(Calc_Fixed_1[United Energy],Calc_Fixed_1[[Customer type]:[Customer type]],"All")+SUMIFS(Calc_Fixed_1[United Energy],Calc_Fixed_1[[Customer type]:[Customer type]],$E59))/DiY)*(1+Calc_ROM_1[United Energy]))*(1+GST),8),0,1))</f>
        <v>0</v>
      </c>
      <c r="M59" s="18" t="s">
        <v>72</v>
      </c>
      <c r="N59" s="18" t="s">
        <v>65</v>
      </c>
      <c r="O59" s="18" t="s">
        <v>67</v>
      </c>
      <c r="Q59" s="215" cm="1">
        <f t="array" ref="Q59">IF(Q24="-","-",
IF(ROUND(Q24,8)=
ROUND((((SUMIFS(Calc_NetworkF_1[Ausnet],Calc_NetworkF_1[[Cost item]:[Cost item]],$M59,Calc_NetworkF_1[[Customer type]:[Customer type]],$O59)+SUMIFS(Calc_Fixed_1[Ausnet],Calc_Fixed_1[[Customer type]:[Customer type]],"All")+SUMIFS(Calc_Fixed_1[Ausnet],Calc_Fixed_1[[Customer type]:[Customer type]],$O59))/DiY)*(1+Calc_ROM_1[Ausnet]))*(1+GST),8),0,1))</f>
        <v>0</v>
      </c>
      <c r="R59" s="215" cm="1">
        <f t="array" ref="R59">IF(R24="-","-",
IF(ROUND(R24,8)=
ROUND((((SUMIFS(Calc_NetworkF_1[Citipower],Calc_NetworkF_1[[Cost item]:[Cost item]],$M59,Calc_NetworkF_1[[Customer type]:[Customer type]],$O59)+SUMIFS(Calc_Fixed_1[Citipower],Calc_Fixed_1[[Customer type]:[Customer type]],"All")+SUMIFS(Calc_Fixed_1[Citipower],Calc_Fixed_1[[Customer type]:[Customer type]],$O59))/DiY)*(1+Calc_ROM_1[Citipower]))*(1+GST),8),0,1))</f>
        <v>0</v>
      </c>
      <c r="S59" s="215" cm="1">
        <f t="array" ref="S59">IF(S24="-","-",
IF(ROUND(S24,8)=
ROUND((((SUMIFS(Calc_NetworkF_1[Jemena],Calc_NetworkF_1[[Cost item]:[Cost item]],$M59,Calc_NetworkF_1[[Customer type]:[Customer type]],$O59)+SUMIFS(Calc_Fixed_1[Jemena],Calc_Fixed_1[[Customer type]:[Customer type]],"All")+SUMIFS(Calc_Fixed_1[Jemena],Calc_Fixed_1[[Customer type]:[Customer type]],$O59))/DiY)*(1+Calc_ROM_1[Jemena]))*(1+GST),8),0,1))</f>
        <v>0</v>
      </c>
      <c r="T59" s="215" cm="1">
        <f t="array" ref="T59">IF(T24="-","-",
IF(ROUND(T24,8)=
ROUND((((SUMIFS(Calc_NetworkF_1[Powercor],Calc_NetworkF_1[[Cost item]:[Cost item]],$M59,Calc_NetworkF_1[[Customer type]:[Customer type]],$O59)+SUMIFS(Calc_Fixed_1[Powercor],Calc_Fixed_1[[Customer type]:[Customer type]],"All")+SUMIFS(Calc_Fixed_1[Powercor],Calc_Fixed_1[[Customer type]:[Customer type]],$O59))/DiY)*(1+Calc_ROM_1[Powercor]))*(1+GST),8),0,1))</f>
        <v>0</v>
      </c>
      <c r="U59" s="215" cm="1">
        <f t="array" ref="U59">IF(U24="-","-",
IF(ROUND(U24,8)=
ROUND((((SUMIFS(Calc_NetworkF_1[United Energy],Calc_NetworkF_1[[Cost item]:[Cost item]],$M59,Calc_NetworkF_1[[Customer type]:[Customer type]],$O59)+SUMIFS(Calc_Fixed_1[United Energy],Calc_Fixed_1[[Customer type]:[Customer type]],"All")+SUMIFS(Calc_Fixed_1[United Energy],Calc_Fixed_1[[Customer type]:[Customer type]],$O59))/DiY)*(1+Calc_ROM_1[United Energy]))*(1+GST),8),0,1))</f>
        <v>0</v>
      </c>
    </row>
    <row r="60" spans="3:21" ht="15.75" outlineLevel="2" x14ac:dyDescent="0.25">
      <c r="C60" s="18" t="s">
        <v>73</v>
      </c>
      <c r="D60" s="18" t="s">
        <v>69</v>
      </c>
      <c r="E60" s="18" t="s">
        <v>66</v>
      </c>
      <c r="G60" s="215" cm="1">
        <f t="array" ref="G60">IF(G25="-","-",
IF(ROUND(G25,8)=ROUND(
((SUMIFS(Calc_Variable_1[Ausnet],Calc_Variable_1[[Customer type]:[Customer type]],"All")+
SUMIFS(Calc_Variable_1[Ausnet],Calc_Variable_1[[Customer type]:[Customer type]],OP_Rates!$E60)+
SUMIFS(Calc_NetworkV_1[Ausnet],Calc_NetworkV_1[[Customer type]:[Customer type]],OP_Rates!$E60,Calc_NetworkV_1[[Cost item]:[Cost item]],OP_Rates!$C60))*(1+Calc_ROM_1[Ausnet]))*(1+GST),8),0,1))</f>
        <v>0</v>
      </c>
      <c r="H60" s="215" cm="1">
        <f t="array" ref="H60">IF(H25="-","-",
IF(ROUND(H25,8)=ROUND(
((SUMIFS(Calc_Variable_1[Citipower],Calc_Variable_1[[Customer type]:[Customer type]],"All")+
SUMIFS(Calc_Variable_1[Citipower],Calc_Variable_1[[Customer type]:[Customer type]],OP_Rates!$E60)+
SUMIFS(Calc_NetworkV_1[Citipower],Calc_NetworkV_1[[Customer type]:[Customer type]],OP_Rates!$E60,Calc_NetworkV_1[[Cost item]:[Cost item]],OP_Rates!$C60))*(1+Calc_ROM_1[Citipower]))*(1+GST),8),0,1))</f>
        <v>0</v>
      </c>
      <c r="I60" s="215" cm="1">
        <f t="array" ref="I60">IF(I25="-","-",
IF(ROUND(I25,8)=ROUND(
((SUMIFS(Calc_Variable_1[Jemena],Calc_Variable_1[[Customer type]:[Customer type]],"All")+
SUMIFS(Calc_Variable_1[Jemena],Calc_Variable_1[[Customer type]:[Customer type]],OP_Rates!$E60)+
SUMIFS(Calc_NetworkV_1[Jemena],Calc_NetworkV_1[[Customer type]:[Customer type]],OP_Rates!$E60,Calc_NetworkV_1[[Cost item]:[Cost item]],OP_Rates!$C60))*(1+Calc_ROM_1[Jemena]))*(1+GST),8),0,1))</f>
        <v>0</v>
      </c>
      <c r="J60" s="215" cm="1">
        <f t="array" ref="J60">IF(J25="-","-",
IF(ROUND(J25,8)=ROUND(
((SUMIFS(Calc_Variable_1[Powercor],Calc_Variable_1[[Customer type]:[Customer type]],"All")+
SUMIFS(Calc_Variable_1[Powercor],Calc_Variable_1[[Customer type]:[Customer type]],OP_Rates!$E60)+
SUMIFS(Calc_NetworkV_1[Powercor],Calc_NetworkV_1[[Customer type]:[Customer type]],OP_Rates!$E60,Calc_NetworkV_1[[Cost item]:[Cost item]],OP_Rates!$C60))*(1+Calc_ROM_1[Powercor]))*(1+GST),8),0,1))</f>
        <v>0</v>
      </c>
      <c r="K60" s="215" cm="1">
        <f t="array" ref="K60">IF(K25="-","-",
IF(ROUND(K25,8)=ROUND(
((SUMIFS(Calc_Variable_1[United Energy],Calc_Variable_1[[Customer type]:[Customer type]],"All")+
SUMIFS(Calc_Variable_1[United Energy],Calc_Variable_1[[Customer type]:[Customer type]],OP_Rates!$E60)+
SUMIFS(Calc_NetworkV_1[United Energy],Calc_NetworkV_1[[Customer type]:[Customer type]],OP_Rates!$E60,Calc_NetworkV_1[[Cost item]:[Cost item]],OP_Rates!$C60))*(1+Calc_ROM_1[United Energy]))*(1+GST),8),0,1))</f>
        <v>0</v>
      </c>
      <c r="M60" s="18" t="s">
        <v>73</v>
      </c>
      <c r="N60" s="18" t="s">
        <v>69</v>
      </c>
      <c r="O60" s="18" t="s">
        <v>67</v>
      </c>
      <c r="Q60" s="215" cm="1">
        <f t="array" ref="Q60">IF(Q25="-","-",
IF(ROUND(Q25,8)=ROUND(
((SUMIFS(Calc_Variable_1[Ausnet],Calc_Variable_1[[Customer type]:[Customer type]],"All")+
SUMIFS(Calc_Variable_1[Ausnet],Calc_Variable_1[[Customer type]:[Customer type]],OP_Rates!$O60)+
SUMIFS(Calc_NetworkV_1[Ausnet],Calc_NetworkV_1[[Customer type]:[Customer type]],OP_Rates!$O60,Calc_NetworkV_1[[Cost item]:[Cost item]],OP_Rates!$M60))*(1+Calc_ROM_1[Ausnet]))*(1+GST),8),0,1))</f>
        <v>0</v>
      </c>
      <c r="R60" s="215" cm="1">
        <f t="array" ref="R60">IF(R25="-","-",
IF(ROUND(R25,8)=ROUND(
((SUMIFS(Calc_Variable_1[Citipower],Calc_Variable_1[[Customer type]:[Customer type]],"All")+
SUMIFS(Calc_Variable_1[Citipower],Calc_Variable_1[[Customer type]:[Customer type]],OP_Rates!$O60)+
SUMIFS(Calc_NetworkV_1[Citipower],Calc_NetworkV_1[[Customer type]:[Customer type]],OP_Rates!$O60,Calc_NetworkV_1[[Cost item]:[Cost item]],OP_Rates!$M60))*(1+Calc_ROM_1[Citipower]))*(1+GST),8),0,1))</f>
        <v>0</v>
      </c>
      <c r="S60" s="215" cm="1">
        <f t="array" ref="S60">IF(S25="-","-",
IF(ROUND(S25,8)=ROUND(
((SUMIFS(Calc_Variable_1[Jemena],Calc_Variable_1[[Customer type]:[Customer type]],"All")+
SUMIFS(Calc_Variable_1[Jemena],Calc_Variable_1[[Customer type]:[Customer type]],OP_Rates!$O60)+
SUMIFS(Calc_NetworkV_1[Jemena],Calc_NetworkV_1[[Customer type]:[Customer type]],OP_Rates!$O60,Calc_NetworkV_1[[Cost item]:[Cost item]],OP_Rates!$M60))*(1+Calc_ROM_1[Jemena]))*(1+GST),8),0,1))</f>
        <v>0</v>
      </c>
      <c r="T60" s="215" cm="1">
        <f t="array" ref="T60">IF(T25="-","-",
IF(ROUND(T25,8)=ROUND(
((SUMIFS(Calc_Variable_1[Powercor],Calc_Variable_1[[Customer type]:[Customer type]],"All")+
SUMIFS(Calc_Variable_1[Powercor],Calc_Variable_1[[Customer type]:[Customer type]],OP_Rates!$O60)+
SUMIFS(Calc_NetworkV_1[Powercor],Calc_NetworkV_1[[Customer type]:[Customer type]],OP_Rates!$O60,Calc_NetworkV_1[[Cost item]:[Cost item]],OP_Rates!$M60))*(1+Calc_ROM_1[Powercor]))*(1+GST),8),0,1))</f>
        <v>0</v>
      </c>
      <c r="U60" s="215" cm="1">
        <f t="array" ref="U60">IF(U25="-","-",
IF(ROUND(U25,8)=ROUND(
((SUMIFS(Calc_Variable_1[United Energy],Calc_Variable_1[[Customer type]:[Customer type]],"All")+
SUMIFS(Calc_Variable_1[United Energy],Calc_Variable_1[[Customer type]:[Customer type]],OP_Rates!$O60)+
SUMIFS(Calc_NetworkV_1[United Energy],Calc_NetworkV_1[[Customer type]:[Customer type]],OP_Rates!$O60,Calc_NetworkV_1[[Cost item]:[Cost item]],OP_Rates!$M60))*(1+Calc_ROM_1[United Energy]))*(1+GST),8),0,1))</f>
        <v>0</v>
      </c>
    </row>
    <row r="61" spans="3:21" ht="15.75" outlineLevel="2" x14ac:dyDescent="0.25">
      <c r="C61" s="18" t="s">
        <v>74</v>
      </c>
      <c r="D61" s="18" t="s">
        <v>69</v>
      </c>
      <c r="E61" s="18" t="s">
        <v>66</v>
      </c>
      <c r="G61" s="215" cm="1">
        <f t="array" ref="G61">IF(G26="-","-",
IF(ROUND(G26,8)=ROUND(
((SUMIFS(Calc_Variable_1[Ausnet],Calc_Variable_1[[Customer type]:[Customer type]],"All")+
SUMIFS(Calc_Variable_1[Ausnet],Calc_Variable_1[[Customer type]:[Customer type]],OP_Rates!$E61)+
SUMIFS(Calc_NetworkV_1[Ausnet],Calc_NetworkV_1[[Customer type]:[Customer type]],OP_Rates!$E61,Calc_NetworkV_1[[Cost item]:[Cost item]],OP_Rates!$C61))*(1+Calc_ROM_1[Ausnet]))*(1+GST),8),0,1))</f>
        <v>0</v>
      </c>
      <c r="H61" s="215" cm="1">
        <f t="array" ref="H61">IF(H26="-","-",
IF(ROUND(H26,8)=ROUND(
((SUMIFS(Calc_Variable_1[Citipower],Calc_Variable_1[[Customer type]:[Customer type]],"All")+
SUMIFS(Calc_Variable_1[Citipower],Calc_Variable_1[[Customer type]:[Customer type]],OP_Rates!$E61)+
SUMIFS(Calc_NetworkV_1[Citipower],Calc_NetworkV_1[[Customer type]:[Customer type]],OP_Rates!$E61,Calc_NetworkV_1[[Cost item]:[Cost item]],OP_Rates!$C61))*(1+Calc_ROM_1[Citipower]))*(1+GST),8),0,1))</f>
        <v>0</v>
      </c>
      <c r="I61" s="215" cm="1">
        <f t="array" ref="I61">IF(I26="-","-",
IF(ROUND(I26,8)=ROUND(
((SUMIFS(Calc_Variable_1[Jemena],Calc_Variable_1[[Customer type]:[Customer type]],"All")+
SUMIFS(Calc_Variable_1[Jemena],Calc_Variable_1[[Customer type]:[Customer type]],OP_Rates!$E61)+
SUMIFS(Calc_NetworkV_1[Jemena],Calc_NetworkV_1[[Customer type]:[Customer type]],OP_Rates!$E61,Calc_NetworkV_1[[Cost item]:[Cost item]],OP_Rates!$C61))*(1+Calc_ROM_1[Jemena]))*(1+GST),8),0,1))</f>
        <v>0</v>
      </c>
      <c r="J61" s="215" cm="1">
        <f t="array" ref="J61">IF(J26="-","-",
IF(ROUND(J26,8)=ROUND(
((SUMIFS(Calc_Variable_1[Powercor],Calc_Variable_1[[Customer type]:[Customer type]],"All")+
SUMIFS(Calc_Variable_1[Powercor],Calc_Variable_1[[Customer type]:[Customer type]],OP_Rates!$E61)+
SUMIFS(Calc_NetworkV_1[Powercor],Calc_NetworkV_1[[Customer type]:[Customer type]],OP_Rates!$E61,Calc_NetworkV_1[[Cost item]:[Cost item]],OP_Rates!$C61))*(1+Calc_ROM_1[Powercor]))*(1+GST),8),0,1))</f>
        <v>0</v>
      </c>
      <c r="K61" s="215" cm="1">
        <f t="array" ref="K61">IF(K26="-","-",
IF(ROUND(K26,8)=ROUND(
((SUMIFS(Calc_Variable_1[United Energy],Calc_Variable_1[[Customer type]:[Customer type]],"All")+
SUMIFS(Calc_Variable_1[United Energy],Calc_Variable_1[[Customer type]:[Customer type]],OP_Rates!$E61)+
SUMIFS(Calc_NetworkV_1[United Energy],Calc_NetworkV_1[[Customer type]:[Customer type]],OP_Rates!$E61,Calc_NetworkV_1[[Cost item]:[Cost item]],OP_Rates!$C61))*(1+Calc_ROM_1[United Energy]))*(1+GST),8),0,1))</f>
        <v>0</v>
      </c>
      <c r="M61" s="18" t="s">
        <v>74</v>
      </c>
      <c r="N61" s="18" t="s">
        <v>69</v>
      </c>
      <c r="O61" s="18" t="s">
        <v>67</v>
      </c>
      <c r="Q61" s="215" cm="1">
        <f t="array" ref="Q61">IF(Q26="-","-",
IF(ROUND(Q26,8)=ROUND(
((SUMIFS(Calc_Variable_1[Ausnet],Calc_Variable_1[[Customer type]:[Customer type]],"All")+
SUMIFS(Calc_Variable_1[Ausnet],Calc_Variable_1[[Customer type]:[Customer type]],OP_Rates!$O61)+
SUMIFS(Calc_NetworkV_1[Ausnet],Calc_NetworkV_1[[Customer type]:[Customer type]],OP_Rates!$O61,Calc_NetworkV_1[[Cost item]:[Cost item]],OP_Rates!$M61))*(1+Calc_ROM_1[Ausnet]))*(1+GST),8),0,1))</f>
        <v>0</v>
      </c>
      <c r="R61" s="215" cm="1">
        <f t="array" ref="R61">IF(R26="-","-",
IF(ROUND(R26,8)=ROUND(
((SUMIFS(Calc_Variable_1[Citipower],Calc_Variable_1[[Customer type]:[Customer type]],"All")+
SUMIFS(Calc_Variable_1[Citipower],Calc_Variable_1[[Customer type]:[Customer type]],OP_Rates!$O61)+
SUMIFS(Calc_NetworkV_1[Citipower],Calc_NetworkV_1[[Customer type]:[Customer type]],OP_Rates!$O61,Calc_NetworkV_1[[Cost item]:[Cost item]],OP_Rates!$M61))*(1+Calc_ROM_1[Citipower]))*(1+GST),8),0,1))</f>
        <v>0</v>
      </c>
      <c r="S61" s="215" cm="1">
        <f t="array" ref="S61">IF(S26="-","-",
IF(ROUND(S26,8)=ROUND(
((SUMIFS(Calc_Variable_1[Jemena],Calc_Variable_1[[Customer type]:[Customer type]],"All")+
SUMIFS(Calc_Variable_1[Jemena],Calc_Variable_1[[Customer type]:[Customer type]],OP_Rates!$O61)+
SUMIFS(Calc_NetworkV_1[Jemena],Calc_NetworkV_1[[Customer type]:[Customer type]],OP_Rates!$O61,Calc_NetworkV_1[[Cost item]:[Cost item]],OP_Rates!$M61))*(1+Calc_ROM_1[Jemena]))*(1+GST),8),0,1))</f>
        <v>0</v>
      </c>
      <c r="T61" s="215" cm="1">
        <f t="array" ref="T61">IF(T26="-","-",
IF(ROUND(T26,8)=ROUND(
((SUMIFS(Calc_Variable_1[Powercor],Calc_Variable_1[[Customer type]:[Customer type]],"All")+
SUMIFS(Calc_Variable_1[Powercor],Calc_Variable_1[[Customer type]:[Customer type]],OP_Rates!$O61)+
SUMIFS(Calc_NetworkV_1[Powercor],Calc_NetworkV_1[[Customer type]:[Customer type]],OP_Rates!$O61,Calc_NetworkV_1[[Cost item]:[Cost item]],OP_Rates!$M61))*(1+Calc_ROM_1[Powercor]))*(1+GST),8),0,1))</f>
        <v>0</v>
      </c>
      <c r="U61" s="215" cm="1">
        <f t="array" ref="U61">IF(U26="-","-",
IF(ROUND(U26,8)=ROUND(
((SUMIFS(Calc_Variable_1[United Energy],Calc_Variable_1[[Customer type]:[Customer type]],"All")+
SUMIFS(Calc_Variable_1[United Energy],Calc_Variable_1[[Customer type]:[Customer type]],OP_Rates!$O61)+
SUMIFS(Calc_NetworkV_1[United Energy],Calc_NetworkV_1[[Customer type]:[Customer type]],OP_Rates!$O61,Calc_NetworkV_1[[Cost item]:[Cost item]],OP_Rates!$M61))*(1+Calc_ROM_1[United Energy]))*(1+GST),8),0,1))</f>
        <v>0</v>
      </c>
    </row>
    <row r="62" spans="3:21" ht="15.75" outlineLevel="2" x14ac:dyDescent="0.25">
      <c r="C62" s="18" t="s">
        <v>75</v>
      </c>
      <c r="D62" s="18" t="s">
        <v>69</v>
      </c>
      <c r="E62" s="18" t="s">
        <v>66</v>
      </c>
      <c r="G62" s="215" cm="1">
        <f t="array" ref="G62">IF(G27="-","-",
IF(ROUND(G27,8)=ROUND(
((SUMIFS(Calc_Variable_1[Ausnet],Calc_Variable_1[[Customer type]:[Customer type]],"All")+
SUMIFS(Calc_Variable_1[Ausnet],Calc_Variable_1[[Customer type]:[Customer type]],OP_Rates!$E62)+
SUMIFS(Calc_NetworkV_1[Ausnet],Calc_NetworkV_1[[Customer type]:[Customer type]],OP_Rates!$E62,Calc_NetworkV_1[[Cost item]:[Cost item]],OP_Rates!$C62))*(1+Calc_ROM_1[Ausnet]))*(1+GST),8),0,1))</f>
        <v>0</v>
      </c>
      <c r="H62" s="215" cm="1">
        <f t="array" ref="H62">IF(H27="-","-",
IF(ROUND(H27,8)=ROUND(
((SUMIFS(Calc_Variable_1[Citipower],Calc_Variable_1[[Customer type]:[Customer type]],"All")+
SUMIFS(Calc_Variable_1[Citipower],Calc_Variable_1[[Customer type]:[Customer type]],OP_Rates!$E62)+
SUMIFS(Calc_NetworkV_1[Citipower],Calc_NetworkV_1[[Customer type]:[Customer type]],OP_Rates!$E62,Calc_NetworkV_1[[Cost item]:[Cost item]],OP_Rates!$C62))*(1+Calc_ROM_1[Citipower]))*(1+GST),8),0,1))</f>
        <v>0</v>
      </c>
      <c r="I62" s="215" cm="1">
        <f t="array" ref="I62">IF(I27="-","-",
IF(ROUND(I27,8)=ROUND(
((SUMIFS(Calc_Variable_1[Jemena],Calc_Variable_1[[Customer type]:[Customer type]],"All")+
SUMIFS(Calc_Variable_1[Jemena],Calc_Variable_1[[Customer type]:[Customer type]],OP_Rates!$E62)+
SUMIFS(Calc_NetworkV_1[Jemena],Calc_NetworkV_1[[Customer type]:[Customer type]],OP_Rates!$E62,Calc_NetworkV_1[[Cost item]:[Cost item]],OP_Rates!$C62))*(1+Calc_ROM_1[Jemena]))*(1+GST),8),0,1))</f>
        <v>0</v>
      </c>
      <c r="J62" s="215" cm="1">
        <f t="array" ref="J62">IF(J27="-","-",
IF(ROUND(J27,8)=ROUND(
((SUMIFS(Calc_Variable_1[Powercor],Calc_Variable_1[[Customer type]:[Customer type]],"All")+
SUMIFS(Calc_Variable_1[Powercor],Calc_Variable_1[[Customer type]:[Customer type]],OP_Rates!$E62)+
SUMIFS(Calc_NetworkV_1[Powercor],Calc_NetworkV_1[[Customer type]:[Customer type]],OP_Rates!$E62,Calc_NetworkV_1[[Cost item]:[Cost item]],OP_Rates!$C62))*(1+Calc_ROM_1[Powercor]))*(1+GST),8),0,1))</f>
        <v>0</v>
      </c>
      <c r="K62" s="215" cm="1">
        <f t="array" ref="K62">IF(K27="-","-",
IF(ROUND(K27,8)=ROUND(
((SUMIFS(Calc_Variable_1[United Energy],Calc_Variable_1[[Customer type]:[Customer type]],"All")+
SUMIFS(Calc_Variable_1[United Energy],Calc_Variable_1[[Customer type]:[Customer type]],OP_Rates!$E62)+
SUMIFS(Calc_NetworkV_1[United Energy],Calc_NetworkV_1[[Customer type]:[Customer type]],OP_Rates!$E62,Calc_NetworkV_1[[Cost item]:[Cost item]],OP_Rates!$C62))*(1+Calc_ROM_1[United Energy]))*(1+GST),8),0,1))</f>
        <v>0</v>
      </c>
      <c r="M62" s="18"/>
      <c r="N62" s="18"/>
      <c r="O62" s="18"/>
      <c r="Q62" s="215"/>
      <c r="R62" s="215"/>
      <c r="S62" s="215"/>
      <c r="T62" s="215"/>
      <c r="U62" s="215"/>
    </row>
    <row r="63" spans="3:21" outlineLevel="2" x14ac:dyDescent="0.25"/>
    <row r="64" spans="3:21" ht="15.75" outlineLevel="2" x14ac:dyDescent="0.25">
      <c r="C64" s="24" t="str">
        <f>C$29&amp;" - checks"</f>
        <v>Residential True Up - checks</v>
      </c>
      <c r="M64" s="24" t="str">
        <f>M$29&amp;" - checks"</f>
        <v>Small business True Up - checks</v>
      </c>
    </row>
    <row r="65" spans="2:22" ht="15.75" outlineLevel="2" x14ac:dyDescent="0.25">
      <c r="C65" s="31" t="s">
        <v>55</v>
      </c>
      <c r="D65" s="31" t="s">
        <v>56</v>
      </c>
      <c r="E65" s="31" t="s">
        <v>57</v>
      </c>
      <c r="F65" s="93" t="s">
        <v>48</v>
      </c>
      <c r="G65" s="35" t="s">
        <v>59</v>
      </c>
      <c r="H65" s="35" t="s">
        <v>60</v>
      </c>
      <c r="I65" s="35" t="s">
        <v>61</v>
      </c>
      <c r="J65" s="35" t="s">
        <v>62</v>
      </c>
      <c r="K65" s="35" t="s">
        <v>63</v>
      </c>
      <c r="M65" s="31" t="s">
        <v>55</v>
      </c>
      <c r="N65" s="31" t="s">
        <v>56</v>
      </c>
      <c r="O65" s="31" t="s">
        <v>57</v>
      </c>
      <c r="P65" s="93" t="s">
        <v>48</v>
      </c>
      <c r="Q65" s="35" t="s">
        <v>59</v>
      </c>
      <c r="R65" s="35" t="s">
        <v>60</v>
      </c>
      <c r="S65" s="35" t="s">
        <v>61</v>
      </c>
      <c r="T65" s="35" t="s">
        <v>62</v>
      </c>
      <c r="U65" s="35" t="s">
        <v>63</v>
      </c>
    </row>
    <row r="66" spans="2:22" ht="15.75" outlineLevel="2" x14ac:dyDescent="0.25">
      <c r="C66" s="42" t="s">
        <v>80</v>
      </c>
      <c r="D66" s="42" t="s">
        <v>65</v>
      </c>
      <c r="E66" s="42" t="s">
        <v>66</v>
      </c>
      <c r="F66" s="18" t="s">
        <v>81</v>
      </c>
      <c r="G66" s="224" t="str" cm="1">
        <f t="array" ref="G66">IF(G31="-","-",
IF(ROUND(G31,8)=
IF($F66="Network",
IF($C66&lt;&gt;"Controlled load",
ROUND(INDEX(Calc_TUR_Net_1[[Ausnet]:[United Energy]],MATCH(1,(Calc_TUR_Net_1[[Customer type]:[Customer type]]=OP_Rates!$E66)*(Calc_TUR_Net_1[[Rate type]:[Rate type]]=OP_Rates!$C66),0),MATCH(OP_Rates!G$65,Calc_TUR_Net_1[[#Headers],[Ausnet]:[United Energy]],0)),8),
ROUND(INDEX(Calc_TUR_NetCL_1[[Ausnet]:[United Energy]],MATCH(OP_Rates!$E66,Calc_TUR_Net_1[[Customer type]:[Customer type]],0),MATCH(OP_Rates!G$65,Calc_TUR_Net_1[[#Headers],[Ausnet]:[United Energy]],0)),8)),
IF($F66="Environmental",
ROUND(SUMIFS(Calc_TUR_Env_1[Ausnet],Calc_TUR_Env_1[[Customer type]:[Customer type]],OP_Rates!$E66,Calc_TUR_Env_1[[Rate type]:[Rate type]],OP_Rates!$C66),8))),0,1))</f>
        <v>-</v>
      </c>
      <c r="H66" s="224" t="str" cm="1">
        <f t="array" ref="H66">IF(H31="-","-",
IF(ROUND(H31,8)=
IF($F66="Network",
IF($C66&lt;&gt;"Controlled load",
ROUND(INDEX(Calc_TUR_Net_1[[Ausnet]:[United Energy]],MATCH(1,(Calc_TUR_Net_1[[Customer type]:[Customer type]]=OP_Rates!$E66)*(Calc_TUR_Net_1[[Rate type]:[Rate type]]=OP_Rates!$C66),0),MATCH(OP_Rates!H$65,Calc_TUR_Net_1[[#Headers],[Ausnet]:[United Energy]],0)),8),
ROUND(INDEX(Calc_TUR_NetCL_1[[Ausnet]:[United Energy]],MATCH(OP_Rates!$E66,Calc_TUR_Net_1[[Customer type]:[Customer type]],0),MATCH(OP_Rates!H$65,Calc_TUR_Net_1[[#Headers],[Ausnet]:[United Energy]],0)),8)),
IF($F66="Environmental",
ROUND(SUMIFS(Calc_TUR_Env_1[Citipower],Calc_TUR_Env_1[[Customer type]:[Customer type]],OP_Rates!$E66,Calc_TUR_Env_1[[Rate type]:[Rate type]],OP_Rates!$C66),8))),0,1))</f>
        <v>-</v>
      </c>
      <c r="I66" s="224" t="str" cm="1">
        <f t="array" ref="I66">IF(I31="-","-",
IF(ROUND(I31,8)=
IF($F66="Network",
IF($C66&lt;&gt;"Controlled load",
ROUND(INDEX(Calc_TUR_Net_1[[Ausnet]:[United Energy]],MATCH(1,(Calc_TUR_Net_1[[Customer type]:[Customer type]]=OP_Rates!$E66)*(Calc_TUR_Net_1[[Rate type]:[Rate type]]=OP_Rates!$C66),0),MATCH(OP_Rates!I$65,Calc_TUR_Net_1[[#Headers],[Ausnet]:[United Energy]],0)),8),
ROUND(INDEX(Calc_TUR_NetCL_1[[Ausnet]:[United Energy]],MATCH(OP_Rates!$E66,Calc_TUR_Net_1[[Customer type]:[Customer type]],0),MATCH(OP_Rates!I$65,Calc_TUR_Net_1[[#Headers],[Ausnet]:[United Energy]],0)),8)),
IF($F66="Environmental",
ROUND(SUMIFS(Calc_TUR_Env_1[Jemena],Calc_TUR_Env_1[[Customer type]:[Customer type]],OP_Rates!$E66,Calc_TUR_Env_1[[Rate type]:[Rate type]],OP_Rates!$C66),8))),0,1))</f>
        <v>-</v>
      </c>
      <c r="J66" s="224" t="str" cm="1">
        <f t="array" ref="J66">IF(J31="-","-",
IF(ROUND(J31,8)=
IF($F66="Network",
IF($C66&lt;&gt;"Controlled load",
ROUND(INDEX(Calc_TUR_Net_1[[Ausnet]:[United Energy]],MATCH(1,(Calc_TUR_Net_1[[Customer type]:[Customer type]]=OP_Rates!$E66)*(Calc_TUR_Net_1[[Rate type]:[Rate type]]=OP_Rates!$C66),0),MATCH(OP_Rates!J$65,Calc_TUR_Net_1[[#Headers],[Ausnet]:[United Energy]],0)),8),
ROUND(INDEX(Calc_TUR_NetCL_1[[Ausnet]:[United Energy]],MATCH(OP_Rates!$E66,Calc_TUR_Net_1[[Customer type]:[Customer type]],0),MATCH(OP_Rates!J$65,Calc_TUR_Net_1[[#Headers],[Ausnet]:[United Energy]],0)),8)),
IF($F66="Environmental",
ROUND(SUMIFS(Calc_TUR_Env_1[Powercor],Calc_TUR_Env_1[[Customer type]:[Customer type]],OP_Rates!$E66,Calc_TUR_Env_1[[Rate type]:[Rate type]],OP_Rates!$C66),8))),0,1))</f>
        <v>-</v>
      </c>
      <c r="K66" s="224" t="str" cm="1">
        <f t="array" ref="K66">IF(K31="-","-",
IF(ROUND(K31,8)=
IF($F66="Network",
IF($C66&lt;&gt;"Controlled load",
ROUND(INDEX(Calc_TUR_Net_1[[Ausnet]:[United Energy]],MATCH(1,(Calc_TUR_Net_1[[Customer type]:[Customer type]]=OP_Rates!$E66)*(Calc_TUR_Net_1[[Rate type]:[Rate type]]=OP_Rates!$C66),0),MATCH(OP_Rates!K$65,Calc_TUR_Net_1[[#Headers],[Ausnet]:[United Energy]],0)),8),
ROUND(INDEX(Calc_TUR_NetCL_1[[Ausnet]:[United Energy]],MATCH(OP_Rates!$E66,Calc_TUR_Net_1[[Customer type]:[Customer type]],0),MATCH(OP_Rates!K$65,Calc_TUR_Net_1[[#Headers],[Ausnet]:[United Energy]],0)),8)),
IF($F66="Environmental",
ROUND(SUMIFS(Calc_TUR_Env_1[United Energy],Calc_TUR_Env_1[[Customer type]:[Customer type]],OP_Rates!$E66,Calc_TUR_Env_1[[Rate type]:[Rate type]],OP_Rates!$C66),8))),0,1))</f>
        <v>-</v>
      </c>
      <c r="M66" s="42" t="s">
        <v>80</v>
      </c>
      <c r="N66" s="42" t="s">
        <v>65</v>
      </c>
      <c r="O66" s="42" t="s">
        <v>67</v>
      </c>
      <c r="P66" s="18" t="s">
        <v>81</v>
      </c>
      <c r="Q66" s="224" t="str" cm="1">
        <f t="array" ref="Q66">IF(Q31="-","-",
IF(ROUND(Q31,8)=
IF($P66="Network",
ROUND(INDEX(Calc_TUR_Net_1[[Ausnet]:[United Energy]],MATCH(1,(Calc_TUR_Net_1[[Customer type]:[Customer type]]=OP_Rates!$O66)*(Calc_TUR_Net_1[[Rate type]:[Rate type]]=OP_Rates!$C66),0),MATCH(OP_Rates!Q$65,Calc_TUR_Net_1[[#Headers],[Ausnet]:[United Energy]],0)),8),
IF($P66="Environmental",
ROUND(SUMIFS(Calc_TUR_Env_1[Ausnet],Calc_TUR_Env_1[[Customer type]:[Customer type]],OP_Rates!$O66,Calc_TUR_Env_1[[Rate type]:[Rate type]],OP_Rates!$C66),8))),0,1))</f>
        <v>-</v>
      </c>
      <c r="R66" s="224" t="str" cm="1">
        <f t="array" ref="R66">IF(R31="-","-",
IF(ROUND(R31,8)=
IF($P66="Network",
ROUND(INDEX(Calc_TUR_Net_1[[Ausnet]:[United Energy]],MATCH(1,(Calc_TUR_Net_1[[Customer type]:[Customer type]]=OP_Rates!$O66)*(Calc_TUR_Net_1[[Rate type]:[Rate type]]=OP_Rates!$C66),0),MATCH(OP_Rates!R$65,Calc_TUR_Net_1[[#Headers],[Ausnet]:[United Energy]],0)),8),
IF($P66="Environmental",
ROUND(SUMIFS(Calc_TUR_Env_1[Citipower],Calc_TUR_Env_1[[Customer type]:[Customer type]],OP_Rates!$O66,Calc_TUR_Env_1[[Rate type]:[Rate type]],OP_Rates!$C66),8))),0,1))</f>
        <v>-</v>
      </c>
      <c r="S66" s="224" t="str" cm="1">
        <f t="array" ref="S66">IF(S31="-","-",
IF(ROUND(S31,8)=
IF($P66="Network",
ROUND(INDEX(Calc_TUR_Net_1[[Ausnet]:[United Energy]],MATCH(1,(Calc_TUR_Net_1[[Customer type]:[Customer type]]=OP_Rates!$O66)*(Calc_TUR_Net_1[[Rate type]:[Rate type]]=OP_Rates!$C66),0),MATCH(OP_Rates!S$65,Calc_TUR_Net_1[[#Headers],[Ausnet]:[United Energy]],0)),8),
IF($P66="Environmental",
ROUND(SUMIFS(Calc_TUR_Env_1[Jemena],Calc_TUR_Env_1[[Customer type]:[Customer type]],OP_Rates!$O66,Calc_TUR_Env_1[[Rate type]:[Rate type]],OP_Rates!$C66),8))),0,1))</f>
        <v>-</v>
      </c>
      <c r="T66" s="224" t="str" cm="1">
        <f t="array" ref="T66">IF(T31="-","-",
IF(ROUND(T31,8)=
IF($P66="Network",
ROUND(INDEX(Calc_TUR_Net_1[[Ausnet]:[United Energy]],MATCH(1,(Calc_TUR_Net_1[[Customer type]:[Customer type]]=OP_Rates!$O66)*(Calc_TUR_Net_1[[Rate type]:[Rate type]]=OP_Rates!$C66),0),MATCH(OP_Rates!T$65,Calc_TUR_Net_1[[#Headers],[Ausnet]:[United Energy]],0)),8),
IF($P66="Environmental",
ROUND(SUMIFS(Calc_TUR_Env_1[Powercor],Calc_TUR_Env_1[[Customer type]:[Customer type]],OP_Rates!$O66,Calc_TUR_Env_1[[Rate type]:[Rate type]],OP_Rates!$C66),8))),0,1))</f>
        <v>-</v>
      </c>
      <c r="U66" s="224" t="str" cm="1">
        <f t="array" ref="U66">IF(U31="-","-",
IF(ROUND(U31,8)=
IF($P66="Network",
ROUND(INDEX(Calc_TUR_Net_1[[Ausnet]:[United Energy]],MATCH(1,(Calc_TUR_Net_1[[Customer type]:[Customer type]]=OP_Rates!$O66)*(Calc_TUR_Net_1[[Rate type]:[Rate type]]=OP_Rates!$C66),0),MATCH(OP_Rates!U$65,Calc_TUR_Net_1[[#Headers],[Ausnet]:[United Energy]],0)),8),
IF($P66="Environmental",
ROUND(SUMIFS(Calc_TUR_Env_1[United Energy],Calc_TUR_Env_1[[Customer type]:[Customer type]],OP_Rates!$O66,Calc_TUR_Env_1[[Rate type]:[Rate type]],OP_Rates!$C66),8))),0,1))</f>
        <v>-</v>
      </c>
    </row>
    <row r="67" spans="2:22" ht="15.75" outlineLevel="2" x14ac:dyDescent="0.25">
      <c r="C67" s="42" t="s">
        <v>82</v>
      </c>
      <c r="D67" s="42" t="s">
        <v>65</v>
      </c>
      <c r="E67" s="42" t="s">
        <v>66</v>
      </c>
      <c r="F67" s="18" t="s">
        <v>81</v>
      </c>
      <c r="G67" s="224" t="str" cm="1">
        <f t="array" ref="G67">IF(G32="-","-",
IF(ROUND(G32,8)=
IF($F67="Network",
IF($C67&lt;&gt;"Controlled load",
ROUND(INDEX(Calc_TUR_Net_1[[Ausnet]:[United Energy]],MATCH(1,(Calc_TUR_Net_1[[Customer type]:[Customer type]]=OP_Rates!$E67)*(Calc_TUR_Net_1[[Rate type]:[Rate type]]=OP_Rates!$C67),0),MATCH(OP_Rates!G$65,Calc_TUR_Net_1[[#Headers],[Ausnet]:[United Energy]],0)),8),
ROUND(INDEX(Calc_TUR_NetCL_1[[Ausnet]:[United Energy]],MATCH(OP_Rates!$E67,Calc_TUR_Net_1[[Customer type]:[Customer type]],0),MATCH(OP_Rates!G$65,Calc_TUR_Net_1[[#Headers],[Ausnet]:[United Energy]],0)),8)),
IF($F67="Environmental",
ROUND(SUMIFS(Calc_TUR_Env_1[Ausnet],Calc_TUR_Env_1[[Customer type]:[Customer type]],OP_Rates!$E67,Calc_TUR_Env_1[[Rate type]:[Rate type]],OP_Rates!$C67),8))),0,1))</f>
        <v>-</v>
      </c>
      <c r="H67" s="224" t="str" cm="1">
        <f t="array" ref="H67">IF(H32="-","-",
IF(ROUND(H32,8)=
IF($F67="Network",
IF($C67&lt;&gt;"Controlled load",
ROUND(INDEX(Calc_TUR_Net_1[[Ausnet]:[United Energy]],MATCH(1,(Calc_TUR_Net_1[[Customer type]:[Customer type]]=OP_Rates!$E67)*(Calc_TUR_Net_1[[Rate type]:[Rate type]]=OP_Rates!$C67),0),MATCH(OP_Rates!H$65,Calc_TUR_Net_1[[#Headers],[Ausnet]:[United Energy]],0)),8),
ROUND(INDEX(Calc_TUR_NetCL_1[[Ausnet]:[United Energy]],MATCH(OP_Rates!$E67,Calc_TUR_Net_1[[Customer type]:[Customer type]],0),MATCH(OP_Rates!H$65,Calc_TUR_Net_1[[#Headers],[Ausnet]:[United Energy]],0)),8)),
IF($F67="Environmental",
ROUND(SUMIFS(Calc_TUR_Env_1[Citipower],Calc_TUR_Env_1[[Customer type]:[Customer type]],OP_Rates!$E67,Calc_TUR_Env_1[[Rate type]:[Rate type]],OP_Rates!$C67),8))),0,1))</f>
        <v>-</v>
      </c>
      <c r="I67" s="224" t="str" cm="1">
        <f t="array" ref="I67">IF(I32="-","-",
IF(ROUND(I32,8)=
IF($F67="Network",
IF($C67&lt;&gt;"Controlled load",
ROUND(INDEX(Calc_TUR_Net_1[[Ausnet]:[United Energy]],MATCH(1,(Calc_TUR_Net_1[[Customer type]:[Customer type]]=OP_Rates!$E67)*(Calc_TUR_Net_1[[Rate type]:[Rate type]]=OP_Rates!$C67),0),MATCH(OP_Rates!I$65,Calc_TUR_Net_1[[#Headers],[Ausnet]:[United Energy]],0)),8),
ROUND(INDEX(Calc_TUR_NetCL_1[[Ausnet]:[United Energy]],MATCH(OP_Rates!$E67,Calc_TUR_Net_1[[Customer type]:[Customer type]],0),MATCH(OP_Rates!I$65,Calc_TUR_Net_1[[#Headers],[Ausnet]:[United Energy]],0)),8)),
IF($F67="Environmental",
ROUND(SUMIFS(Calc_TUR_Env_1[Jemena],Calc_TUR_Env_1[[Customer type]:[Customer type]],OP_Rates!$E67,Calc_TUR_Env_1[[Rate type]:[Rate type]],OP_Rates!$C67),8))),0,1))</f>
        <v>-</v>
      </c>
      <c r="J67" s="224" t="str" cm="1">
        <f t="array" ref="J67">IF(J32="-","-",
IF(ROUND(J32,8)=
IF($F67="Network",
IF($C67&lt;&gt;"Controlled load",
ROUND(INDEX(Calc_TUR_Net_1[[Ausnet]:[United Energy]],MATCH(1,(Calc_TUR_Net_1[[Customer type]:[Customer type]]=OP_Rates!$E67)*(Calc_TUR_Net_1[[Rate type]:[Rate type]]=OP_Rates!$C67),0),MATCH(OP_Rates!J$65,Calc_TUR_Net_1[[#Headers],[Ausnet]:[United Energy]],0)),8),
ROUND(INDEX(Calc_TUR_NetCL_1[[Ausnet]:[United Energy]],MATCH(OP_Rates!$E67,Calc_TUR_Net_1[[Customer type]:[Customer type]],0),MATCH(OP_Rates!J$65,Calc_TUR_Net_1[[#Headers],[Ausnet]:[United Energy]],0)),8)),
IF($F67="Environmental",
ROUND(SUMIFS(Calc_TUR_Env_1[Powercor],Calc_TUR_Env_1[[Customer type]:[Customer type]],OP_Rates!$E67,Calc_TUR_Env_1[[Rate type]:[Rate type]],OP_Rates!$C67),8))),0,1))</f>
        <v>-</v>
      </c>
      <c r="K67" s="224" t="str" cm="1">
        <f t="array" ref="K67">IF(K32="-","-",
IF(ROUND(K32,8)=
IF($F67="Network",
IF($C67&lt;&gt;"Controlled load",
ROUND(INDEX(Calc_TUR_Net_1[[Ausnet]:[United Energy]],MATCH(1,(Calc_TUR_Net_1[[Customer type]:[Customer type]]=OP_Rates!$E67)*(Calc_TUR_Net_1[[Rate type]:[Rate type]]=OP_Rates!$C67),0),MATCH(OP_Rates!K$65,Calc_TUR_Net_1[[#Headers],[Ausnet]:[United Energy]],0)),8),
ROUND(INDEX(Calc_TUR_NetCL_1[[Ausnet]:[United Energy]],MATCH(OP_Rates!$E67,Calc_TUR_Net_1[[Customer type]:[Customer type]],0),MATCH(OP_Rates!K$65,Calc_TUR_Net_1[[#Headers],[Ausnet]:[United Energy]],0)),8)),
IF($F67="Environmental",
ROUND(SUMIFS(Calc_TUR_Env_1[United Energy],Calc_TUR_Env_1[[Customer type]:[Customer type]],OP_Rates!$E67,Calc_TUR_Env_1[[Rate type]:[Rate type]],OP_Rates!$C67),8))),0,1))</f>
        <v>-</v>
      </c>
      <c r="M67" s="42" t="s">
        <v>82</v>
      </c>
      <c r="N67" s="42" t="s">
        <v>65</v>
      </c>
      <c r="O67" s="42" t="s">
        <v>67</v>
      </c>
      <c r="P67" s="18" t="s">
        <v>81</v>
      </c>
      <c r="Q67" s="224" t="str" cm="1">
        <f t="array" ref="Q67">IF(Q32="-","-",
IF(ROUND(Q32,8)=
IF($P67="Network",
ROUND(INDEX(Calc_TUR_Net_1[[Ausnet]:[United Energy]],MATCH(1,(Calc_TUR_Net_1[[Customer type]:[Customer type]]=OP_Rates!$O67)*(Calc_TUR_Net_1[[Rate type]:[Rate type]]=OP_Rates!$C67),0),MATCH(OP_Rates!Q$65,Calc_TUR_Net_1[[#Headers],[Ausnet]:[United Energy]],0)),8),
IF($P67="Environmental",
ROUND(SUMIFS(Calc_TUR_Env_1[Ausnet],Calc_TUR_Env_1[[Customer type]:[Customer type]],OP_Rates!$O67,Calc_TUR_Env_1[[Rate type]:[Rate type]],OP_Rates!$C67),8))),0,1))</f>
        <v>-</v>
      </c>
      <c r="R67" s="224" t="str" cm="1">
        <f t="array" ref="R67">IF(R32="-","-",
IF(ROUND(R32,8)=
IF($P67="Network",
ROUND(INDEX(Calc_TUR_Net_1[[Ausnet]:[United Energy]],MATCH(1,(Calc_TUR_Net_1[[Customer type]:[Customer type]]=OP_Rates!$O67)*(Calc_TUR_Net_1[[Rate type]:[Rate type]]=OP_Rates!$C67),0),MATCH(OP_Rates!R$65,Calc_TUR_Net_1[[#Headers],[Ausnet]:[United Energy]],0)),8),
IF($P67="Environmental",
ROUND(SUMIFS(Calc_TUR_Env_1[Citipower],Calc_TUR_Env_1[[Customer type]:[Customer type]],OP_Rates!$O67,Calc_TUR_Env_1[[Rate type]:[Rate type]],OP_Rates!$C67),8))),0,1))</f>
        <v>-</v>
      </c>
      <c r="S67" s="224" t="str" cm="1">
        <f t="array" ref="S67">IF(S32="-","-",
IF(ROUND(S32,8)=
IF($P67="Network",
ROUND(INDEX(Calc_TUR_Net_1[[Ausnet]:[United Energy]],MATCH(1,(Calc_TUR_Net_1[[Customer type]:[Customer type]]=OP_Rates!$O67)*(Calc_TUR_Net_1[[Rate type]:[Rate type]]=OP_Rates!$C67),0),MATCH(OP_Rates!S$65,Calc_TUR_Net_1[[#Headers],[Ausnet]:[United Energy]],0)),8),
IF($P67="Environmental",
ROUND(SUMIFS(Calc_TUR_Env_1[Jemena],Calc_TUR_Env_1[[Customer type]:[Customer type]],OP_Rates!$O67,Calc_TUR_Env_1[[Rate type]:[Rate type]],OP_Rates!$C67),8))),0,1))</f>
        <v>-</v>
      </c>
      <c r="T67" s="224" t="str" cm="1">
        <f t="array" ref="T67">IF(T32="-","-",
IF(ROUND(T32,8)=
IF($P67="Network",
ROUND(INDEX(Calc_TUR_Net_1[[Ausnet]:[United Energy]],MATCH(1,(Calc_TUR_Net_1[[Customer type]:[Customer type]]=OP_Rates!$O67)*(Calc_TUR_Net_1[[Rate type]:[Rate type]]=OP_Rates!$C67),0),MATCH(OP_Rates!T$65,Calc_TUR_Net_1[[#Headers],[Ausnet]:[United Energy]],0)),8),
IF($P67="Environmental",
ROUND(SUMIFS(Calc_TUR_Env_1[Powercor],Calc_TUR_Env_1[[Customer type]:[Customer type]],OP_Rates!$O67,Calc_TUR_Env_1[[Rate type]:[Rate type]],OP_Rates!$C67),8))),0,1))</f>
        <v>-</v>
      </c>
      <c r="U67" s="224" t="str" cm="1">
        <f t="array" ref="U67">IF(U32="-","-",
IF(ROUND(U32,8)=
IF($P67="Network",
ROUND(INDEX(Calc_TUR_Net_1[[Ausnet]:[United Energy]],MATCH(1,(Calc_TUR_Net_1[[Customer type]:[Customer type]]=OP_Rates!$O67)*(Calc_TUR_Net_1[[Rate type]:[Rate type]]=OP_Rates!$C67),0),MATCH(OP_Rates!U$65,Calc_TUR_Net_1[[#Headers],[Ausnet]:[United Energy]],0)),8),
IF($P67="Environmental",
ROUND(SUMIFS(Calc_TUR_Env_1[United Energy],Calc_TUR_Env_1[[Customer type]:[Customer type]],OP_Rates!$O67,Calc_TUR_Env_1[[Rate type]:[Rate type]],OP_Rates!$C67),8))),0,1))</f>
        <v>-</v>
      </c>
    </row>
    <row r="68" spans="2:22" ht="15.75" outlineLevel="2" x14ac:dyDescent="0.25">
      <c r="C68" s="42" t="s">
        <v>75</v>
      </c>
      <c r="D68" s="42" t="s">
        <v>69</v>
      </c>
      <c r="E68" s="42" t="s">
        <v>66</v>
      </c>
      <c r="F68" s="18" t="s">
        <v>81</v>
      </c>
      <c r="G68" s="224" t="str" cm="1">
        <f t="array" ref="G68">IF(G33="-","-",
IF(ROUND(G33,8)=
IF($F68="Network",
IF($C68&lt;&gt;"Controlled load",
ROUND(INDEX(Calc_TUR_Net_1[[Ausnet]:[United Energy]],MATCH(1,(Calc_TUR_Net_1[[Customer type]:[Customer type]]=OP_Rates!$E68)*(Calc_TUR_Net_1[[Rate type]:[Rate type]]=OP_Rates!$C68),0),MATCH(OP_Rates!G$65,Calc_TUR_Net_1[[#Headers],[Ausnet]:[United Energy]],0)),8),
ROUND(INDEX(Calc_TUR_NetCL_1[[Ausnet]:[United Energy]],MATCH(OP_Rates!$E68,Calc_TUR_Net_1[[Customer type]:[Customer type]],0),MATCH(OP_Rates!G$65,Calc_TUR_Net_1[[#Headers],[Ausnet]:[United Energy]],0)),8)),
IF($F68="Environmental",
ROUND(SUMIFS(Calc_TUR_Env_1[Ausnet],Calc_TUR_Env_1[[Customer type]:[Customer type]],OP_Rates!$E68,Calc_TUR_Env_1[[Rate type]:[Rate type]],OP_Rates!$C68),8))),0,1))</f>
        <v>-</v>
      </c>
      <c r="H68" s="224" t="str" cm="1">
        <f t="array" ref="H68">IF(H33="-","-",
IF(ROUND(H33,8)=
IF($F68="Network",
IF($C68&lt;&gt;"Controlled load",
ROUND(INDEX(Calc_TUR_Net_1[[Ausnet]:[United Energy]],MATCH(1,(Calc_TUR_Net_1[[Customer type]:[Customer type]]=OP_Rates!$E68)*(Calc_TUR_Net_1[[Rate type]:[Rate type]]=OP_Rates!$C68),0),MATCH(OP_Rates!H$65,Calc_TUR_Net_1[[#Headers],[Ausnet]:[United Energy]],0)),8),
ROUND(INDEX(Calc_TUR_NetCL_1[[Ausnet]:[United Energy]],MATCH(OP_Rates!$E68,Calc_TUR_Net_1[[Customer type]:[Customer type]],0),MATCH(OP_Rates!H$65,Calc_TUR_Net_1[[#Headers],[Ausnet]:[United Energy]],0)),8)),
IF($F68="Environmental",
ROUND(SUMIFS(Calc_TUR_Env_1[Citipower],Calc_TUR_Env_1[[Customer type]:[Customer type]],OP_Rates!$E68,Calc_TUR_Env_1[[Rate type]:[Rate type]],OP_Rates!$C68),8))),0,1))</f>
        <v>-</v>
      </c>
      <c r="I68" s="224" t="str" cm="1">
        <f t="array" ref="I68">IF(I33="-","-",
IF(ROUND(I33,8)=
IF($F68="Network",
IF($C68&lt;&gt;"Controlled load",
ROUND(INDEX(Calc_TUR_Net_1[[Ausnet]:[United Energy]],MATCH(1,(Calc_TUR_Net_1[[Customer type]:[Customer type]]=OP_Rates!$E68)*(Calc_TUR_Net_1[[Rate type]:[Rate type]]=OP_Rates!$C68),0),MATCH(OP_Rates!I$65,Calc_TUR_Net_1[[#Headers],[Ausnet]:[United Energy]],0)),8),
ROUND(INDEX(Calc_TUR_NetCL_1[[Ausnet]:[United Energy]],MATCH(OP_Rates!$E68,Calc_TUR_Net_1[[Customer type]:[Customer type]],0),MATCH(OP_Rates!I$65,Calc_TUR_Net_1[[#Headers],[Ausnet]:[United Energy]],0)),8)),
IF($F68="Environmental",
ROUND(SUMIFS(Calc_TUR_Env_1[Jemena],Calc_TUR_Env_1[[Customer type]:[Customer type]],OP_Rates!$E68,Calc_TUR_Env_1[[Rate type]:[Rate type]],OP_Rates!$C68),8))),0,1))</f>
        <v>-</v>
      </c>
      <c r="J68" s="224" t="str" cm="1">
        <f t="array" ref="J68">IF(J33="-","-",
IF(ROUND(J33,8)=
IF($F68="Network",
IF($C68&lt;&gt;"Controlled load",
ROUND(INDEX(Calc_TUR_Net_1[[Ausnet]:[United Energy]],MATCH(1,(Calc_TUR_Net_1[[Customer type]:[Customer type]]=OP_Rates!$E68)*(Calc_TUR_Net_1[[Rate type]:[Rate type]]=OP_Rates!$C68),0),MATCH(OP_Rates!J$65,Calc_TUR_Net_1[[#Headers],[Ausnet]:[United Energy]],0)),8),
ROUND(INDEX(Calc_TUR_NetCL_1[[Ausnet]:[United Energy]],MATCH(OP_Rates!$E68,Calc_TUR_Net_1[[Customer type]:[Customer type]],0),MATCH(OP_Rates!J$65,Calc_TUR_Net_1[[#Headers],[Ausnet]:[United Energy]],0)),8)),
IF($F68="Environmental",
ROUND(SUMIFS(Calc_TUR_Env_1[Powercor],Calc_TUR_Env_1[[Customer type]:[Customer type]],OP_Rates!$E68,Calc_TUR_Env_1[[Rate type]:[Rate type]],OP_Rates!$C68),8))),0,1))</f>
        <v>-</v>
      </c>
      <c r="K68" s="224" t="str" cm="1">
        <f t="array" ref="K68">IF(K33="-","-",
IF(ROUND(K33,8)=
IF($F68="Network",
IF($C68&lt;&gt;"Controlled load",
ROUND(INDEX(Calc_TUR_Net_1[[Ausnet]:[United Energy]],MATCH(1,(Calc_TUR_Net_1[[Customer type]:[Customer type]]=OP_Rates!$E68)*(Calc_TUR_Net_1[[Rate type]:[Rate type]]=OP_Rates!$C68),0),MATCH(OP_Rates!K$65,Calc_TUR_Net_1[[#Headers],[Ausnet]:[United Energy]],0)),8),
ROUND(INDEX(Calc_TUR_NetCL_1[[Ausnet]:[United Energy]],MATCH(OP_Rates!$E68,Calc_TUR_Net_1[[Customer type]:[Customer type]],0),MATCH(OP_Rates!K$65,Calc_TUR_Net_1[[#Headers],[Ausnet]:[United Energy]],0)),8)),
IF($F68="Environmental",
ROUND(SUMIFS(Calc_TUR_Env_1[United Energy],Calc_TUR_Env_1[[Customer type]:[Customer type]],OP_Rates!$E68,Calc_TUR_Env_1[[Rate type]:[Rate type]],OP_Rates!$C68),8))),0,1))</f>
        <v>-</v>
      </c>
      <c r="M68" s="42"/>
      <c r="N68" s="42"/>
      <c r="O68" s="42"/>
      <c r="P68" s="18"/>
      <c r="Q68" s="224" t="str" cm="1">
        <f t="array" ref="Q68">IF(Q33="-","-",
IF(ROUND(Q33,8)=
IF($P68="Network",
ROUND(INDEX(Calc_TUR_Net_1[[Ausnet]:[United Energy]],MATCH(1,(Calc_TUR_Net_1[[Customer type]:[Customer type]]=OP_Rates!$O68)*(Calc_TUR_Net_1[[Rate type]:[Rate type]]=OP_Rates!$C68),0),MATCH(OP_Rates!Q$65,Calc_TUR_Net_1[[#Headers],[Ausnet]:[United Energy]],0)),8),
IF($P68="Environmental",
ROUND(SUMIFS(Calc_TUR_Env_1[Ausnet],Calc_TUR_Env_1[[Customer type]:[Customer type]],OP_Rates!$O68,Calc_TUR_Env_1[[Rate type]:[Rate type]],OP_Rates!$C68),8))),0,1))</f>
        <v>-</v>
      </c>
      <c r="R68" s="224" t="str" cm="1">
        <f t="array" ref="R68">IF(R33="-","-",
IF(ROUND(R33,8)=
IF($P68="Network",
ROUND(INDEX(Calc_TUR_Net_1[[Ausnet]:[United Energy]],MATCH(1,(Calc_TUR_Net_1[[Customer type]:[Customer type]]=OP_Rates!$O68)*(Calc_TUR_Net_1[[Rate type]:[Rate type]]=OP_Rates!$C68),0),MATCH(OP_Rates!R$65,Calc_TUR_Net_1[[#Headers],[Ausnet]:[United Energy]],0)),8),
IF($P68="Environmental",
ROUND(SUMIFS(Calc_TUR_Env_1[Citipower],Calc_TUR_Env_1[[Customer type]:[Customer type]],OP_Rates!$O68,Calc_TUR_Env_1[[Rate type]:[Rate type]],OP_Rates!$C68),8))),0,1))</f>
        <v>-</v>
      </c>
      <c r="S68" s="224" t="str" cm="1">
        <f t="array" ref="S68">IF(S33="-","-",
IF(ROUND(S33,8)=
IF($P68="Network",
ROUND(INDEX(Calc_TUR_Net_1[[Ausnet]:[United Energy]],MATCH(1,(Calc_TUR_Net_1[[Customer type]:[Customer type]]=OP_Rates!$O68)*(Calc_TUR_Net_1[[Rate type]:[Rate type]]=OP_Rates!$C68),0),MATCH(OP_Rates!S$65,Calc_TUR_Net_1[[#Headers],[Ausnet]:[United Energy]],0)),8),
IF($P68="Environmental",
ROUND(SUMIFS(Calc_TUR_Env_1[Jemena],Calc_TUR_Env_1[[Customer type]:[Customer type]],OP_Rates!$O68,Calc_TUR_Env_1[[Rate type]:[Rate type]],OP_Rates!$C68),8))),0,1))</f>
        <v>-</v>
      </c>
      <c r="T68" s="224" t="str" cm="1">
        <f t="array" ref="T68">IF(T33="-","-",
IF(ROUND(T33,8)=
IF($P68="Network",
ROUND(INDEX(Calc_TUR_Net_1[[Ausnet]:[United Energy]],MATCH(1,(Calc_TUR_Net_1[[Customer type]:[Customer type]]=OP_Rates!$O68)*(Calc_TUR_Net_1[[Rate type]:[Rate type]]=OP_Rates!$C68),0),MATCH(OP_Rates!T$65,Calc_TUR_Net_1[[#Headers],[Ausnet]:[United Energy]],0)),8),
IF($P68="Environmental",
ROUND(SUMIFS(Calc_TUR_Env_1[Powercor],Calc_TUR_Env_1[[Customer type]:[Customer type]],OP_Rates!$O68,Calc_TUR_Env_1[[Rate type]:[Rate type]],OP_Rates!$C68),8))),0,1))</f>
        <v>-</v>
      </c>
      <c r="U68" s="224" t="str" cm="1">
        <f t="array" ref="U68">IF(U33="-","-",
IF(ROUND(U33,8)=
IF($P68="Network",
ROUND(INDEX(Calc_TUR_Net_1[[Ausnet]:[United Energy]],MATCH(1,(Calc_TUR_Net_1[[Customer type]:[Customer type]]=OP_Rates!$O68)*(Calc_TUR_Net_1[[Rate type]:[Rate type]]=OP_Rates!$C68),0),MATCH(OP_Rates!U$65,Calc_TUR_Net_1[[#Headers],[Ausnet]:[United Energy]],0)),8),
IF($P68="Environmental",
ROUND(SUMIFS(Calc_TUR_Env_1[United Energy],Calc_TUR_Env_1[[Customer type]:[Customer type]],OP_Rates!$O68,Calc_TUR_Env_1[[Rate type]:[Rate type]],OP_Rates!$C68),8))),0,1))</f>
        <v>-</v>
      </c>
    </row>
    <row r="69" spans="2:22" ht="15.75" outlineLevel="2" x14ac:dyDescent="0.25">
      <c r="C69" s="42" t="s">
        <v>68</v>
      </c>
      <c r="D69" s="42" t="s">
        <v>69</v>
      </c>
      <c r="E69" s="42" t="s">
        <v>66</v>
      </c>
      <c r="F69" s="18" t="s">
        <v>83</v>
      </c>
      <c r="G69" s="224" cm="1">
        <f t="array" ref="G69">IF(G34="-","-",
IF(ROUND(G34,8)=
IF($F69="Network",
IF($C69&lt;&gt;"Controlled load",
ROUND(INDEX(Calc_TUR_Net_1[[Ausnet]:[United Energy]],MATCH(1,(Calc_TUR_Net_1[[Customer type]:[Customer type]]=OP_Rates!$E69)*(Calc_TUR_Net_1[[Rate type]:[Rate type]]=OP_Rates!$C69),0),MATCH(OP_Rates!G$65,Calc_TUR_Net_1[[#Headers],[Ausnet]:[United Energy]],0)),8),
ROUND(INDEX(Calc_TUR_NetCL_1[[Ausnet]:[United Energy]],MATCH(OP_Rates!$E69,Calc_TUR_Net_1[[Customer type]:[Customer type]],0),MATCH(OP_Rates!G$65,Calc_TUR_Net_1[[#Headers],[Ausnet]:[United Energy]],0)),8)),
IF($F69="Environmental",
ROUND(SUMIFS(Calc_TUR_Env_1[Ausnet],Calc_TUR_Env_1[[Customer type]:[Customer type]],OP_Rates!$E69,Calc_TUR_Env_1[[Rate type]:[Rate type]],OP_Rates!$C69),8))),0,1))</f>
        <v>0</v>
      </c>
      <c r="H69" s="224" cm="1">
        <f t="array" ref="H69">IF(H34="-","-",
IF(ROUND(H34,8)=
IF($F69="Network",
IF($C69&lt;&gt;"Controlled load",
ROUND(INDEX(Calc_TUR_Net_1[[Ausnet]:[United Energy]],MATCH(1,(Calc_TUR_Net_1[[Customer type]:[Customer type]]=OP_Rates!$E69)*(Calc_TUR_Net_1[[Rate type]:[Rate type]]=OP_Rates!$C69),0),MATCH(OP_Rates!H$65,Calc_TUR_Net_1[[#Headers],[Ausnet]:[United Energy]],0)),8),
ROUND(INDEX(Calc_TUR_NetCL_1[[Ausnet]:[United Energy]],MATCH(OP_Rates!$E69,Calc_TUR_Net_1[[Customer type]:[Customer type]],0),MATCH(OP_Rates!H$65,Calc_TUR_Net_1[[#Headers],[Ausnet]:[United Energy]],0)),8)),
IF($F69="Environmental",
ROUND(SUMIFS(Calc_TUR_Env_1[Citipower],Calc_TUR_Env_1[[Customer type]:[Customer type]],OP_Rates!$E69,Calc_TUR_Env_1[[Rate type]:[Rate type]],OP_Rates!$C69),8))),0,1))</f>
        <v>0</v>
      </c>
      <c r="I69" s="224" cm="1">
        <f t="array" ref="I69">IF(I34="-","-",
IF(ROUND(I34,8)=
IF($F69="Network",
IF($C69&lt;&gt;"Controlled load",
ROUND(INDEX(Calc_TUR_Net_1[[Ausnet]:[United Energy]],MATCH(1,(Calc_TUR_Net_1[[Customer type]:[Customer type]]=OP_Rates!$E69)*(Calc_TUR_Net_1[[Rate type]:[Rate type]]=OP_Rates!$C69),0),MATCH(OP_Rates!I$65,Calc_TUR_Net_1[[#Headers],[Ausnet]:[United Energy]],0)),8),
ROUND(INDEX(Calc_TUR_NetCL_1[[Ausnet]:[United Energy]],MATCH(OP_Rates!$E69,Calc_TUR_Net_1[[Customer type]:[Customer type]],0),MATCH(OP_Rates!I$65,Calc_TUR_Net_1[[#Headers],[Ausnet]:[United Energy]],0)),8)),
IF($F69="Environmental",
ROUND(SUMIFS(Calc_TUR_Env_1[Jemena],Calc_TUR_Env_1[[Customer type]:[Customer type]],OP_Rates!$E69,Calc_TUR_Env_1[[Rate type]:[Rate type]],OP_Rates!$C69),8))),0,1))</f>
        <v>0</v>
      </c>
      <c r="J69" s="224" cm="1">
        <f t="array" ref="J69">IF(J34="-","-",
IF(ROUND(J34,8)=
IF($F69="Network",
IF($C69&lt;&gt;"Controlled load",
ROUND(INDEX(Calc_TUR_Net_1[[Ausnet]:[United Energy]],MATCH(1,(Calc_TUR_Net_1[[Customer type]:[Customer type]]=OP_Rates!$E69)*(Calc_TUR_Net_1[[Rate type]:[Rate type]]=OP_Rates!$C69),0),MATCH(OP_Rates!J$65,Calc_TUR_Net_1[[#Headers],[Ausnet]:[United Energy]],0)),8),
ROUND(INDEX(Calc_TUR_NetCL_1[[Ausnet]:[United Energy]],MATCH(OP_Rates!$E69,Calc_TUR_Net_1[[Customer type]:[Customer type]],0),MATCH(OP_Rates!J$65,Calc_TUR_Net_1[[#Headers],[Ausnet]:[United Energy]],0)),8)),
IF($F69="Environmental",
ROUND(SUMIFS(Calc_TUR_Env_1[Powercor],Calc_TUR_Env_1[[Customer type]:[Customer type]],OP_Rates!$E69,Calc_TUR_Env_1[[Rate type]:[Rate type]],OP_Rates!$C69),8))),0,1))</f>
        <v>0</v>
      </c>
      <c r="K69" s="224" cm="1">
        <f t="array" ref="K69">IF(K34="-","-",
IF(ROUND(K34,8)=
IF($F69="Network",
IF($C69&lt;&gt;"Controlled load",
ROUND(INDEX(Calc_TUR_Net_1[[Ausnet]:[United Energy]],MATCH(1,(Calc_TUR_Net_1[[Customer type]:[Customer type]]=OP_Rates!$E69)*(Calc_TUR_Net_1[[Rate type]:[Rate type]]=OP_Rates!$C69),0),MATCH(OP_Rates!K$65,Calc_TUR_Net_1[[#Headers],[Ausnet]:[United Energy]],0)),8),
ROUND(INDEX(Calc_TUR_NetCL_1[[Ausnet]:[United Energy]],MATCH(OP_Rates!$E69,Calc_TUR_Net_1[[Customer type]:[Customer type]],0),MATCH(OP_Rates!K$65,Calc_TUR_Net_1[[#Headers],[Ausnet]:[United Energy]],0)),8)),
IF($F69="Environmental",
ROUND(SUMIFS(Calc_TUR_Env_1[United Energy],Calc_TUR_Env_1[[Customer type]:[Customer type]],OP_Rates!$E69,Calc_TUR_Env_1[[Rate type]:[Rate type]],OP_Rates!$C69),8))),0,1))</f>
        <v>0</v>
      </c>
      <c r="M69" s="42" t="s">
        <v>68</v>
      </c>
      <c r="N69" s="42" t="s">
        <v>69</v>
      </c>
      <c r="O69" s="42" t="s">
        <v>67</v>
      </c>
      <c r="P69" s="18" t="s">
        <v>83</v>
      </c>
      <c r="Q69" s="224" cm="1">
        <f t="array" ref="Q69">IF(Q34="-","-",
IF(ROUND(Q34,8)=
IF($P69="Network",
ROUND(INDEX(Calc_TUR_Net_1[[Ausnet]:[United Energy]],MATCH(1,(Calc_TUR_Net_1[[Customer type]:[Customer type]]=OP_Rates!$O69)*(Calc_TUR_Net_1[[Rate type]:[Rate type]]=OP_Rates!$C69),0),MATCH(OP_Rates!Q$65,Calc_TUR_Net_1[[#Headers],[Ausnet]:[United Energy]],0)),8),
IF($P69="Environmental",
ROUND(SUMIFS(Calc_TUR_Env_1[Ausnet],Calc_TUR_Env_1[[Customer type]:[Customer type]],OP_Rates!$O69,Calc_TUR_Env_1[[Rate type]:[Rate type]],OP_Rates!$C69),8))),0,1))</f>
        <v>0</v>
      </c>
      <c r="R69" s="224" cm="1">
        <f t="array" ref="R69">IF(R34="-","-",
IF(ROUND(R34,8)=
IF($P69="Network",
ROUND(INDEX(Calc_TUR_Net_1[[Ausnet]:[United Energy]],MATCH(1,(Calc_TUR_Net_1[[Customer type]:[Customer type]]=OP_Rates!$O69)*(Calc_TUR_Net_1[[Rate type]:[Rate type]]=OP_Rates!$C69),0),MATCH(OP_Rates!R$65,Calc_TUR_Net_1[[#Headers],[Ausnet]:[United Energy]],0)),8),
IF($P69="Environmental",
ROUND(SUMIFS(Calc_TUR_Env_1[Citipower],Calc_TUR_Env_1[[Customer type]:[Customer type]],OP_Rates!$O69,Calc_TUR_Env_1[[Rate type]:[Rate type]],OP_Rates!$C69),8))),0,1))</f>
        <v>0</v>
      </c>
      <c r="S69" s="224" cm="1">
        <f t="array" ref="S69">IF(S34="-","-",
IF(ROUND(S34,8)=
IF($P69="Network",
ROUND(INDEX(Calc_TUR_Net_1[[Ausnet]:[United Energy]],MATCH(1,(Calc_TUR_Net_1[[Customer type]:[Customer type]]=OP_Rates!$O69)*(Calc_TUR_Net_1[[Rate type]:[Rate type]]=OP_Rates!$C69),0),MATCH(OP_Rates!S$65,Calc_TUR_Net_1[[#Headers],[Ausnet]:[United Energy]],0)),8),
IF($P69="Environmental",
ROUND(SUMIFS(Calc_TUR_Env_1[Jemena],Calc_TUR_Env_1[[Customer type]:[Customer type]],OP_Rates!$O69,Calc_TUR_Env_1[[Rate type]:[Rate type]],OP_Rates!$C69),8))),0,1))</f>
        <v>0</v>
      </c>
      <c r="T69" s="224" cm="1">
        <f t="array" ref="T69">IF(T34="-","-",
IF(ROUND(T34,8)=
IF($P69="Network",
ROUND(INDEX(Calc_TUR_Net_1[[Ausnet]:[United Energy]],MATCH(1,(Calc_TUR_Net_1[[Customer type]:[Customer type]]=OP_Rates!$O69)*(Calc_TUR_Net_1[[Rate type]:[Rate type]]=OP_Rates!$C69),0),MATCH(OP_Rates!T$65,Calc_TUR_Net_1[[#Headers],[Ausnet]:[United Energy]],0)),8),
IF($P69="Environmental",
ROUND(SUMIFS(Calc_TUR_Env_1[Powercor],Calc_TUR_Env_1[[Customer type]:[Customer type]],OP_Rates!$O69,Calc_TUR_Env_1[[Rate type]:[Rate type]],OP_Rates!$C69),8))),0,1))</f>
        <v>0</v>
      </c>
      <c r="U69" s="224" cm="1">
        <f t="array" ref="U69">IF(U34="-","-",
IF(ROUND(U34,8)=
IF($P69="Network",
ROUND(INDEX(Calc_TUR_Net_1[[Ausnet]:[United Energy]],MATCH(1,(Calc_TUR_Net_1[[Customer type]:[Customer type]]=OP_Rates!$O69)*(Calc_TUR_Net_1[[Rate type]:[Rate type]]=OP_Rates!$C69),0),MATCH(OP_Rates!U$65,Calc_TUR_Net_1[[#Headers],[Ausnet]:[United Energy]],0)),8),
IF($P69="Environmental",
ROUND(SUMIFS(Calc_TUR_Env_1[United Energy],Calc_TUR_Env_1[[Customer type]:[Customer type]],OP_Rates!$O69,Calc_TUR_Env_1[[Rate type]:[Rate type]],OP_Rates!$C69),8))),0,1))</f>
        <v>0</v>
      </c>
    </row>
    <row r="70" spans="2:22" ht="15.75" outlineLevel="2" x14ac:dyDescent="0.25">
      <c r="C70" s="42" t="s">
        <v>70</v>
      </c>
      <c r="D70" s="42" t="s">
        <v>69</v>
      </c>
      <c r="E70" s="42" t="s">
        <v>66</v>
      </c>
      <c r="F70" s="18" t="s">
        <v>83</v>
      </c>
      <c r="G70" s="224" cm="1">
        <f t="array" ref="G70">IF(G35="-","-",
IF(ROUND(G35,8)=
IF($F70="Network",
IF($C70&lt;&gt;"Controlled load",
ROUND(INDEX(Calc_TUR_Net_1[[Ausnet]:[United Energy]],MATCH(1,(Calc_TUR_Net_1[[Customer type]:[Customer type]]=OP_Rates!$E70)*(Calc_TUR_Net_1[[Rate type]:[Rate type]]=OP_Rates!$C70),0),MATCH(OP_Rates!G$65,Calc_TUR_Net_1[[#Headers],[Ausnet]:[United Energy]],0)),8),
ROUND(INDEX(Calc_TUR_NetCL_1[[Ausnet]:[United Energy]],MATCH(OP_Rates!$E70,Calc_TUR_Net_1[[Customer type]:[Customer type]],0),MATCH(OP_Rates!G$65,Calc_TUR_Net_1[[#Headers],[Ausnet]:[United Energy]],0)),8)),
IF($F70="Environmental",
ROUND(SUMIFS(Calc_TUR_Env_1[Ausnet],Calc_TUR_Env_1[[Customer type]:[Customer type]],OP_Rates!$E70,Calc_TUR_Env_1[[Rate type]:[Rate type]],OP_Rates!$C70),8))),0,1))</f>
        <v>0</v>
      </c>
      <c r="H70" s="224" cm="1">
        <f t="array" ref="H70">IF(H35="-","-",
IF(ROUND(H35,8)=
IF($F70="Network",
IF($C70&lt;&gt;"Controlled load",
ROUND(INDEX(Calc_TUR_Net_1[[Ausnet]:[United Energy]],MATCH(1,(Calc_TUR_Net_1[[Customer type]:[Customer type]]=OP_Rates!$E70)*(Calc_TUR_Net_1[[Rate type]:[Rate type]]=OP_Rates!$C70),0),MATCH(OP_Rates!H$65,Calc_TUR_Net_1[[#Headers],[Ausnet]:[United Energy]],0)),8),
ROUND(INDEX(Calc_TUR_NetCL_1[[Ausnet]:[United Energy]],MATCH(OP_Rates!$E70,Calc_TUR_Net_1[[Customer type]:[Customer type]],0),MATCH(OP_Rates!H$65,Calc_TUR_Net_1[[#Headers],[Ausnet]:[United Energy]],0)),8)),
IF($F70="Environmental",
ROUND(SUMIFS(Calc_TUR_Env_1[Citipower],Calc_TUR_Env_1[[Customer type]:[Customer type]],OP_Rates!$E70,Calc_TUR_Env_1[[Rate type]:[Rate type]],OP_Rates!$C70),8))),0,1))</f>
        <v>0</v>
      </c>
      <c r="I70" s="224" cm="1">
        <f t="array" ref="I70">IF(I35="-","-",
IF(ROUND(I35,8)=
IF($F70="Network",
IF($C70&lt;&gt;"Controlled load",
ROUND(INDEX(Calc_TUR_Net_1[[Ausnet]:[United Energy]],MATCH(1,(Calc_TUR_Net_1[[Customer type]:[Customer type]]=OP_Rates!$E70)*(Calc_TUR_Net_1[[Rate type]:[Rate type]]=OP_Rates!$C70),0),MATCH(OP_Rates!I$65,Calc_TUR_Net_1[[#Headers],[Ausnet]:[United Energy]],0)),8),
ROUND(INDEX(Calc_TUR_NetCL_1[[Ausnet]:[United Energy]],MATCH(OP_Rates!$E70,Calc_TUR_Net_1[[Customer type]:[Customer type]],0),MATCH(OP_Rates!I$65,Calc_TUR_Net_1[[#Headers],[Ausnet]:[United Energy]],0)),8)),
IF($F70="Environmental",
ROUND(SUMIFS(Calc_TUR_Env_1[Jemena],Calc_TUR_Env_1[[Customer type]:[Customer type]],OP_Rates!$E70,Calc_TUR_Env_1[[Rate type]:[Rate type]],OP_Rates!$C70),8))),0,1))</f>
        <v>0</v>
      </c>
      <c r="J70" s="224" cm="1">
        <f t="array" ref="J70">IF(J35="-","-",
IF(ROUND(J35,8)=
IF($F70="Network",
IF($C70&lt;&gt;"Controlled load",
ROUND(INDEX(Calc_TUR_Net_1[[Ausnet]:[United Energy]],MATCH(1,(Calc_TUR_Net_1[[Customer type]:[Customer type]]=OP_Rates!$E70)*(Calc_TUR_Net_1[[Rate type]:[Rate type]]=OP_Rates!$C70),0),MATCH(OP_Rates!J$65,Calc_TUR_Net_1[[#Headers],[Ausnet]:[United Energy]],0)),8),
ROUND(INDEX(Calc_TUR_NetCL_1[[Ausnet]:[United Energy]],MATCH(OP_Rates!$E70,Calc_TUR_Net_1[[Customer type]:[Customer type]],0),MATCH(OP_Rates!J$65,Calc_TUR_Net_1[[#Headers],[Ausnet]:[United Energy]],0)),8)),
IF($F70="Environmental",
ROUND(SUMIFS(Calc_TUR_Env_1[Powercor],Calc_TUR_Env_1[[Customer type]:[Customer type]],OP_Rates!$E70,Calc_TUR_Env_1[[Rate type]:[Rate type]],OP_Rates!$C70),8))),0,1))</f>
        <v>0</v>
      </c>
      <c r="K70" s="224" cm="1">
        <f t="array" ref="K70">IF(K35="-","-",
IF(ROUND(K35,8)=
IF($F70="Network",
IF($C70&lt;&gt;"Controlled load",
ROUND(INDEX(Calc_TUR_Net_1[[Ausnet]:[United Energy]],MATCH(1,(Calc_TUR_Net_1[[Customer type]:[Customer type]]=OP_Rates!$E70)*(Calc_TUR_Net_1[[Rate type]:[Rate type]]=OP_Rates!$C70),0),MATCH(OP_Rates!K$65,Calc_TUR_Net_1[[#Headers],[Ausnet]:[United Energy]],0)),8),
ROUND(INDEX(Calc_TUR_NetCL_1[[Ausnet]:[United Energy]],MATCH(OP_Rates!$E70,Calc_TUR_Net_1[[Customer type]:[Customer type]],0),MATCH(OP_Rates!K$65,Calc_TUR_Net_1[[#Headers],[Ausnet]:[United Energy]],0)),8)),
IF($F70="Environmental",
ROUND(SUMIFS(Calc_TUR_Env_1[United Energy],Calc_TUR_Env_1[[Customer type]:[Customer type]],OP_Rates!$E70,Calc_TUR_Env_1[[Rate type]:[Rate type]],OP_Rates!$C70),8))),0,1))</f>
        <v>0</v>
      </c>
      <c r="M70" s="42" t="s">
        <v>70</v>
      </c>
      <c r="N70" s="42" t="s">
        <v>69</v>
      </c>
      <c r="O70" s="42" t="s">
        <v>67</v>
      </c>
      <c r="P70" s="18" t="s">
        <v>83</v>
      </c>
      <c r="Q70" s="224" cm="1">
        <f t="array" ref="Q70">IF(Q35="-","-",
IF(ROUND(Q35,8)=
IF($P70="Network",
ROUND(INDEX(Calc_TUR_Net_1[[Ausnet]:[United Energy]],MATCH(1,(Calc_TUR_Net_1[[Customer type]:[Customer type]]=OP_Rates!$O70)*(Calc_TUR_Net_1[[Rate type]:[Rate type]]=OP_Rates!$C70),0),MATCH(OP_Rates!Q$65,Calc_TUR_Net_1[[#Headers],[Ausnet]:[United Energy]],0)),8),
IF($P70="Environmental",
ROUND(SUMIFS(Calc_TUR_Env_1[Ausnet],Calc_TUR_Env_1[[Customer type]:[Customer type]],OP_Rates!$O70,Calc_TUR_Env_1[[Rate type]:[Rate type]],OP_Rates!$C70),8))),0,1))</f>
        <v>0</v>
      </c>
      <c r="R70" s="224" cm="1">
        <f t="array" ref="R70">IF(R35="-","-",
IF(ROUND(R35,8)=
IF($P70="Network",
ROUND(INDEX(Calc_TUR_Net_1[[Ausnet]:[United Energy]],MATCH(1,(Calc_TUR_Net_1[[Customer type]:[Customer type]]=OP_Rates!$O70)*(Calc_TUR_Net_1[[Rate type]:[Rate type]]=OP_Rates!$C70),0),MATCH(OP_Rates!R$65,Calc_TUR_Net_1[[#Headers],[Ausnet]:[United Energy]],0)),8),
IF($P70="Environmental",
ROUND(SUMIFS(Calc_TUR_Env_1[Citipower],Calc_TUR_Env_1[[Customer type]:[Customer type]],OP_Rates!$O70,Calc_TUR_Env_1[[Rate type]:[Rate type]],OP_Rates!$C70),8))),0,1))</f>
        <v>0</v>
      </c>
      <c r="S70" s="224" cm="1">
        <f t="array" ref="S70">IF(S35="-","-",
IF(ROUND(S35,8)=
IF($P70="Network",
ROUND(INDEX(Calc_TUR_Net_1[[Ausnet]:[United Energy]],MATCH(1,(Calc_TUR_Net_1[[Customer type]:[Customer type]]=OP_Rates!$O70)*(Calc_TUR_Net_1[[Rate type]:[Rate type]]=OP_Rates!$C70),0),MATCH(OP_Rates!S$65,Calc_TUR_Net_1[[#Headers],[Ausnet]:[United Energy]],0)),8),
IF($P70="Environmental",
ROUND(SUMIFS(Calc_TUR_Env_1[Jemena],Calc_TUR_Env_1[[Customer type]:[Customer type]],OP_Rates!$O70,Calc_TUR_Env_1[[Rate type]:[Rate type]],OP_Rates!$C70),8))),0,1))</f>
        <v>0</v>
      </c>
      <c r="T70" s="224" cm="1">
        <f t="array" ref="T70">IF(T35="-","-",
IF(ROUND(T35,8)=
IF($P70="Network",
ROUND(INDEX(Calc_TUR_Net_1[[Ausnet]:[United Energy]],MATCH(1,(Calc_TUR_Net_1[[Customer type]:[Customer type]]=OP_Rates!$O70)*(Calc_TUR_Net_1[[Rate type]:[Rate type]]=OP_Rates!$C70),0),MATCH(OP_Rates!T$65,Calc_TUR_Net_1[[#Headers],[Ausnet]:[United Energy]],0)),8),
IF($P70="Environmental",
ROUND(SUMIFS(Calc_TUR_Env_1[Powercor],Calc_TUR_Env_1[[Customer type]:[Customer type]],OP_Rates!$O70,Calc_TUR_Env_1[[Rate type]:[Rate type]],OP_Rates!$C70),8))),0,1))</f>
        <v>0</v>
      </c>
      <c r="U70" s="224" cm="1">
        <f t="array" ref="U70">IF(U35="-","-",
IF(ROUND(U35,8)=
IF($P70="Network",
ROUND(INDEX(Calc_TUR_Net_1[[Ausnet]:[United Energy]],MATCH(1,(Calc_TUR_Net_1[[Customer type]:[Customer type]]=OP_Rates!$O70)*(Calc_TUR_Net_1[[Rate type]:[Rate type]]=OP_Rates!$C70),0),MATCH(OP_Rates!U$65,Calc_TUR_Net_1[[#Headers],[Ausnet]:[United Energy]],0)),8),
IF($P70="Environmental",
ROUND(SUMIFS(Calc_TUR_Env_1[United Energy],Calc_TUR_Env_1[[Customer type]:[Customer type]],OP_Rates!$O70,Calc_TUR_Env_1[[Rate type]:[Rate type]],OP_Rates!$C70),8))),0,1))</f>
        <v>0</v>
      </c>
    </row>
    <row r="71" spans="2:22" ht="15.75" outlineLevel="2" x14ac:dyDescent="0.25">
      <c r="C71" s="42" t="s">
        <v>71</v>
      </c>
      <c r="D71" s="42" t="s">
        <v>69</v>
      </c>
      <c r="E71" s="42" t="s">
        <v>66</v>
      </c>
      <c r="F71" s="18" t="s">
        <v>83</v>
      </c>
      <c r="G71" s="224" cm="1">
        <f t="array" ref="G71">IF(G36="-","-",
IF(ROUND(G36,8)=
IF($F71="Network",
IF($C71&lt;&gt;"Controlled load",
ROUND(INDEX(Calc_TUR_Net_1[[Ausnet]:[United Energy]],MATCH(1,(Calc_TUR_Net_1[[Customer type]:[Customer type]]=OP_Rates!$E71)*(Calc_TUR_Net_1[[Rate type]:[Rate type]]=OP_Rates!$C71),0),MATCH(OP_Rates!G$65,Calc_TUR_Net_1[[#Headers],[Ausnet]:[United Energy]],0)),8),
ROUND(INDEX(Calc_TUR_NetCL_1[[Ausnet]:[United Energy]],MATCH(OP_Rates!$E71,Calc_TUR_Net_1[[Customer type]:[Customer type]],0),MATCH(OP_Rates!G$65,Calc_TUR_Net_1[[#Headers],[Ausnet]:[United Energy]],0)),8)),
IF($F71="Environmental",
ROUND(SUMIFS(Calc_TUR_Env_1[Ausnet],Calc_TUR_Env_1[[Customer type]:[Customer type]],OP_Rates!$E71,Calc_TUR_Env_1[[Rate type]:[Rate type]],OP_Rates!$C71),8))),0,1))</f>
        <v>0</v>
      </c>
      <c r="H71" s="224" cm="1">
        <f t="array" ref="H71">IF(H36="-","-",
IF(ROUND(H36,8)=
IF($F71="Network",
IF($C71&lt;&gt;"Controlled load",
ROUND(INDEX(Calc_TUR_Net_1[[Ausnet]:[United Energy]],MATCH(1,(Calc_TUR_Net_1[[Customer type]:[Customer type]]=OP_Rates!$E71)*(Calc_TUR_Net_1[[Rate type]:[Rate type]]=OP_Rates!$C71),0),MATCH(OP_Rates!H$65,Calc_TUR_Net_1[[#Headers],[Ausnet]:[United Energy]],0)),8),
ROUND(INDEX(Calc_TUR_NetCL_1[[Ausnet]:[United Energy]],MATCH(OP_Rates!$E71,Calc_TUR_Net_1[[Customer type]:[Customer type]],0),MATCH(OP_Rates!H$65,Calc_TUR_Net_1[[#Headers],[Ausnet]:[United Energy]],0)),8)),
IF($F71="Environmental",
ROUND(SUMIFS(Calc_TUR_Env_1[Citipower],Calc_TUR_Env_1[[Customer type]:[Customer type]],OP_Rates!$E71,Calc_TUR_Env_1[[Rate type]:[Rate type]],OP_Rates!$C71),8))),0,1))</f>
        <v>0</v>
      </c>
      <c r="I71" s="224" cm="1">
        <f t="array" ref="I71">IF(I36="-","-",
IF(ROUND(I36,8)=
IF($F71="Network",
IF($C71&lt;&gt;"Controlled load",
ROUND(INDEX(Calc_TUR_Net_1[[Ausnet]:[United Energy]],MATCH(1,(Calc_TUR_Net_1[[Customer type]:[Customer type]]=OP_Rates!$E71)*(Calc_TUR_Net_1[[Rate type]:[Rate type]]=OP_Rates!$C71),0),MATCH(OP_Rates!I$65,Calc_TUR_Net_1[[#Headers],[Ausnet]:[United Energy]],0)),8),
ROUND(INDEX(Calc_TUR_NetCL_1[[Ausnet]:[United Energy]],MATCH(OP_Rates!$E71,Calc_TUR_Net_1[[Customer type]:[Customer type]],0),MATCH(OP_Rates!I$65,Calc_TUR_Net_1[[#Headers],[Ausnet]:[United Energy]],0)),8)),
IF($F71="Environmental",
ROUND(SUMIFS(Calc_TUR_Env_1[Jemena],Calc_TUR_Env_1[[Customer type]:[Customer type]],OP_Rates!$E71,Calc_TUR_Env_1[[Rate type]:[Rate type]],OP_Rates!$C71),8))),0,1))</f>
        <v>0</v>
      </c>
      <c r="J71" s="224" cm="1">
        <f t="array" ref="J71">IF(J36="-","-",
IF(ROUND(J36,8)=
IF($F71="Network",
IF($C71&lt;&gt;"Controlled load",
ROUND(INDEX(Calc_TUR_Net_1[[Ausnet]:[United Energy]],MATCH(1,(Calc_TUR_Net_1[[Customer type]:[Customer type]]=OP_Rates!$E71)*(Calc_TUR_Net_1[[Rate type]:[Rate type]]=OP_Rates!$C71),0),MATCH(OP_Rates!J$65,Calc_TUR_Net_1[[#Headers],[Ausnet]:[United Energy]],0)),8),
ROUND(INDEX(Calc_TUR_NetCL_1[[Ausnet]:[United Energy]],MATCH(OP_Rates!$E71,Calc_TUR_Net_1[[Customer type]:[Customer type]],0),MATCH(OP_Rates!J$65,Calc_TUR_Net_1[[#Headers],[Ausnet]:[United Energy]],0)),8)),
IF($F71="Environmental",
ROUND(SUMIFS(Calc_TUR_Env_1[Powercor],Calc_TUR_Env_1[[Customer type]:[Customer type]],OP_Rates!$E71,Calc_TUR_Env_1[[Rate type]:[Rate type]],OP_Rates!$C71),8))),0,1))</f>
        <v>0</v>
      </c>
      <c r="K71" s="224" cm="1">
        <f t="array" ref="K71">IF(K36="-","-",
IF(ROUND(K36,8)=
IF($F71="Network",
IF($C71&lt;&gt;"Controlled load",
ROUND(INDEX(Calc_TUR_Net_1[[Ausnet]:[United Energy]],MATCH(1,(Calc_TUR_Net_1[[Customer type]:[Customer type]]=OP_Rates!$E71)*(Calc_TUR_Net_1[[Rate type]:[Rate type]]=OP_Rates!$C71),0),MATCH(OP_Rates!K$65,Calc_TUR_Net_1[[#Headers],[Ausnet]:[United Energy]],0)),8),
ROUND(INDEX(Calc_TUR_NetCL_1[[Ausnet]:[United Energy]],MATCH(OP_Rates!$E71,Calc_TUR_Net_1[[Customer type]:[Customer type]],0),MATCH(OP_Rates!K$65,Calc_TUR_Net_1[[#Headers],[Ausnet]:[United Energy]],0)),8)),
IF($F71="Environmental",
ROUND(SUMIFS(Calc_TUR_Env_1[United Energy],Calc_TUR_Env_1[[Customer type]:[Customer type]],OP_Rates!$E71,Calc_TUR_Env_1[[Rate type]:[Rate type]],OP_Rates!$C71),8))),0,1))</f>
        <v>0</v>
      </c>
      <c r="M71" s="42" t="s">
        <v>71</v>
      </c>
      <c r="N71" s="42" t="s">
        <v>69</v>
      </c>
      <c r="O71" s="42" t="s">
        <v>67</v>
      </c>
      <c r="P71" s="18" t="s">
        <v>83</v>
      </c>
      <c r="Q71" s="224" cm="1">
        <f t="array" ref="Q71">IF(Q36="-","-",
IF(ROUND(Q36,8)=
IF($P71="Network",
ROUND(INDEX(Calc_TUR_Net_1[[Ausnet]:[United Energy]],MATCH(1,(Calc_TUR_Net_1[[Customer type]:[Customer type]]=OP_Rates!$O71)*(Calc_TUR_Net_1[[Rate type]:[Rate type]]=OP_Rates!$C71),0),MATCH(OP_Rates!Q$65,Calc_TUR_Net_1[[#Headers],[Ausnet]:[United Energy]],0)),8),
IF($P71="Environmental",
ROUND(SUMIFS(Calc_TUR_Env_1[Ausnet],Calc_TUR_Env_1[[Customer type]:[Customer type]],OP_Rates!$O71,Calc_TUR_Env_1[[Rate type]:[Rate type]],OP_Rates!$C71),8))),0,1))</f>
        <v>0</v>
      </c>
      <c r="R71" s="224" cm="1">
        <f t="array" ref="R71">IF(R36="-","-",
IF(ROUND(R36,8)=
IF($P71="Network",
ROUND(INDEX(Calc_TUR_Net_1[[Ausnet]:[United Energy]],MATCH(1,(Calc_TUR_Net_1[[Customer type]:[Customer type]]=OP_Rates!$O71)*(Calc_TUR_Net_1[[Rate type]:[Rate type]]=OP_Rates!$C71),0),MATCH(OP_Rates!R$65,Calc_TUR_Net_1[[#Headers],[Ausnet]:[United Energy]],0)),8),
IF($P71="Environmental",
ROUND(SUMIFS(Calc_TUR_Env_1[Citipower],Calc_TUR_Env_1[[Customer type]:[Customer type]],OP_Rates!$O71,Calc_TUR_Env_1[[Rate type]:[Rate type]],OP_Rates!$C71),8))),0,1))</f>
        <v>0</v>
      </c>
      <c r="S71" s="224" cm="1">
        <f t="array" ref="S71">IF(S36="-","-",
IF(ROUND(S36,8)=
IF($P71="Network",
ROUND(INDEX(Calc_TUR_Net_1[[Ausnet]:[United Energy]],MATCH(1,(Calc_TUR_Net_1[[Customer type]:[Customer type]]=OP_Rates!$O71)*(Calc_TUR_Net_1[[Rate type]:[Rate type]]=OP_Rates!$C71),0),MATCH(OP_Rates!S$65,Calc_TUR_Net_1[[#Headers],[Ausnet]:[United Energy]],0)),8),
IF($P71="Environmental",
ROUND(SUMIFS(Calc_TUR_Env_1[Jemena],Calc_TUR_Env_1[[Customer type]:[Customer type]],OP_Rates!$O71,Calc_TUR_Env_1[[Rate type]:[Rate type]],OP_Rates!$C71),8))),0,1))</f>
        <v>0</v>
      </c>
      <c r="T71" s="224" cm="1">
        <f t="array" ref="T71">IF(T36="-","-",
IF(ROUND(T36,8)=
IF($P71="Network",
ROUND(INDEX(Calc_TUR_Net_1[[Ausnet]:[United Energy]],MATCH(1,(Calc_TUR_Net_1[[Customer type]:[Customer type]]=OP_Rates!$O71)*(Calc_TUR_Net_1[[Rate type]:[Rate type]]=OP_Rates!$C71),0),MATCH(OP_Rates!T$65,Calc_TUR_Net_1[[#Headers],[Ausnet]:[United Energy]],0)),8),
IF($P71="Environmental",
ROUND(SUMIFS(Calc_TUR_Env_1[Powercor],Calc_TUR_Env_1[[Customer type]:[Customer type]],OP_Rates!$O71,Calc_TUR_Env_1[[Rate type]:[Rate type]],OP_Rates!$C71),8))),0,1))</f>
        <v>0</v>
      </c>
      <c r="U71" s="224" cm="1">
        <f t="array" ref="U71">IF(U36="-","-",
IF(ROUND(U36,8)=
IF($P71="Network",
ROUND(INDEX(Calc_TUR_Net_1[[Ausnet]:[United Energy]],MATCH(1,(Calc_TUR_Net_1[[Customer type]:[Customer type]]=OP_Rates!$O71)*(Calc_TUR_Net_1[[Rate type]:[Rate type]]=OP_Rates!$C71),0),MATCH(OP_Rates!U$65,Calc_TUR_Net_1[[#Headers],[Ausnet]:[United Energy]],0)),8),
IF($P71="Environmental",
ROUND(SUMIFS(Calc_TUR_Env_1[United Energy],Calc_TUR_Env_1[[Customer type]:[Customer type]],OP_Rates!$O71,Calc_TUR_Env_1[[Rate type]:[Rate type]],OP_Rates!$C71),8))),0,1))</f>
        <v>0</v>
      </c>
    </row>
    <row r="72" spans="2:22" ht="15.75" outlineLevel="2" x14ac:dyDescent="0.25">
      <c r="C72" s="42" t="s">
        <v>73</v>
      </c>
      <c r="D72" s="42" t="s">
        <v>69</v>
      </c>
      <c r="E72" s="42" t="s">
        <v>66</v>
      </c>
      <c r="F72" s="18" t="s">
        <v>83</v>
      </c>
      <c r="G72" s="224" cm="1">
        <f t="array" ref="G72">IF(G37="-","-",
IF(ROUND(G37,8)=
IF($F72="Network",
IF($C72&lt;&gt;"Controlled load",
ROUND(INDEX(Calc_TUR_Net_1[[Ausnet]:[United Energy]],MATCH(1,(Calc_TUR_Net_1[[Customer type]:[Customer type]]=OP_Rates!$E72)*(Calc_TUR_Net_1[[Rate type]:[Rate type]]=OP_Rates!$C72),0),MATCH(OP_Rates!G$65,Calc_TUR_Net_1[[#Headers],[Ausnet]:[United Energy]],0)),8),
ROUND(INDEX(Calc_TUR_NetCL_1[[Ausnet]:[United Energy]],MATCH(OP_Rates!$E72,Calc_TUR_Net_1[[Customer type]:[Customer type]],0),MATCH(OP_Rates!G$65,Calc_TUR_Net_1[[#Headers],[Ausnet]:[United Energy]],0)),8)),
IF($F72="Environmental",
ROUND(SUMIFS(Calc_TUR_Env_1[Ausnet],Calc_TUR_Env_1[[Customer type]:[Customer type]],OP_Rates!$E72,Calc_TUR_Env_1[[Rate type]:[Rate type]],OP_Rates!$C72),8))),0,1))</f>
        <v>0</v>
      </c>
      <c r="H72" s="224" cm="1">
        <f t="array" ref="H72">IF(H37="-","-",
IF(ROUND(H37,8)=
IF($F72="Network",
IF($C72&lt;&gt;"Controlled load",
ROUND(INDEX(Calc_TUR_Net_1[[Ausnet]:[United Energy]],MATCH(1,(Calc_TUR_Net_1[[Customer type]:[Customer type]]=OP_Rates!$E72)*(Calc_TUR_Net_1[[Rate type]:[Rate type]]=OP_Rates!$C72),0),MATCH(OP_Rates!H$65,Calc_TUR_Net_1[[#Headers],[Ausnet]:[United Energy]],0)),8),
ROUND(INDEX(Calc_TUR_NetCL_1[[Ausnet]:[United Energy]],MATCH(OP_Rates!$E72,Calc_TUR_Net_1[[Customer type]:[Customer type]],0),MATCH(OP_Rates!H$65,Calc_TUR_Net_1[[#Headers],[Ausnet]:[United Energy]],0)),8)),
IF($F72="Environmental",
ROUND(SUMIFS(Calc_TUR_Env_1[Citipower],Calc_TUR_Env_1[[Customer type]:[Customer type]],OP_Rates!$E72,Calc_TUR_Env_1[[Rate type]:[Rate type]],OP_Rates!$C72),8))),0,1))</f>
        <v>0</v>
      </c>
      <c r="I72" s="224" cm="1">
        <f t="array" ref="I72">IF(I37="-","-",
IF(ROUND(I37,8)=
IF($F72="Network",
IF($C72&lt;&gt;"Controlled load",
ROUND(INDEX(Calc_TUR_Net_1[[Ausnet]:[United Energy]],MATCH(1,(Calc_TUR_Net_1[[Customer type]:[Customer type]]=OP_Rates!$E72)*(Calc_TUR_Net_1[[Rate type]:[Rate type]]=OP_Rates!$C72),0),MATCH(OP_Rates!I$65,Calc_TUR_Net_1[[#Headers],[Ausnet]:[United Energy]],0)),8),
ROUND(INDEX(Calc_TUR_NetCL_1[[Ausnet]:[United Energy]],MATCH(OP_Rates!$E72,Calc_TUR_Net_1[[Customer type]:[Customer type]],0),MATCH(OP_Rates!I$65,Calc_TUR_Net_1[[#Headers],[Ausnet]:[United Energy]],0)),8)),
IF($F72="Environmental",
ROUND(SUMIFS(Calc_TUR_Env_1[Jemena],Calc_TUR_Env_1[[Customer type]:[Customer type]],OP_Rates!$E72,Calc_TUR_Env_1[[Rate type]:[Rate type]],OP_Rates!$C72),8))),0,1))</f>
        <v>0</v>
      </c>
      <c r="J72" s="224" cm="1">
        <f t="array" ref="J72">IF(J37="-","-",
IF(ROUND(J37,8)=
IF($F72="Network",
IF($C72&lt;&gt;"Controlled load",
ROUND(INDEX(Calc_TUR_Net_1[[Ausnet]:[United Energy]],MATCH(1,(Calc_TUR_Net_1[[Customer type]:[Customer type]]=OP_Rates!$E72)*(Calc_TUR_Net_1[[Rate type]:[Rate type]]=OP_Rates!$C72),0),MATCH(OP_Rates!J$65,Calc_TUR_Net_1[[#Headers],[Ausnet]:[United Energy]],0)),8),
ROUND(INDEX(Calc_TUR_NetCL_1[[Ausnet]:[United Energy]],MATCH(OP_Rates!$E72,Calc_TUR_Net_1[[Customer type]:[Customer type]],0),MATCH(OP_Rates!J$65,Calc_TUR_Net_1[[#Headers],[Ausnet]:[United Energy]],0)),8)),
IF($F72="Environmental",
ROUND(SUMIFS(Calc_TUR_Env_1[Powercor],Calc_TUR_Env_1[[Customer type]:[Customer type]],OP_Rates!$E72,Calc_TUR_Env_1[[Rate type]:[Rate type]],OP_Rates!$C72),8))),0,1))</f>
        <v>0</v>
      </c>
      <c r="K72" s="224" cm="1">
        <f t="array" ref="K72">IF(K37="-","-",
IF(ROUND(K37,8)=
IF($F72="Network",
IF($C72&lt;&gt;"Controlled load",
ROUND(INDEX(Calc_TUR_Net_1[[Ausnet]:[United Energy]],MATCH(1,(Calc_TUR_Net_1[[Customer type]:[Customer type]]=OP_Rates!$E72)*(Calc_TUR_Net_1[[Rate type]:[Rate type]]=OP_Rates!$C72),0),MATCH(OP_Rates!K$65,Calc_TUR_Net_1[[#Headers],[Ausnet]:[United Energy]],0)),8),
ROUND(INDEX(Calc_TUR_NetCL_1[[Ausnet]:[United Energy]],MATCH(OP_Rates!$E72,Calc_TUR_Net_1[[Customer type]:[Customer type]],0),MATCH(OP_Rates!K$65,Calc_TUR_Net_1[[#Headers],[Ausnet]:[United Energy]],0)),8)),
IF($F72="Environmental",
ROUND(SUMIFS(Calc_TUR_Env_1[United Energy],Calc_TUR_Env_1[[Customer type]:[Customer type]],OP_Rates!$E72,Calc_TUR_Env_1[[Rate type]:[Rate type]],OP_Rates!$C72),8))),0,1))</f>
        <v>0</v>
      </c>
      <c r="M72" s="42" t="s">
        <v>73</v>
      </c>
      <c r="N72" s="42" t="s">
        <v>69</v>
      </c>
      <c r="O72" s="42" t="s">
        <v>67</v>
      </c>
      <c r="P72" s="18" t="s">
        <v>83</v>
      </c>
      <c r="Q72" s="224" cm="1">
        <f t="array" ref="Q72">IF(Q37="-","-",
IF(ROUND(Q37,8)=
IF($P72="Network",
ROUND(INDEX(Calc_TUR_Net_1[[Ausnet]:[United Energy]],MATCH(1,(Calc_TUR_Net_1[[Customer type]:[Customer type]]=OP_Rates!$O72)*(Calc_TUR_Net_1[[Rate type]:[Rate type]]=OP_Rates!$C72),0),MATCH(OP_Rates!Q$65,Calc_TUR_Net_1[[#Headers],[Ausnet]:[United Energy]],0)),8),
IF($P72="Environmental",
ROUND(SUMIFS(Calc_TUR_Env_1[Ausnet],Calc_TUR_Env_1[[Customer type]:[Customer type]],OP_Rates!$O72,Calc_TUR_Env_1[[Rate type]:[Rate type]],OP_Rates!$C72),8))),0,1))</f>
        <v>0</v>
      </c>
      <c r="R72" s="224" cm="1">
        <f t="array" ref="R72">IF(R37="-","-",
IF(ROUND(R37,8)=
IF($P72="Network",
ROUND(INDEX(Calc_TUR_Net_1[[Ausnet]:[United Energy]],MATCH(1,(Calc_TUR_Net_1[[Customer type]:[Customer type]]=OP_Rates!$O72)*(Calc_TUR_Net_1[[Rate type]:[Rate type]]=OP_Rates!$C72),0),MATCH(OP_Rates!R$65,Calc_TUR_Net_1[[#Headers],[Ausnet]:[United Energy]],0)),8),
IF($P72="Environmental",
ROUND(SUMIFS(Calc_TUR_Env_1[Citipower],Calc_TUR_Env_1[[Customer type]:[Customer type]],OP_Rates!$O72,Calc_TUR_Env_1[[Rate type]:[Rate type]],OP_Rates!$C72),8))),0,1))</f>
        <v>0</v>
      </c>
      <c r="S72" s="224" cm="1">
        <f t="array" ref="S72">IF(S37="-","-",
IF(ROUND(S37,8)=
IF($P72="Network",
ROUND(INDEX(Calc_TUR_Net_1[[Ausnet]:[United Energy]],MATCH(1,(Calc_TUR_Net_1[[Customer type]:[Customer type]]=OP_Rates!$O72)*(Calc_TUR_Net_1[[Rate type]:[Rate type]]=OP_Rates!$C72),0),MATCH(OP_Rates!S$65,Calc_TUR_Net_1[[#Headers],[Ausnet]:[United Energy]],0)),8),
IF($P72="Environmental",
ROUND(SUMIFS(Calc_TUR_Env_1[Jemena],Calc_TUR_Env_1[[Customer type]:[Customer type]],OP_Rates!$O72,Calc_TUR_Env_1[[Rate type]:[Rate type]],OP_Rates!$C72),8))),0,1))</f>
        <v>0</v>
      </c>
      <c r="T72" s="224" cm="1">
        <f t="array" ref="T72">IF(T37="-","-",
IF(ROUND(T37,8)=
IF($P72="Network",
ROUND(INDEX(Calc_TUR_Net_1[[Ausnet]:[United Energy]],MATCH(1,(Calc_TUR_Net_1[[Customer type]:[Customer type]]=OP_Rates!$O72)*(Calc_TUR_Net_1[[Rate type]:[Rate type]]=OP_Rates!$C72),0),MATCH(OP_Rates!T$65,Calc_TUR_Net_1[[#Headers],[Ausnet]:[United Energy]],0)),8),
IF($P72="Environmental",
ROUND(SUMIFS(Calc_TUR_Env_1[Powercor],Calc_TUR_Env_1[[Customer type]:[Customer type]],OP_Rates!$O72,Calc_TUR_Env_1[[Rate type]:[Rate type]],OP_Rates!$C72),8))),0,1))</f>
        <v>0</v>
      </c>
      <c r="U72" s="224" cm="1">
        <f t="array" ref="U72">IF(U37="-","-",
IF(ROUND(U37,8)=
IF($P72="Network",
ROUND(INDEX(Calc_TUR_Net_1[[Ausnet]:[United Energy]],MATCH(1,(Calc_TUR_Net_1[[Customer type]:[Customer type]]=OP_Rates!$O72)*(Calc_TUR_Net_1[[Rate type]:[Rate type]]=OP_Rates!$C72),0),MATCH(OP_Rates!U$65,Calc_TUR_Net_1[[#Headers],[Ausnet]:[United Energy]],0)),8),
IF($P72="Environmental",
ROUND(SUMIFS(Calc_TUR_Env_1[United Energy],Calc_TUR_Env_1[[Customer type]:[Customer type]],OP_Rates!$O72,Calc_TUR_Env_1[[Rate type]:[Rate type]],OP_Rates!$C72),8))),0,1))</f>
        <v>0</v>
      </c>
    </row>
    <row r="73" spans="2:22" ht="15.75" outlineLevel="2" x14ac:dyDescent="0.25">
      <c r="C73" s="42" t="s">
        <v>74</v>
      </c>
      <c r="D73" s="42" t="s">
        <v>69</v>
      </c>
      <c r="E73" s="42" t="s">
        <v>66</v>
      </c>
      <c r="F73" s="18" t="s">
        <v>83</v>
      </c>
      <c r="G73" s="224" cm="1">
        <f t="array" ref="G73">IF(G38="-","-",
IF(ROUND(G38,8)=
IF($F73="Network",
IF($C73&lt;&gt;"Controlled load",
ROUND(INDEX(Calc_TUR_Net_1[[Ausnet]:[United Energy]],MATCH(1,(Calc_TUR_Net_1[[Customer type]:[Customer type]]=OP_Rates!$E73)*(Calc_TUR_Net_1[[Rate type]:[Rate type]]=OP_Rates!$C73),0),MATCH(OP_Rates!G$65,Calc_TUR_Net_1[[#Headers],[Ausnet]:[United Energy]],0)),8),
ROUND(INDEX(Calc_TUR_NetCL_1[[Ausnet]:[United Energy]],MATCH(OP_Rates!$E73,Calc_TUR_Net_1[[Customer type]:[Customer type]],0),MATCH(OP_Rates!G$65,Calc_TUR_Net_1[[#Headers],[Ausnet]:[United Energy]],0)),8)),
IF($F73="Environmental",
ROUND(SUMIFS(Calc_TUR_Env_1[Ausnet],Calc_TUR_Env_1[[Customer type]:[Customer type]],OP_Rates!$E73,Calc_TUR_Env_1[[Rate type]:[Rate type]],OP_Rates!$C73),8))),0,1))</f>
        <v>0</v>
      </c>
      <c r="H73" s="224" cm="1">
        <f t="array" ref="H73">IF(H38="-","-",
IF(ROUND(H38,8)=
IF($F73="Network",
IF($C73&lt;&gt;"Controlled load",
ROUND(INDEX(Calc_TUR_Net_1[[Ausnet]:[United Energy]],MATCH(1,(Calc_TUR_Net_1[[Customer type]:[Customer type]]=OP_Rates!$E73)*(Calc_TUR_Net_1[[Rate type]:[Rate type]]=OP_Rates!$C73),0),MATCH(OP_Rates!H$65,Calc_TUR_Net_1[[#Headers],[Ausnet]:[United Energy]],0)),8),
ROUND(INDEX(Calc_TUR_NetCL_1[[Ausnet]:[United Energy]],MATCH(OP_Rates!$E73,Calc_TUR_Net_1[[Customer type]:[Customer type]],0),MATCH(OP_Rates!H$65,Calc_TUR_Net_1[[#Headers],[Ausnet]:[United Energy]],0)),8)),
IF($F73="Environmental",
ROUND(SUMIFS(Calc_TUR_Env_1[Citipower],Calc_TUR_Env_1[[Customer type]:[Customer type]],OP_Rates!$E73,Calc_TUR_Env_1[[Rate type]:[Rate type]],OP_Rates!$C73),8))),0,1))</f>
        <v>0</v>
      </c>
      <c r="I73" s="224" cm="1">
        <f t="array" ref="I73">IF(I38="-","-",
IF(ROUND(I38,8)=
IF($F73="Network",
IF($C73&lt;&gt;"Controlled load",
ROUND(INDEX(Calc_TUR_Net_1[[Ausnet]:[United Energy]],MATCH(1,(Calc_TUR_Net_1[[Customer type]:[Customer type]]=OP_Rates!$E73)*(Calc_TUR_Net_1[[Rate type]:[Rate type]]=OP_Rates!$C73),0),MATCH(OP_Rates!I$65,Calc_TUR_Net_1[[#Headers],[Ausnet]:[United Energy]],0)),8),
ROUND(INDEX(Calc_TUR_NetCL_1[[Ausnet]:[United Energy]],MATCH(OP_Rates!$E73,Calc_TUR_Net_1[[Customer type]:[Customer type]],0),MATCH(OP_Rates!I$65,Calc_TUR_Net_1[[#Headers],[Ausnet]:[United Energy]],0)),8)),
IF($F73="Environmental",
ROUND(SUMIFS(Calc_TUR_Env_1[Jemena],Calc_TUR_Env_1[[Customer type]:[Customer type]],OP_Rates!$E73,Calc_TUR_Env_1[[Rate type]:[Rate type]],OP_Rates!$C73),8))),0,1))</f>
        <v>0</v>
      </c>
      <c r="J73" s="224" cm="1">
        <f t="array" ref="J73">IF(J38="-","-",
IF(ROUND(J38,8)=
IF($F73="Network",
IF($C73&lt;&gt;"Controlled load",
ROUND(INDEX(Calc_TUR_Net_1[[Ausnet]:[United Energy]],MATCH(1,(Calc_TUR_Net_1[[Customer type]:[Customer type]]=OP_Rates!$E73)*(Calc_TUR_Net_1[[Rate type]:[Rate type]]=OP_Rates!$C73),0),MATCH(OP_Rates!J$65,Calc_TUR_Net_1[[#Headers],[Ausnet]:[United Energy]],0)),8),
ROUND(INDEX(Calc_TUR_NetCL_1[[Ausnet]:[United Energy]],MATCH(OP_Rates!$E73,Calc_TUR_Net_1[[Customer type]:[Customer type]],0),MATCH(OP_Rates!J$65,Calc_TUR_Net_1[[#Headers],[Ausnet]:[United Energy]],0)),8)),
IF($F73="Environmental",
ROUND(SUMIFS(Calc_TUR_Env_1[Powercor],Calc_TUR_Env_1[[Customer type]:[Customer type]],OP_Rates!$E73,Calc_TUR_Env_1[[Rate type]:[Rate type]],OP_Rates!$C73),8))),0,1))</f>
        <v>0</v>
      </c>
      <c r="K73" s="224" cm="1">
        <f t="array" ref="K73">IF(K38="-","-",
IF(ROUND(K38,8)=
IF($F73="Network",
IF($C73&lt;&gt;"Controlled load",
ROUND(INDEX(Calc_TUR_Net_1[[Ausnet]:[United Energy]],MATCH(1,(Calc_TUR_Net_1[[Customer type]:[Customer type]]=OP_Rates!$E73)*(Calc_TUR_Net_1[[Rate type]:[Rate type]]=OP_Rates!$C73),0),MATCH(OP_Rates!K$65,Calc_TUR_Net_1[[#Headers],[Ausnet]:[United Energy]],0)),8),
ROUND(INDEX(Calc_TUR_NetCL_1[[Ausnet]:[United Energy]],MATCH(OP_Rates!$E73,Calc_TUR_Net_1[[Customer type]:[Customer type]],0),MATCH(OP_Rates!K$65,Calc_TUR_Net_1[[#Headers],[Ausnet]:[United Energy]],0)),8)),
IF($F73="Environmental",
ROUND(SUMIFS(Calc_TUR_Env_1[United Energy],Calc_TUR_Env_1[[Customer type]:[Customer type]],OP_Rates!$E73,Calc_TUR_Env_1[[Rate type]:[Rate type]],OP_Rates!$C73),8))),0,1))</f>
        <v>0</v>
      </c>
      <c r="M73" s="42" t="s">
        <v>74</v>
      </c>
      <c r="N73" s="42" t="s">
        <v>69</v>
      </c>
      <c r="O73" s="42" t="s">
        <v>67</v>
      </c>
      <c r="P73" s="18" t="s">
        <v>83</v>
      </c>
      <c r="Q73" s="224" cm="1">
        <f t="array" ref="Q73">IF(Q38="-","-",
IF(ROUND(Q38,8)=
IF($P73="Network",
ROUND(INDEX(Calc_TUR_Net_1[[Ausnet]:[United Energy]],MATCH(1,(Calc_TUR_Net_1[[Customer type]:[Customer type]]=OP_Rates!$O73)*(Calc_TUR_Net_1[[Rate type]:[Rate type]]=OP_Rates!$C73),0),MATCH(OP_Rates!Q$65,Calc_TUR_Net_1[[#Headers],[Ausnet]:[United Energy]],0)),8),
IF($P73="Environmental",
ROUND(SUMIFS(Calc_TUR_Env_1[Ausnet],Calc_TUR_Env_1[[Customer type]:[Customer type]],OP_Rates!$O73,Calc_TUR_Env_1[[Rate type]:[Rate type]],OP_Rates!$C73),8))),0,1))</f>
        <v>0</v>
      </c>
      <c r="R73" s="224" cm="1">
        <f t="array" ref="R73">IF(R38="-","-",
IF(ROUND(R38,8)=
IF($P73="Network",
ROUND(INDEX(Calc_TUR_Net_1[[Ausnet]:[United Energy]],MATCH(1,(Calc_TUR_Net_1[[Customer type]:[Customer type]]=OP_Rates!$O73)*(Calc_TUR_Net_1[[Rate type]:[Rate type]]=OP_Rates!$C73),0),MATCH(OP_Rates!R$65,Calc_TUR_Net_1[[#Headers],[Ausnet]:[United Energy]],0)),8),
IF($P73="Environmental",
ROUND(SUMIFS(Calc_TUR_Env_1[Citipower],Calc_TUR_Env_1[[Customer type]:[Customer type]],OP_Rates!$O73,Calc_TUR_Env_1[[Rate type]:[Rate type]],OP_Rates!$C73),8))),0,1))</f>
        <v>0</v>
      </c>
      <c r="S73" s="224" cm="1">
        <f t="array" ref="S73">IF(S38="-","-",
IF(ROUND(S38,8)=
IF($P73="Network",
ROUND(INDEX(Calc_TUR_Net_1[[Ausnet]:[United Energy]],MATCH(1,(Calc_TUR_Net_1[[Customer type]:[Customer type]]=OP_Rates!$O73)*(Calc_TUR_Net_1[[Rate type]:[Rate type]]=OP_Rates!$C73),0),MATCH(OP_Rates!S$65,Calc_TUR_Net_1[[#Headers],[Ausnet]:[United Energy]],0)),8),
IF($P73="Environmental",
ROUND(SUMIFS(Calc_TUR_Env_1[Jemena],Calc_TUR_Env_1[[Customer type]:[Customer type]],OP_Rates!$O73,Calc_TUR_Env_1[[Rate type]:[Rate type]],OP_Rates!$C73),8))),0,1))</f>
        <v>0</v>
      </c>
      <c r="T73" s="224" cm="1">
        <f t="array" ref="T73">IF(T38="-","-",
IF(ROUND(T38,8)=
IF($P73="Network",
ROUND(INDEX(Calc_TUR_Net_1[[Ausnet]:[United Energy]],MATCH(1,(Calc_TUR_Net_1[[Customer type]:[Customer type]]=OP_Rates!$O73)*(Calc_TUR_Net_1[[Rate type]:[Rate type]]=OP_Rates!$C73),0),MATCH(OP_Rates!T$65,Calc_TUR_Net_1[[#Headers],[Ausnet]:[United Energy]],0)),8),
IF($P73="Environmental",
ROUND(SUMIFS(Calc_TUR_Env_1[Powercor],Calc_TUR_Env_1[[Customer type]:[Customer type]],OP_Rates!$O73,Calc_TUR_Env_1[[Rate type]:[Rate type]],OP_Rates!$C73),8))),0,1))</f>
        <v>0</v>
      </c>
      <c r="U73" s="224" cm="1">
        <f t="array" ref="U73">IF(U38="-","-",
IF(ROUND(U38,8)=
IF($P73="Network",
ROUND(INDEX(Calc_TUR_Net_1[[Ausnet]:[United Energy]],MATCH(1,(Calc_TUR_Net_1[[Customer type]:[Customer type]]=OP_Rates!$O73)*(Calc_TUR_Net_1[[Rate type]:[Rate type]]=OP_Rates!$C73),0),MATCH(OP_Rates!U$65,Calc_TUR_Net_1[[#Headers],[Ausnet]:[United Energy]],0)),8),
IF($P73="Environmental",
ROUND(SUMIFS(Calc_TUR_Env_1[United Energy],Calc_TUR_Env_1[[Customer type]:[Customer type]],OP_Rates!$O73,Calc_TUR_Env_1[[Rate type]:[Rate type]],OP_Rates!$C73),8))),0,1))</f>
        <v>0</v>
      </c>
    </row>
    <row r="74" spans="2:22" ht="15.75" outlineLevel="2" x14ac:dyDescent="0.25">
      <c r="C74" s="42" t="s">
        <v>75</v>
      </c>
      <c r="D74" s="42" t="s">
        <v>69</v>
      </c>
      <c r="E74" s="42" t="s">
        <v>66</v>
      </c>
      <c r="F74" s="18" t="s">
        <v>83</v>
      </c>
      <c r="G74" s="224" cm="1">
        <f t="array" ref="G74">IF(G39="-","-",
IF(ROUND(G39,8)=
IF($F74="Network",
IF($C74&lt;&gt;"Controlled load",
ROUND(INDEX(Calc_TUR_Net_1[[Ausnet]:[United Energy]],MATCH(1,(Calc_TUR_Net_1[[Customer type]:[Customer type]]=OP_Rates!$E74)*(Calc_TUR_Net_1[[Rate type]:[Rate type]]=OP_Rates!$C74),0),MATCH(OP_Rates!G$65,Calc_TUR_Net_1[[#Headers],[Ausnet]:[United Energy]],0)),8),
ROUND(INDEX(Calc_TUR_NetCL_1[[Ausnet]:[United Energy]],MATCH(OP_Rates!$E74,Calc_TUR_Net_1[[Customer type]:[Customer type]],0),MATCH(OP_Rates!G$65,Calc_TUR_Net_1[[#Headers],[Ausnet]:[United Energy]],0)),8)),
IF($F74="Environmental",
ROUND(SUMIFS(Calc_TUR_Env_1[Ausnet],Calc_TUR_Env_1[[Customer type]:[Customer type]],OP_Rates!$E74,Calc_TUR_Env_1[[Rate type]:[Rate type]],OP_Rates!$C74),8))),0,1))</f>
        <v>0</v>
      </c>
      <c r="H74" s="224" cm="1">
        <f t="array" ref="H74">IF(H39="-","-",
IF(ROUND(H39,8)=
IF($F74="Network",
IF($C74&lt;&gt;"Controlled load",
ROUND(INDEX(Calc_TUR_Net_1[[Ausnet]:[United Energy]],MATCH(1,(Calc_TUR_Net_1[[Customer type]:[Customer type]]=OP_Rates!$E74)*(Calc_TUR_Net_1[[Rate type]:[Rate type]]=OP_Rates!$C74),0),MATCH(OP_Rates!H$65,Calc_TUR_Net_1[[#Headers],[Ausnet]:[United Energy]],0)),8),
ROUND(INDEX(Calc_TUR_NetCL_1[[Ausnet]:[United Energy]],MATCH(OP_Rates!$E74,Calc_TUR_Net_1[[Customer type]:[Customer type]],0),MATCH(OP_Rates!H$65,Calc_TUR_Net_1[[#Headers],[Ausnet]:[United Energy]],0)),8)),
IF($F74="Environmental",
ROUND(SUMIFS(Calc_TUR_Env_1[Citipower],Calc_TUR_Env_1[[Customer type]:[Customer type]],OP_Rates!$E74,Calc_TUR_Env_1[[Rate type]:[Rate type]],OP_Rates!$C74),8))),0,1))</f>
        <v>0</v>
      </c>
      <c r="I74" s="224" cm="1">
        <f t="array" ref="I74">IF(I39="-","-",
IF(ROUND(I39,8)=
IF($F74="Network",
IF($C74&lt;&gt;"Controlled load",
ROUND(INDEX(Calc_TUR_Net_1[[Ausnet]:[United Energy]],MATCH(1,(Calc_TUR_Net_1[[Customer type]:[Customer type]]=OP_Rates!$E74)*(Calc_TUR_Net_1[[Rate type]:[Rate type]]=OP_Rates!$C74),0),MATCH(OP_Rates!I$65,Calc_TUR_Net_1[[#Headers],[Ausnet]:[United Energy]],0)),8),
ROUND(INDEX(Calc_TUR_NetCL_1[[Ausnet]:[United Energy]],MATCH(OP_Rates!$E74,Calc_TUR_Net_1[[Customer type]:[Customer type]],0),MATCH(OP_Rates!I$65,Calc_TUR_Net_1[[#Headers],[Ausnet]:[United Energy]],0)),8)),
IF($F74="Environmental",
ROUND(SUMIFS(Calc_TUR_Env_1[Jemena],Calc_TUR_Env_1[[Customer type]:[Customer type]],OP_Rates!$E74,Calc_TUR_Env_1[[Rate type]:[Rate type]],OP_Rates!$C74),8))),0,1))</f>
        <v>0</v>
      </c>
      <c r="J74" s="224" cm="1">
        <f t="array" ref="J74">IF(J39="-","-",
IF(ROUND(J39,8)=
IF($F74="Network",
IF($C74&lt;&gt;"Controlled load",
ROUND(INDEX(Calc_TUR_Net_1[[Ausnet]:[United Energy]],MATCH(1,(Calc_TUR_Net_1[[Customer type]:[Customer type]]=OP_Rates!$E74)*(Calc_TUR_Net_1[[Rate type]:[Rate type]]=OP_Rates!$C74),0),MATCH(OP_Rates!J$65,Calc_TUR_Net_1[[#Headers],[Ausnet]:[United Energy]],0)),8),
ROUND(INDEX(Calc_TUR_NetCL_1[[Ausnet]:[United Energy]],MATCH(OP_Rates!$E74,Calc_TUR_Net_1[[Customer type]:[Customer type]],0),MATCH(OP_Rates!J$65,Calc_TUR_Net_1[[#Headers],[Ausnet]:[United Energy]],0)),8)),
IF($F74="Environmental",
ROUND(SUMIFS(Calc_TUR_Env_1[Powercor],Calc_TUR_Env_1[[Customer type]:[Customer type]],OP_Rates!$E74,Calc_TUR_Env_1[[Rate type]:[Rate type]],OP_Rates!$C74),8))),0,1))</f>
        <v>0</v>
      </c>
      <c r="K74" s="224" cm="1">
        <f t="array" ref="K74">IF(K39="-","-",
IF(ROUND(K39,8)=
IF($F74="Network",
IF($C74&lt;&gt;"Controlled load",
ROUND(INDEX(Calc_TUR_Net_1[[Ausnet]:[United Energy]],MATCH(1,(Calc_TUR_Net_1[[Customer type]:[Customer type]]=OP_Rates!$E74)*(Calc_TUR_Net_1[[Rate type]:[Rate type]]=OP_Rates!$C74),0),MATCH(OP_Rates!K$65,Calc_TUR_Net_1[[#Headers],[Ausnet]:[United Energy]],0)),8),
ROUND(INDEX(Calc_TUR_NetCL_1[[Ausnet]:[United Energy]],MATCH(OP_Rates!$E74,Calc_TUR_Net_1[[Customer type]:[Customer type]],0),MATCH(OP_Rates!K$65,Calc_TUR_Net_1[[#Headers],[Ausnet]:[United Energy]],0)),8)),
IF($F74="Environmental",
ROUND(SUMIFS(Calc_TUR_Env_1[United Energy],Calc_TUR_Env_1[[Customer type]:[Customer type]],OP_Rates!$E74,Calc_TUR_Env_1[[Rate type]:[Rate type]],OP_Rates!$C74),8))),0,1))</f>
        <v>0</v>
      </c>
      <c r="M74" s="42"/>
      <c r="N74" s="42"/>
      <c r="O74" s="42"/>
      <c r="P74" s="18"/>
      <c r="Q74" s="224"/>
      <c r="R74" s="224"/>
      <c r="S74" s="224"/>
      <c r="T74" s="224"/>
      <c r="U74" s="224"/>
    </row>
    <row r="75" spans="2:22" outlineLevel="1" x14ac:dyDescent="0.25">
      <c r="G75" s="62"/>
      <c r="H75" s="62"/>
      <c r="I75" s="62"/>
      <c r="J75" s="62"/>
      <c r="K75" s="62"/>
      <c r="Q75" s="62"/>
      <c r="R75" s="62"/>
      <c r="S75" s="62"/>
      <c r="T75" s="62"/>
      <c r="U75" s="62"/>
    </row>
    <row r="78" spans="2:22" ht="16.5" thickBot="1" x14ac:dyDescent="0.3">
      <c r="B78" s="161">
        <f ca="1">MAX(B$3:B77)+0.01</f>
        <v>14.02</v>
      </c>
      <c r="C78" s="200" t="str">
        <f>"VDO rates - "&amp;Calc_Rates!$D$266</f>
        <v>VDO rates - VDO 2023-24 - Final</v>
      </c>
      <c r="D78" s="200"/>
      <c r="E78" s="200"/>
      <c r="F78" s="200"/>
      <c r="G78" s="200"/>
      <c r="H78" s="200"/>
      <c r="I78" s="200"/>
      <c r="J78" s="200"/>
      <c r="K78" s="200"/>
      <c r="L78" s="200"/>
      <c r="M78" s="200"/>
      <c r="N78" s="200"/>
      <c r="O78" s="200"/>
      <c r="P78" s="200"/>
      <c r="Q78" s="200"/>
      <c r="R78" s="200"/>
      <c r="S78" s="200"/>
      <c r="T78" s="200"/>
      <c r="U78" s="200"/>
      <c r="V78" s="200"/>
    </row>
    <row r="79" spans="2:22" hidden="1" outlineLevel="1" x14ac:dyDescent="0.25"/>
    <row r="80" spans="2:22" ht="15.75" hidden="1" outlineLevel="1" x14ac:dyDescent="0.25">
      <c r="C80" s="24" t="s">
        <v>53</v>
      </c>
      <c r="M80" s="24" t="s">
        <v>54</v>
      </c>
      <c r="P80" s="62"/>
      <c r="Q80" s="62"/>
      <c r="R80" s="62"/>
    </row>
    <row r="81" spans="1:24" ht="15.75" hidden="1" outlineLevel="1" x14ac:dyDescent="0.25">
      <c r="C81" s="94" t="s">
        <v>55</v>
      </c>
      <c r="D81" s="94" t="s">
        <v>56</v>
      </c>
      <c r="E81" s="94" t="s">
        <v>57</v>
      </c>
      <c r="F81" s="94" t="s">
        <v>58</v>
      </c>
      <c r="G81" s="43" t="s">
        <v>59</v>
      </c>
      <c r="H81" s="43" t="s">
        <v>60</v>
      </c>
      <c r="I81" s="43" t="s">
        <v>61</v>
      </c>
      <c r="J81" s="43" t="s">
        <v>62</v>
      </c>
      <c r="K81" s="43" t="s">
        <v>63</v>
      </c>
      <c r="M81" s="94" t="s">
        <v>55</v>
      </c>
      <c r="N81" s="94" t="s">
        <v>56</v>
      </c>
      <c r="O81" s="94" t="s">
        <v>57</v>
      </c>
      <c r="P81" s="94" t="s">
        <v>58</v>
      </c>
      <c r="Q81" s="43" t="s">
        <v>59</v>
      </c>
      <c r="R81" s="43" t="s">
        <v>60</v>
      </c>
      <c r="S81" s="43" t="s">
        <v>61</v>
      </c>
      <c r="T81" s="43" t="s">
        <v>62</v>
      </c>
      <c r="U81" s="43" t="s">
        <v>63</v>
      </c>
    </row>
    <row r="82" spans="1:24" hidden="1" outlineLevel="1" x14ac:dyDescent="0.25">
      <c r="C82" s="18" t="s">
        <v>64</v>
      </c>
      <c r="D82" s="18" t="s">
        <v>65</v>
      </c>
      <c r="E82" s="18" t="s">
        <v>66</v>
      </c>
      <c r="F82" s="18" t="s">
        <v>58</v>
      </c>
      <c r="G82" s="217" cm="1">
        <f t="array" ref="G82">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1.3250999999999999</v>
      </c>
      <c r="H82" s="217" cm="1">
        <f t="array" ref="H82">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1.1525000000000001</v>
      </c>
      <c r="I82" s="217" cm="1">
        <f t="array" ref="I82">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1.1437999999999999</v>
      </c>
      <c r="J82" s="217" cm="1">
        <f t="array" ref="J82">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1.3002</v>
      </c>
      <c r="K82" s="217" cm="1">
        <f t="array" ref="K82">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1.0813999999999999</v>
      </c>
      <c r="M82" s="18" t="s">
        <v>64</v>
      </c>
      <c r="N82" s="18" t="s">
        <v>65</v>
      </c>
      <c r="O82" s="18" t="s">
        <v>67</v>
      </c>
      <c r="P82" s="18" t="s">
        <v>58</v>
      </c>
      <c r="Q82" s="217" cm="1">
        <f t="array" ref="Q82">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1.3250999999999999</v>
      </c>
      <c r="R82" s="217" cm="1">
        <f t="array" ref="R82">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1.3433999999999999</v>
      </c>
      <c r="S82" s="217" cm="1">
        <f t="array" ref="S82">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1.3057000000000001</v>
      </c>
      <c r="T82" s="217" cm="1">
        <f t="array" ref="T82">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1.4275</v>
      </c>
      <c r="U82" s="217" cm="1">
        <f t="array" ref="U82">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1.2404999999999999</v>
      </c>
    </row>
    <row r="83" spans="1:24" hidden="1" outlineLevel="1" x14ac:dyDescent="0.25">
      <c r="C83" s="18" t="s">
        <v>68</v>
      </c>
      <c r="D83" s="18" t="s">
        <v>69</v>
      </c>
      <c r="E83" s="18" t="s">
        <v>66</v>
      </c>
      <c r="F83" s="18" t="s">
        <v>58</v>
      </c>
      <c r="G83" s="217" cm="1">
        <f t="array" ref="G83">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0.3851</v>
      </c>
      <c r="H83" s="217" cm="1">
        <f t="array" ref="H83">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3" s="217" cm="1">
        <f t="array" ref="I83">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3" s="217" cm="1">
        <f t="array" ref="J83">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3" s="217" cm="1">
        <f t="array" ref="K83">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3" s="18" t="s">
        <v>68</v>
      </c>
      <c r="N83" s="18" t="s">
        <v>69</v>
      </c>
      <c r="O83" s="18" t="s">
        <v>67</v>
      </c>
      <c r="P83" s="18" t="s">
        <v>58</v>
      </c>
      <c r="Q83" s="217" cm="1">
        <f t="array" ref="Q83">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0.41549999999999998</v>
      </c>
      <c r="R83" s="217" cm="1">
        <f t="array" ref="R83">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3" s="217" cm="1">
        <f t="array" ref="S83">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3" s="217" cm="1">
        <f t="array" ref="T83">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3" s="217" cm="1">
        <f t="array" ref="U83">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4" spans="1:24" ht="15.75" hidden="1" outlineLevel="1" x14ac:dyDescent="0.25">
      <c r="A84" s="1" t="s">
        <v>35</v>
      </c>
      <c r="C84" s="18" t="s">
        <v>70</v>
      </c>
      <c r="D84" s="18" t="s">
        <v>69</v>
      </c>
      <c r="E84" s="18" t="s">
        <v>66</v>
      </c>
      <c r="F84" s="18" t="s">
        <v>58</v>
      </c>
      <c r="G84" s="217" cm="1">
        <f t="array" ref="G84">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0.39550000000000002</v>
      </c>
      <c r="H84" s="217" cm="1">
        <f t="array" ref="H84">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4" s="217" cm="1">
        <f t="array" ref="I84">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4" s="217" cm="1">
        <f t="array" ref="J84">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4" s="217" cm="1">
        <f t="array" ref="K84">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4" s="18" t="s">
        <v>70</v>
      </c>
      <c r="N84" s="18" t="s">
        <v>69</v>
      </c>
      <c r="O84" s="18" t="s">
        <v>67</v>
      </c>
      <c r="P84" s="18" t="s">
        <v>58</v>
      </c>
      <c r="Q84" s="217" cm="1">
        <f t="array" ref="Q84">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0.43809999999999999</v>
      </c>
      <c r="R84" s="217" cm="1">
        <f t="array" ref="R84">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4" s="217" cm="1">
        <f t="array" ref="S84">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4" s="217" cm="1">
        <f t="array" ref="T84">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4" s="217" cm="1">
        <f t="array" ref="U84">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5" spans="1:24" ht="15.75" hidden="1" outlineLevel="1" x14ac:dyDescent="0.25">
      <c r="A85" s="1"/>
      <c r="C85" s="18" t="s">
        <v>71</v>
      </c>
      <c r="D85" s="18" t="s">
        <v>69</v>
      </c>
      <c r="E85" s="18" t="s">
        <v>66</v>
      </c>
      <c r="F85" s="18" t="s">
        <v>58</v>
      </c>
      <c r="G85" s="217" cm="1">
        <f t="array" ref="G85">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v>
      </c>
      <c r="H85" s="217" cm="1">
        <f t="array" ref="H85">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0.28710000000000002</v>
      </c>
      <c r="I85" s="217" cm="1">
        <f t="array" ref="I85">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0.32519999999999999</v>
      </c>
      <c r="J85" s="217" cm="1">
        <f t="array" ref="J85">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0.32919999999999999</v>
      </c>
      <c r="K85" s="217" cm="1">
        <f t="array" ref="K85">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0.31740000000000002</v>
      </c>
      <c r="M85" s="18" t="s">
        <v>71</v>
      </c>
      <c r="N85" s="18" t="s">
        <v>69</v>
      </c>
      <c r="O85" s="18" t="s">
        <v>67</v>
      </c>
      <c r="P85" s="18" t="s">
        <v>58</v>
      </c>
      <c r="Q85" s="217" cm="1">
        <f t="array" ref="Q85">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85" s="217" cm="1">
        <f t="array" ref="R85">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0.28339999999999999</v>
      </c>
      <c r="S85" s="217" cm="1">
        <f t="array" ref="S85">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0.33069999999999999</v>
      </c>
      <c r="T85" s="217" cm="1">
        <f t="array" ref="T85">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0.30620000000000003</v>
      </c>
      <c r="U85" s="217" cm="1">
        <f t="array" ref="U85">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0.30280000000000001</v>
      </c>
    </row>
    <row r="86" spans="1:24" ht="15.75" hidden="1" outlineLevel="1" x14ac:dyDescent="0.25">
      <c r="A86" s="1"/>
      <c r="C86" s="18" t="s">
        <v>72</v>
      </c>
      <c r="D86" s="18" t="s">
        <v>65</v>
      </c>
      <c r="E86" s="18" t="s">
        <v>66</v>
      </c>
      <c r="F86" s="18" t="s">
        <v>58</v>
      </c>
      <c r="G86" s="217" cm="1">
        <f t="array" ref="G86">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1.3250999999999999</v>
      </c>
      <c r="H86" s="217" cm="1">
        <f t="array" ref="H86">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1.1525000000000001</v>
      </c>
      <c r="I86" s="217" cm="1">
        <f t="array" ref="I86">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1.1437999999999999</v>
      </c>
      <c r="J86" s="217" cm="1">
        <f t="array" ref="J86">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1.3002</v>
      </c>
      <c r="K86" s="217" cm="1">
        <f t="array" ref="K86">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1.0813999999999999</v>
      </c>
      <c r="M86" s="18" t="s">
        <v>72</v>
      </c>
      <c r="N86" s="18" t="s">
        <v>65</v>
      </c>
      <c r="O86" s="18" t="s">
        <v>67</v>
      </c>
      <c r="P86" s="18" t="s">
        <v>58</v>
      </c>
      <c r="Q86" s="217" cm="1">
        <f t="array" ref="Q86">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1.3250999999999999</v>
      </c>
      <c r="R86" s="217" cm="1">
        <f t="array" ref="R86">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1.3433999999999999</v>
      </c>
      <c r="S86" s="217" cm="1">
        <f t="array" ref="S86">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1.68</v>
      </c>
      <c r="T86" s="217" cm="1">
        <f t="array" ref="T86">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1.4275</v>
      </c>
      <c r="U86" s="217" cm="1">
        <f t="array" ref="U86">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1.2404999999999999</v>
      </c>
    </row>
    <row r="87" spans="1:24" ht="15.75" hidden="1" outlineLevel="1" x14ac:dyDescent="0.25">
      <c r="A87" s="1"/>
      <c r="C87" s="18" t="s">
        <v>73</v>
      </c>
      <c r="D87" s="18" t="s">
        <v>69</v>
      </c>
      <c r="E87" s="18" t="s">
        <v>66</v>
      </c>
      <c r="F87" s="18" t="s">
        <v>58</v>
      </c>
      <c r="G87" s="217" cm="1">
        <f t="array" ref="G87">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0.49320000000000003</v>
      </c>
      <c r="H87" s="217" cm="1">
        <f t="array" ref="H87">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0.37190000000000001</v>
      </c>
      <c r="I87" s="217" cm="1">
        <f t="array" ref="I87">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0.39250000000000002</v>
      </c>
      <c r="J87" s="217" cm="1">
        <f t="array" ref="J87">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0.42649999999999999</v>
      </c>
      <c r="K87" s="217" cm="1">
        <f t="array" ref="K87">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0.41199999999999998</v>
      </c>
      <c r="M87" s="18" t="s">
        <v>73</v>
      </c>
      <c r="N87" s="18" t="s">
        <v>69</v>
      </c>
      <c r="O87" s="18" t="s">
        <v>67</v>
      </c>
      <c r="P87" s="18" t="s">
        <v>58</v>
      </c>
      <c r="Q87" s="217" cm="1">
        <f t="array" ref="Q87">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0.42680000000000001</v>
      </c>
      <c r="R87" s="217" cm="1">
        <f t="array" ref="R87">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0.34279999999999999</v>
      </c>
      <c r="S87" s="217" cm="1">
        <f t="array" ref="S87">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0.36870000000000003</v>
      </c>
      <c r="T87" s="217" cm="1">
        <f t="array" ref="T87">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0.39500000000000002</v>
      </c>
      <c r="U87" s="217" cm="1">
        <f t="array" ref="U87">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0.37280000000000002</v>
      </c>
    </row>
    <row r="88" spans="1:24" ht="15.75" hidden="1" outlineLevel="1" x14ac:dyDescent="0.25">
      <c r="A88" s="1"/>
      <c r="C88" s="18" t="s">
        <v>74</v>
      </c>
      <c r="D88" s="18" t="s">
        <v>69</v>
      </c>
      <c r="E88" s="18" t="s">
        <v>66</v>
      </c>
      <c r="F88" s="18" t="s">
        <v>58</v>
      </c>
      <c r="G88" s="217" cm="1">
        <f t="array" ref="G88">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0.28689999999999999</v>
      </c>
      <c r="H88" s="217" cm="1">
        <f t="array" ref="H88">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0.24410000000000001</v>
      </c>
      <c r="I88" s="217" cm="1">
        <f t="array" ref="I88">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0.27100000000000002</v>
      </c>
      <c r="J88" s="217" cm="1">
        <f t="array" ref="J88">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0.2772</v>
      </c>
      <c r="K88" s="217" cm="1">
        <f t="array" ref="K88">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0.26650000000000001</v>
      </c>
      <c r="M88" s="18" t="s">
        <v>74</v>
      </c>
      <c r="N88" s="18" t="s">
        <v>69</v>
      </c>
      <c r="O88" s="18" t="s">
        <v>67</v>
      </c>
      <c r="P88" s="18" t="s">
        <v>58</v>
      </c>
      <c r="Q88" s="217" cm="1">
        <f t="array" ref="Q88">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0.25369999999999998</v>
      </c>
      <c r="R88" s="217" cm="1">
        <f t="array" ref="R88">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0.223</v>
      </c>
      <c r="S88" s="217" cm="1">
        <f t="array" ref="S88">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0.23080000000000001</v>
      </c>
      <c r="T88" s="217" cm="1">
        <f t="array" ref="T88">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0.23730000000000001</v>
      </c>
      <c r="U88" s="217" cm="1">
        <f t="array" ref="U88">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0.2336</v>
      </c>
    </row>
    <row r="89" spans="1:24" ht="15.75" hidden="1" outlineLevel="1" x14ac:dyDescent="0.25">
      <c r="A89" s="1"/>
      <c r="C89" s="18" t="s">
        <v>75</v>
      </c>
      <c r="D89" s="18" t="s">
        <v>69</v>
      </c>
      <c r="E89" s="18" t="s">
        <v>66</v>
      </c>
      <c r="F89" s="18" t="s">
        <v>58</v>
      </c>
      <c r="G89" s="217" cm="1">
        <f t="array" ref="G89">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0.28689999999999999</v>
      </c>
      <c r="H89" s="217" cm="1">
        <f t="array" ref="H89">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0.2271</v>
      </c>
      <c r="I89" s="217" cm="1">
        <f t="array" ref="I89">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0.26390000000000002</v>
      </c>
      <c r="J89" s="217" cm="1">
        <f t="array" ref="J89">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0.25590000000000002</v>
      </c>
      <c r="K89" s="217" cm="1">
        <f t="array" ref="K89">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0.24660000000000001</v>
      </c>
      <c r="M89" s="33"/>
      <c r="N89" s="33"/>
      <c r="O89" s="18"/>
      <c r="P89" s="42" t="s">
        <v>58</v>
      </c>
      <c r="Q89" s="217" cm="1">
        <f t="array" ref="Q89">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89" s="217" cm="1">
        <f t="array" ref="R89">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9" s="217" cm="1">
        <f t="array" ref="S89">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9" s="217" cm="1">
        <f t="array" ref="T89">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9" s="217" cm="1">
        <f t="array" ref="U89">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90" spans="1:24" ht="15.75" hidden="1" outlineLevel="1" x14ac:dyDescent="0.25">
      <c r="A90" s="1"/>
    </row>
    <row r="91" spans="1:24" ht="15.75" hidden="1" outlineLevel="1" x14ac:dyDescent="0.25">
      <c r="A91" s="1"/>
      <c r="C91" s="24" t="s">
        <v>76</v>
      </c>
      <c r="H91" s="62"/>
      <c r="M91" s="24" t="s">
        <v>77</v>
      </c>
      <c r="R91" s="62"/>
      <c r="X91" s="56"/>
    </row>
    <row r="92" spans="1:24" ht="15.75" hidden="1" outlineLevel="2" x14ac:dyDescent="0.25">
      <c r="A92" s="1"/>
      <c r="C92" s="225" t="s">
        <v>55</v>
      </c>
      <c r="D92" s="225" t="s">
        <v>56</v>
      </c>
      <c r="E92" s="225" t="s">
        <v>57</v>
      </c>
      <c r="F92" s="32" t="s">
        <v>58</v>
      </c>
      <c r="G92" s="43" t="s">
        <v>59</v>
      </c>
      <c r="H92" s="43" t="s">
        <v>60</v>
      </c>
      <c r="I92" s="43" t="s">
        <v>61</v>
      </c>
      <c r="J92" s="43" t="s">
        <v>62</v>
      </c>
      <c r="K92" s="219" t="s">
        <v>63</v>
      </c>
      <c r="M92" s="225" t="s">
        <v>55</v>
      </c>
      <c r="N92" s="225" t="s">
        <v>56</v>
      </c>
      <c r="O92" s="225" t="s">
        <v>57</v>
      </c>
      <c r="P92" s="32" t="s">
        <v>58</v>
      </c>
      <c r="Q92" s="43" t="s">
        <v>59</v>
      </c>
      <c r="R92" s="43" t="s">
        <v>60</v>
      </c>
      <c r="S92" s="43" t="s">
        <v>61</v>
      </c>
      <c r="T92" s="43" t="s">
        <v>62</v>
      </c>
      <c r="U92" s="219" t="s">
        <v>63</v>
      </c>
    </row>
    <row r="93" spans="1:24" ht="15.75" hidden="1" outlineLevel="2" x14ac:dyDescent="0.25">
      <c r="A93" s="1"/>
      <c r="C93" s="18" t="s">
        <v>64</v>
      </c>
      <c r="D93" s="18" t="s">
        <v>65</v>
      </c>
      <c r="E93" s="18" t="s">
        <v>66</v>
      </c>
      <c r="F93" s="18" t="s">
        <v>58</v>
      </c>
      <c r="G93" s="220">
        <f>IF(SUMIFS(Calc_Rates!G$278:G$308,Calc_Rates!$C$278:$C$308,OP_Rates!$C93,Calc_Rates!$F$278:$F$308,OP_Rates!$E93)=0,"-",SUMIFS(Calc_Rates!G$278:G$308,Calc_Rates!$C$278:$C$308,OP_Rates!$C93,Calc_Rates!$F$278:$F$308,OP_Rates!$E93))</f>
        <v>1.325062480625995</v>
      </c>
      <c r="H93" s="220">
        <f>IF(SUMIFS(Calc_Rates!H$278:H$308,Calc_Rates!$C$278:$C$308,OP_Rates!$C93,Calc_Rates!$F$278:$F$308,OP_Rates!$E93)=0,"-",SUMIFS(Calc_Rates!H$278:H$308,Calc_Rates!$C$278:$C$308,OP_Rates!$C93,Calc_Rates!$F$278:$F$308,OP_Rates!$E93))</f>
        <v>1.1524695196540524</v>
      </c>
      <c r="I93" s="220">
        <f>IF(SUMIFS(Calc_Rates!I$278:I$308,Calc_Rates!$C$278:$C$308,OP_Rates!$C93,Calc_Rates!$F$278:$F$308,OP_Rates!$E93)=0,"-",SUMIFS(Calc_Rates!I$278:I$308,Calc_Rates!$C$278:$C$308,OP_Rates!$C93,Calc_Rates!$F$278:$F$308,OP_Rates!$E93))</f>
        <v>1.1438046408406388</v>
      </c>
      <c r="J93" s="220">
        <f>IF(SUMIFS(Calc_Rates!J$278:J$308,Calc_Rates!$C$278:$C$308,OP_Rates!$C93,Calc_Rates!$F$278:$F$308,OP_Rates!$E93)=0,"-",SUMIFS(Calc_Rates!J$278:J$308,Calc_Rates!$C$278:$C$308,OP_Rates!$C93,Calc_Rates!$F$278:$F$308,OP_Rates!$E93))</f>
        <v>1.3001579443005118</v>
      </c>
      <c r="K93" s="220">
        <f>IF(SUMIFS(Calc_Rates!K$278:K$308,Calc_Rates!$C$278:$C$308,OP_Rates!$C93,Calc_Rates!$F$278:$F$308,OP_Rates!$E93)=0,"-",SUMIFS(Calc_Rates!K$278:K$308,Calc_Rates!$C$278:$C$308,OP_Rates!$C93,Calc_Rates!$F$278:$F$308,OP_Rates!$E93))</f>
        <v>1.0813510101548778</v>
      </c>
      <c r="M93" s="18" t="s">
        <v>64</v>
      </c>
      <c r="N93" s="18" t="s">
        <v>65</v>
      </c>
      <c r="O93" s="18" t="s">
        <v>67</v>
      </c>
      <c r="P93" s="18" t="s">
        <v>58</v>
      </c>
      <c r="Q93" s="220">
        <f>IF(SUMIFS(Calc_Rates!G$278:G$308,Calc_Rates!$C$278:$C$308,OP_Rates!$M93,Calc_Rates!$F$278:$F$308,OP_Rates!$O93)=0,"-",SUMIFS(Calc_Rates!G$278:G$308,Calc_Rates!$C$278:$C$308,OP_Rates!$M93,Calc_Rates!$F$278:$F$308,OP_Rates!$O93))</f>
        <v>1.325062480625995</v>
      </c>
      <c r="R93" s="220">
        <f>IF(SUMIFS(Calc_Rates!H$278:H$308,Calc_Rates!$C$278:$C$308,OP_Rates!$M93,Calc_Rates!$F$278:$F$308,OP_Rates!$O93)=0,"-",SUMIFS(Calc_Rates!H$278:H$308,Calc_Rates!$C$278:$C$308,OP_Rates!$M93,Calc_Rates!$F$278:$F$308,OP_Rates!$O93))</f>
        <v>1.3434365596540525</v>
      </c>
      <c r="S93" s="220">
        <f>IF(SUMIFS(Calc_Rates!I$278:I$308,Calc_Rates!$C$278:$C$308,OP_Rates!$M93,Calc_Rates!$F$278:$F$308,OP_Rates!$O93)=0,"-",SUMIFS(Calc_Rates!I$278:I$308,Calc_Rates!$C$278:$C$308,OP_Rates!$M93,Calc_Rates!$F$278:$F$308,OP_Rates!$O93))</f>
        <v>1.305701847398016</v>
      </c>
      <c r="T93" s="220">
        <f>IF(SUMIFS(Calc_Rates!J$278:J$308,Calc_Rates!$C$278:$C$308,OP_Rates!$M93,Calc_Rates!$F$278:$F$308,OP_Rates!$O93)=0,"-",SUMIFS(Calc_Rates!J$278:J$308,Calc_Rates!$C$278:$C$308,OP_Rates!$M93,Calc_Rates!$F$278:$F$308,OP_Rates!$O93))</f>
        <v>1.427469304300512</v>
      </c>
      <c r="U93" s="220">
        <f>IF(SUMIFS(Calc_Rates!K$278:K$308,Calc_Rates!$C$278:$C$308,OP_Rates!$M93,Calc_Rates!$F$278:$F$308,OP_Rates!$O93)=0,"-",SUMIFS(Calc_Rates!K$278:K$308,Calc_Rates!$C$278:$C$308,OP_Rates!$M93,Calc_Rates!$F$278:$F$308,OP_Rates!$O93))</f>
        <v>1.2404902101548778</v>
      </c>
    </row>
    <row r="94" spans="1:24" ht="15.75" hidden="1" outlineLevel="2" x14ac:dyDescent="0.25">
      <c r="A94" s="1"/>
      <c r="C94" s="18" t="s">
        <v>68</v>
      </c>
      <c r="D94" s="18" t="s">
        <v>69</v>
      </c>
      <c r="E94" s="18" t="s">
        <v>66</v>
      </c>
      <c r="F94" s="18" t="s">
        <v>58</v>
      </c>
      <c r="G94" s="220">
        <f>IF(SUMIFS(Calc_Rates!G$322:G$400,Calc_Rates!$C$322:$C$400,OP_Rates!$C94&amp;" charge",Calc_Rates!$F$322:$F$400,OP_Rates!$E94)=0,"-",SUMIFS(Calc_Rates!G$322:G$400,Calc_Rates!$C$322:$C$400,OP_Rates!$C94&amp;" charge",Calc_Rates!$F$322:$F$400,OP_Rates!$E94))</f>
        <v>0.38657823556645299</v>
      </c>
      <c r="H94" s="220" t="str">
        <f>IF(SUMIFS(Calc_Rates!H$322:H$400,Calc_Rates!$C$322:$C$400,OP_Rates!$C94&amp;" charge",Calc_Rates!$F$322:$F$400,OP_Rates!$E94)=0,"-",SUMIFS(Calc_Rates!H$322:H$400,Calc_Rates!$C$322:$C$400,OP_Rates!$C94&amp;" charge",Calc_Rates!$F$322:$F$400,OP_Rates!$E94))</f>
        <v>-</v>
      </c>
      <c r="I94" s="220" t="str">
        <f>IF(SUMIFS(Calc_Rates!I$322:I$400,Calc_Rates!$C$322:$C$400,OP_Rates!$C94&amp;" charge",Calc_Rates!$F$322:$F$400,OP_Rates!$E94)=0,"-",SUMIFS(Calc_Rates!I$322:I$400,Calc_Rates!$C$322:$C$400,OP_Rates!$C94&amp;" charge",Calc_Rates!$F$322:$F$400,OP_Rates!$E94))</f>
        <v>-</v>
      </c>
      <c r="J94" s="220" t="str">
        <f>IF(SUMIFS(Calc_Rates!J$322:J$400,Calc_Rates!$C$322:$C$400,OP_Rates!$C94&amp;" charge",Calc_Rates!$F$322:$F$400,OP_Rates!$E94)=0,"-",SUMIFS(Calc_Rates!J$322:J$400,Calc_Rates!$C$322:$C$400,OP_Rates!$C94&amp;" charge",Calc_Rates!$F$322:$F$400,OP_Rates!$E94))</f>
        <v>-</v>
      </c>
      <c r="K94" s="220" t="str">
        <f>IF(SUMIFS(Calc_Rates!K$322:K$400,Calc_Rates!$C$322:$C$400,OP_Rates!$C94&amp;" charge",Calc_Rates!$F$322:$F$400,OP_Rates!$E94)=0,"-",SUMIFS(Calc_Rates!K$322:K$400,Calc_Rates!$C$322:$C$400,OP_Rates!$C94&amp;" charge",Calc_Rates!$F$322:$F$400,OP_Rates!$E94))</f>
        <v>-</v>
      </c>
      <c r="M94" s="18" t="s">
        <v>68</v>
      </c>
      <c r="N94" s="18" t="s">
        <v>69</v>
      </c>
      <c r="O94" s="18" t="s">
        <v>67</v>
      </c>
      <c r="P94" s="18" t="s">
        <v>58</v>
      </c>
      <c r="Q94" s="220">
        <f>IF(SUMIFS(Calc_Rates!G$322:G$400,Calc_Rates!$C$322:$C$400,OP_Rates!$M94&amp;" charge",Calc_Rates!$F$322:$F$400,OP_Rates!$O94)=0,"-",SUMIFS(Calc_Rates!G$322:G$400,Calc_Rates!$C$322:$C$400,OP_Rates!$M94&amp;" charge",Calc_Rates!$F$322:$F$400,OP_Rates!$O94))</f>
        <v>0.41691269268373082</v>
      </c>
      <c r="R94" s="220" t="str">
        <f>IF(SUMIFS(Calc_Rates!H$322:H$400,Calc_Rates!$C$322:$C$400,OP_Rates!$M94&amp;" charge",Calc_Rates!$F$322:$F$400,OP_Rates!$O94)=0,"-",SUMIFS(Calc_Rates!H$322:H$400,Calc_Rates!$C$322:$C$400,OP_Rates!$M94&amp;" charge",Calc_Rates!$F$322:$F$400,OP_Rates!$O94))</f>
        <v>-</v>
      </c>
      <c r="S94" s="220" t="str">
        <f>IF(SUMIFS(Calc_Rates!I$322:I$400,Calc_Rates!$C$322:$C$400,OP_Rates!$M94&amp;" charge",Calc_Rates!$F$322:$F$400,OP_Rates!$O94)=0,"-",SUMIFS(Calc_Rates!I$322:I$400,Calc_Rates!$C$322:$C$400,OP_Rates!$M94&amp;" charge",Calc_Rates!$F$322:$F$400,OP_Rates!$O94))</f>
        <v>-</v>
      </c>
      <c r="T94" s="220" t="str">
        <f>IF(SUMIFS(Calc_Rates!J$322:J$400,Calc_Rates!$C$322:$C$400,OP_Rates!$M94&amp;" charge",Calc_Rates!$F$322:$F$400,OP_Rates!$O94)=0,"-",SUMIFS(Calc_Rates!J$322:J$400,Calc_Rates!$C$322:$C$400,OP_Rates!$M94&amp;" charge",Calc_Rates!$F$322:$F$400,OP_Rates!$O94))</f>
        <v>-</v>
      </c>
      <c r="U94" s="220" t="str">
        <f>IF(SUMIFS(Calc_Rates!K$322:K$400,Calc_Rates!$C$322:$C$400,OP_Rates!$M94&amp;" charge",Calc_Rates!$F$322:$F$400,OP_Rates!$O94)=0,"-",SUMIFS(Calc_Rates!K$322:K$400,Calc_Rates!$C$322:$C$400,OP_Rates!$M94&amp;" charge",Calc_Rates!$F$322:$F$400,OP_Rates!$O94))</f>
        <v>-</v>
      </c>
    </row>
    <row r="95" spans="1:24" ht="15.75" hidden="1" outlineLevel="2" x14ac:dyDescent="0.25">
      <c r="A95" s="1"/>
      <c r="C95" s="18" t="s">
        <v>70</v>
      </c>
      <c r="D95" s="18" t="s">
        <v>69</v>
      </c>
      <c r="E95" s="18" t="s">
        <v>66</v>
      </c>
      <c r="F95" s="18" t="s">
        <v>58</v>
      </c>
      <c r="G95" s="220">
        <f>IF(SUMIFS(Calc_Rates!G$322:G$400,Calc_Rates!$C$322:$C$400,OP_Rates!$C95&amp;" charge",Calc_Rates!$F$322:$F$400,OP_Rates!$E95)=0,"-",SUMIFS(Calc_Rates!G$322:G$400,Calc_Rates!$C$322:$C$400,OP_Rates!$C95&amp;" charge",Calc_Rates!$F$322:$F$400,OP_Rates!$E95))</f>
        <v>0.39692799921917177</v>
      </c>
      <c r="H95" s="220" t="str">
        <f>IF(SUMIFS(Calc_Rates!H$322:H$400,Calc_Rates!$C$322:$C$400,OP_Rates!$C95&amp;" charge",Calc_Rates!$F$322:$F$400,OP_Rates!$E95)=0,"-",SUMIFS(Calc_Rates!H$322:H$400,Calc_Rates!$C$322:$C$400,OP_Rates!$C95&amp;" charge",Calc_Rates!$F$322:$F$400,OP_Rates!$E95))</f>
        <v>-</v>
      </c>
      <c r="I95" s="220" t="str">
        <f>IF(SUMIFS(Calc_Rates!I$322:I$400,Calc_Rates!$C$322:$C$400,OP_Rates!$C95&amp;" charge",Calc_Rates!$F$322:$F$400,OP_Rates!$E95)=0,"-",SUMIFS(Calc_Rates!I$322:I$400,Calc_Rates!$C$322:$C$400,OP_Rates!$C95&amp;" charge",Calc_Rates!$F$322:$F$400,OP_Rates!$E95))</f>
        <v>-</v>
      </c>
      <c r="J95" s="220" t="str">
        <f>IF(SUMIFS(Calc_Rates!J$322:J$400,Calc_Rates!$C$322:$C$400,OP_Rates!$C95&amp;" charge",Calc_Rates!$F$322:$F$400,OP_Rates!$E95)=0,"-",SUMIFS(Calc_Rates!J$322:J$400,Calc_Rates!$C$322:$C$400,OP_Rates!$C95&amp;" charge",Calc_Rates!$F$322:$F$400,OP_Rates!$E95))</f>
        <v>-</v>
      </c>
      <c r="K95" s="220" t="str">
        <f>IF(SUMIFS(Calc_Rates!K$322:K$400,Calc_Rates!$C$322:$C$400,OP_Rates!$C95&amp;" charge",Calc_Rates!$F$322:$F$400,OP_Rates!$E95)=0,"-",SUMIFS(Calc_Rates!K$322:K$400,Calc_Rates!$C$322:$C$400,OP_Rates!$C95&amp;" charge",Calc_Rates!$F$322:$F$400,OP_Rates!$E95))</f>
        <v>-</v>
      </c>
      <c r="M95" s="18" t="s">
        <v>70</v>
      </c>
      <c r="N95" s="18" t="s">
        <v>69</v>
      </c>
      <c r="O95" s="18" t="s">
        <v>67</v>
      </c>
      <c r="P95" s="18" t="s">
        <v>58</v>
      </c>
      <c r="Q95" s="220">
        <f>IF(SUMIFS(Calc_Rates!G$322:G$400,Calc_Rates!$C$322:$C$400,OP_Rates!$M95&amp;" charge",Calc_Rates!$F$322:$F$400,OP_Rates!$O95)=0,"-",SUMIFS(Calc_Rates!G$322:G$400,Calc_Rates!$C$322:$C$400,OP_Rates!$M95&amp;" charge",Calc_Rates!$F$322:$F$400,OP_Rates!$O95))</f>
        <v>0.4395923127307314</v>
      </c>
      <c r="R95" s="220" t="str">
        <f>IF(SUMIFS(Calc_Rates!H$322:H$400,Calc_Rates!$C$322:$C$400,OP_Rates!$M95&amp;" charge",Calc_Rates!$F$322:$F$400,OP_Rates!$O95)=0,"-",SUMIFS(Calc_Rates!H$322:H$400,Calc_Rates!$C$322:$C$400,OP_Rates!$M95&amp;" charge",Calc_Rates!$F$322:$F$400,OP_Rates!$O95))</f>
        <v>-</v>
      </c>
      <c r="S95" s="220" t="str">
        <f>IF(SUMIFS(Calc_Rates!I$322:I$400,Calc_Rates!$C$322:$C$400,OP_Rates!$M95&amp;" charge",Calc_Rates!$F$322:$F$400,OP_Rates!$O95)=0,"-",SUMIFS(Calc_Rates!I$322:I$400,Calc_Rates!$C$322:$C$400,OP_Rates!$M95&amp;" charge",Calc_Rates!$F$322:$F$400,OP_Rates!$O95))</f>
        <v>-</v>
      </c>
      <c r="T95" s="220" t="str">
        <f>IF(SUMIFS(Calc_Rates!J$322:J$400,Calc_Rates!$C$322:$C$400,OP_Rates!$M95&amp;" charge",Calc_Rates!$F$322:$F$400,OP_Rates!$O95)=0,"-",SUMIFS(Calc_Rates!J$322:J$400,Calc_Rates!$C$322:$C$400,OP_Rates!$M95&amp;" charge",Calc_Rates!$F$322:$F$400,OP_Rates!$O95))</f>
        <v>-</v>
      </c>
      <c r="U95" s="220" t="str">
        <f>IF(SUMIFS(Calc_Rates!K$322:K$400,Calc_Rates!$C$322:$C$400,OP_Rates!$M95&amp;" charge",Calc_Rates!$F$322:$F$400,OP_Rates!$O95)=0,"-",SUMIFS(Calc_Rates!K$322:K$400,Calc_Rates!$C$322:$C$400,OP_Rates!$M95&amp;" charge",Calc_Rates!$F$322:$F$400,OP_Rates!$O95))</f>
        <v>-</v>
      </c>
    </row>
    <row r="96" spans="1:24" hidden="1" outlineLevel="2" x14ac:dyDescent="0.25">
      <c r="C96" s="18" t="s">
        <v>71</v>
      </c>
      <c r="D96" s="18" t="s">
        <v>69</v>
      </c>
      <c r="E96" s="18" t="s">
        <v>66</v>
      </c>
      <c r="F96" s="18" t="s">
        <v>58</v>
      </c>
      <c r="G96" s="220" t="str">
        <f>IF(SUMIFS(Calc_Rates!G$322:G$400,Calc_Rates!$C$322:$C$400,OP_Rates!$C96&amp;" charge",Calc_Rates!$F$322:$F$400,OP_Rates!$E96)=0,"-",SUMIFS(Calc_Rates!G$322:G$400,Calc_Rates!$C$322:$C$400,OP_Rates!$C96&amp;" charge",Calc_Rates!$F$322:$F$400,OP_Rates!$E96))</f>
        <v>-</v>
      </c>
      <c r="H96" s="220">
        <f>IF(SUMIFS(Calc_Rates!H$322:H$400,Calc_Rates!$C$322:$C$400,OP_Rates!$C96&amp;" charge",Calc_Rates!$F$322:$F$400,OP_Rates!$E96)=0,"-",SUMIFS(Calc_Rates!H$322:H$400,Calc_Rates!$C$322:$C$400,OP_Rates!$C96&amp;" charge",Calc_Rates!$F$322:$F$400,OP_Rates!$E96))</f>
        <v>0.28845811455258646</v>
      </c>
      <c r="I96" s="220">
        <f>IF(SUMIFS(Calc_Rates!I$322:I$400,Calc_Rates!$C$322:$C$400,OP_Rates!$C96&amp;" charge",Calc_Rates!$F$322:$F$400,OP_Rates!$E96)=0,"-",SUMIFS(Calc_Rates!I$322:I$400,Calc_Rates!$C$322:$C$400,OP_Rates!$C96&amp;" charge",Calc_Rates!$F$322:$F$400,OP_Rates!$E96))</f>
        <v>0.32661849935995851</v>
      </c>
      <c r="J96" s="220">
        <f>IF(SUMIFS(Calc_Rates!J$322:J$400,Calc_Rates!$C$322:$C$400,OP_Rates!$C96&amp;" charge",Calc_Rates!$F$322:$F$400,OP_Rates!$E96)=0,"-",SUMIFS(Calc_Rates!J$322:J$400,Calc_Rates!$C$322:$C$400,OP_Rates!$C96&amp;" charge",Calc_Rates!$F$322:$F$400,OP_Rates!$E96))</f>
        <v>0.33065780817640628</v>
      </c>
      <c r="K96" s="220">
        <f>IF(SUMIFS(Calc_Rates!K$322:K$400,Calc_Rates!$C$322:$C$400,OP_Rates!$C96&amp;" charge",Calc_Rates!$F$322:$F$400,OP_Rates!$E96)=0,"-",SUMIFS(Calc_Rates!K$322:K$400,Calc_Rates!$C$322:$C$400,OP_Rates!$C96&amp;" charge",Calc_Rates!$F$322:$F$400,OP_Rates!$E96))</f>
        <v>0.318811294983181</v>
      </c>
      <c r="M96" s="18" t="s">
        <v>71</v>
      </c>
      <c r="N96" s="18" t="s">
        <v>69</v>
      </c>
      <c r="O96" s="18" t="s">
        <v>67</v>
      </c>
      <c r="P96" s="18" t="s">
        <v>58</v>
      </c>
      <c r="Q96" s="220" t="str">
        <f>IF(SUMIFS(Calc_Rates!G$322:G$400,Calc_Rates!$C$322:$C$400,OP_Rates!$M96&amp;" charge",Calc_Rates!$F$322:$F$400,OP_Rates!$O96)=0,"-",SUMIFS(Calc_Rates!G$322:G$400,Calc_Rates!$C$322:$C$400,OP_Rates!$M96&amp;" charge",Calc_Rates!$F$322:$F$400,OP_Rates!$O96))</f>
        <v>-</v>
      </c>
      <c r="R96" s="220">
        <f>IF(SUMIFS(Calc_Rates!H$322:H$400,Calc_Rates!$C$322:$C$400,OP_Rates!$M96&amp;" charge",Calc_Rates!$F$322:$F$400,OP_Rates!$O96)=0,"-",SUMIFS(Calc_Rates!H$322:H$400,Calc_Rates!$C$322:$C$400,OP_Rates!$M96&amp;" charge",Calc_Rates!$F$322:$F$400,OP_Rates!$O96))</f>
        <v>0.28475573576841606</v>
      </c>
      <c r="S96" s="220">
        <f>IF(SUMIFS(Calc_Rates!I$322:I$400,Calc_Rates!$C$322:$C$400,OP_Rates!$M96&amp;" charge",Calc_Rates!$F$322:$F$400,OP_Rates!$O96)=0,"-",SUMIFS(Calc_Rates!I$322:I$400,Calc_Rates!$C$322:$C$400,OP_Rates!$M96&amp;" charge",Calc_Rates!$F$322:$F$400,OP_Rates!$O96))</f>
        <v>0.33213936394300336</v>
      </c>
      <c r="T96" s="220">
        <f>IF(SUMIFS(Calc_Rates!J$322:J$400,Calc_Rates!$C$322:$C$400,OP_Rates!$M96&amp;" charge",Calc_Rates!$F$322:$F$400,OP_Rates!$O96)=0,"-",SUMIFS(Calc_Rates!J$322:J$400,Calc_Rates!$C$322:$C$400,OP_Rates!$M96&amp;" charge",Calc_Rates!$F$322:$F$400,OP_Rates!$O96))</f>
        <v>0.3075991809598615</v>
      </c>
      <c r="U96" s="220">
        <f>IF(SUMIFS(Calc_Rates!K$322:K$400,Calc_Rates!$C$322:$C$400,OP_Rates!$M96&amp;" charge",Calc_Rates!$F$322:$F$400,OP_Rates!$O96)=0,"-",SUMIFS(Calc_Rates!K$322:K$400,Calc_Rates!$C$322:$C$400,OP_Rates!$M96&amp;" charge",Calc_Rates!$F$322:$F$400,OP_Rates!$O96))</f>
        <v>0.30424774089870804</v>
      </c>
    </row>
    <row r="97" spans="3:23" hidden="1" outlineLevel="2" x14ac:dyDescent="0.25">
      <c r="C97" s="18" t="s">
        <v>72</v>
      </c>
      <c r="D97" s="18" t="s">
        <v>65</v>
      </c>
      <c r="E97" s="18" t="s">
        <v>66</v>
      </c>
      <c r="F97" s="18" t="s">
        <v>58</v>
      </c>
      <c r="G97" s="220">
        <f>IF(SUMIFS(Calc_Rates!G$278:G$308,Calc_Rates!$C$278:$C$308,OP_Rates!$C97,Calc_Rates!$F$278:$F$308,OP_Rates!$E97)=0,"-",SUMIFS(Calc_Rates!G$278:G$308,Calc_Rates!$C$278:$C$308,OP_Rates!$C97,Calc_Rates!$F$278:$F$308,OP_Rates!$E97))</f>
        <v>1.325062480625995</v>
      </c>
      <c r="H97" s="220">
        <f>IF(SUMIFS(Calc_Rates!H$278:H$308,Calc_Rates!$C$278:$C$308,OP_Rates!$C97,Calc_Rates!$F$278:$F$308,OP_Rates!$E97)=0,"-",SUMIFS(Calc_Rates!H$278:H$308,Calc_Rates!$C$278:$C$308,OP_Rates!$C97,Calc_Rates!$F$278:$F$308,OP_Rates!$E97))</f>
        <v>1.1524695196540524</v>
      </c>
      <c r="I97" s="220">
        <f>IF(SUMIFS(Calc_Rates!I$278:I$308,Calc_Rates!$C$278:$C$308,OP_Rates!$C97,Calc_Rates!$F$278:$F$308,OP_Rates!$E97)=0,"-",SUMIFS(Calc_Rates!I$278:I$308,Calc_Rates!$C$278:$C$308,OP_Rates!$C97,Calc_Rates!$F$278:$F$308,OP_Rates!$E97))</f>
        <v>1.1438046408406388</v>
      </c>
      <c r="J97" s="220">
        <f>IF(SUMIFS(Calc_Rates!J$278:J$308,Calc_Rates!$C$278:$C$308,OP_Rates!$C97,Calc_Rates!$F$278:$F$308,OP_Rates!$E97)=0,"-",SUMIFS(Calc_Rates!J$278:J$308,Calc_Rates!$C$278:$C$308,OP_Rates!$C97,Calc_Rates!$F$278:$F$308,OP_Rates!$E97))</f>
        <v>1.3001579443005118</v>
      </c>
      <c r="K97" s="220">
        <f>IF(SUMIFS(Calc_Rates!K$278:K$308,Calc_Rates!$C$278:$C$308,OP_Rates!$C97,Calc_Rates!$F$278:$F$308,OP_Rates!$E97)=0,"-",SUMIFS(Calc_Rates!K$278:K$308,Calc_Rates!$C$278:$C$308,OP_Rates!$C97,Calc_Rates!$F$278:$F$308,OP_Rates!$E97))</f>
        <v>1.0813510101548778</v>
      </c>
      <c r="M97" s="18" t="s">
        <v>72</v>
      </c>
      <c r="N97" s="18" t="s">
        <v>65</v>
      </c>
      <c r="O97" s="18" t="s">
        <v>67</v>
      </c>
      <c r="P97" s="18" t="s">
        <v>58</v>
      </c>
      <c r="Q97" s="220">
        <f>IF(SUMIFS(Calc_Rates!G$278:G$308,Calc_Rates!$C$278:$C$308,OP_Rates!$M97,Calc_Rates!$F$278:$F$308,OP_Rates!$O97)=0,"-",SUMIFS(Calc_Rates!G$278:G$308,Calc_Rates!$C$278:$C$308,OP_Rates!$M97,Calc_Rates!$F$278:$F$308,OP_Rates!$O97))</f>
        <v>1.325062480625995</v>
      </c>
      <c r="R97" s="220">
        <f>IF(SUMIFS(Calc_Rates!H$278:H$308,Calc_Rates!$C$278:$C$308,OP_Rates!$M97,Calc_Rates!$F$278:$F$308,OP_Rates!$O97)=0,"-",SUMIFS(Calc_Rates!H$278:H$308,Calc_Rates!$C$278:$C$308,OP_Rates!$M97,Calc_Rates!$F$278:$F$308,OP_Rates!$O97))</f>
        <v>1.3434365596540525</v>
      </c>
      <c r="S97" s="220">
        <f>IF(SUMIFS(Calc_Rates!I$278:I$308,Calc_Rates!$C$278:$C$308,OP_Rates!$M97,Calc_Rates!$F$278:$F$308,OP_Rates!$O97)=0,"-",SUMIFS(Calc_Rates!I$278:I$308,Calc_Rates!$C$278:$C$308,OP_Rates!$M97,Calc_Rates!$F$278:$F$308,OP_Rates!$O97))</f>
        <v>1.6800004703488358</v>
      </c>
      <c r="T97" s="220">
        <f>IF(SUMIFS(Calc_Rates!J$278:J$308,Calc_Rates!$C$278:$C$308,OP_Rates!$M97,Calc_Rates!$F$278:$F$308,OP_Rates!$O97)=0,"-",SUMIFS(Calc_Rates!J$278:J$308,Calc_Rates!$C$278:$C$308,OP_Rates!$M97,Calc_Rates!$F$278:$F$308,OP_Rates!$O97))</f>
        <v>1.427469304300512</v>
      </c>
      <c r="U97" s="220">
        <f>IF(SUMIFS(Calc_Rates!K$278:K$308,Calc_Rates!$C$278:$C$308,OP_Rates!$M97,Calc_Rates!$F$278:$F$308,OP_Rates!$O97)=0,"-",SUMIFS(Calc_Rates!K$278:K$308,Calc_Rates!$C$278:$C$308,OP_Rates!$M97,Calc_Rates!$F$278:$F$308,OP_Rates!$O97))</f>
        <v>1.2404902101548778</v>
      </c>
    </row>
    <row r="98" spans="3:23" hidden="1" outlineLevel="2" x14ac:dyDescent="0.25">
      <c r="C98" s="18" t="s">
        <v>73</v>
      </c>
      <c r="D98" s="18" t="s">
        <v>69</v>
      </c>
      <c r="E98" s="18" t="s">
        <v>66</v>
      </c>
      <c r="F98" s="18" t="s">
        <v>58</v>
      </c>
      <c r="G98" s="220">
        <f>IF(SUMIFS(Calc_Rates!G$322:G$400,Calc_Rates!$C$322:$C$400,OP_Rates!$C98&amp;" charge",Calc_Rates!$F$322:$F$400,OP_Rates!$E98)=0,"-",SUMIFS(Calc_Rates!G$322:G$400,Calc_Rates!$C$322:$C$400,OP_Rates!$C98&amp;" charge",Calc_Rates!$F$322:$F$400,OP_Rates!$E98))</f>
        <v>0.49469346468589248</v>
      </c>
      <c r="H98" s="220">
        <f>IF(SUMIFS(Calc_Rates!H$322:H$400,Calc_Rates!$C$322:$C$400,OP_Rates!$C98&amp;" charge",Calc_Rates!$F$322:$F$400,OP_Rates!$E98)=0,"-",SUMIFS(Calc_Rates!H$322:H$400,Calc_Rates!$C$322:$C$400,OP_Rates!$C98&amp;" charge",Calc_Rates!$F$322:$F$400,OP_Rates!$E98))</f>
        <v>0.37325491455258653</v>
      </c>
      <c r="I98" s="220">
        <f>IF(SUMIFS(Calc_Rates!I$322:I$400,Calc_Rates!$C$322:$C$400,OP_Rates!$C98&amp;" charge",Calc_Rates!$F$322:$F$400,OP_Rates!$E98)=0,"-",SUMIFS(Calc_Rates!I$322:I$400,Calc_Rates!$C$322:$C$400,OP_Rates!$C98&amp;" charge",Calc_Rates!$F$322:$F$400,OP_Rates!$E98))</f>
        <v>0.39393321935995851</v>
      </c>
      <c r="J98" s="220">
        <f>IF(SUMIFS(Calc_Rates!J$322:J$400,Calc_Rates!$C$322:$C$400,OP_Rates!$C98&amp;" charge",Calc_Rates!$F$322:$F$400,OP_Rates!$E98)=0,"-",SUMIFS(Calc_Rates!J$322:J$400,Calc_Rates!$C$322:$C$400,OP_Rates!$C98&amp;" charge",Calc_Rates!$F$322:$F$400,OP_Rates!$E98))</f>
        <v>0.4278837281764063</v>
      </c>
      <c r="K98" s="220">
        <f>IF(SUMIFS(Calc_Rates!K$322:K$400,Calc_Rates!$C$322:$C$400,OP_Rates!$C98&amp;" charge",Calc_Rates!$F$322:$F$400,OP_Rates!$E98)=0,"-",SUMIFS(Calc_Rates!K$322:K$400,Calc_Rates!$C$322:$C$400,OP_Rates!$C98&amp;" charge",Calc_Rates!$F$322:$F$400,OP_Rates!$E98))</f>
        <v>0.41336553498318096</v>
      </c>
      <c r="M98" s="18" t="s">
        <v>73</v>
      </c>
      <c r="N98" s="18" t="s">
        <v>69</v>
      </c>
      <c r="O98" s="18" t="s">
        <v>67</v>
      </c>
      <c r="P98" s="18" t="s">
        <v>58</v>
      </c>
      <c r="Q98" s="220">
        <f>IF(SUMIFS(Calc_Rates!G$322:G$400,Calc_Rates!$C$322:$C$400,OP_Rates!$M98&amp;" charge",Calc_Rates!$F$322:$F$400,OP_Rates!$O98)=0,"-",SUMIFS(Calc_Rates!G$322:G$400,Calc_Rates!$C$322:$C$400,OP_Rates!$M98&amp;" charge",Calc_Rates!$F$322:$F$400,OP_Rates!$O98))</f>
        <v>0.42822711830324334</v>
      </c>
      <c r="R98" s="220">
        <f>IF(SUMIFS(Calc_Rates!H$322:H$400,Calc_Rates!$C$322:$C$400,OP_Rates!$M98&amp;" charge",Calc_Rates!$F$322:$F$400,OP_Rates!$O98)=0,"-",SUMIFS(Calc_Rates!H$322:H$400,Calc_Rates!$C$322:$C$400,OP_Rates!$M98&amp;" charge",Calc_Rates!$F$322:$F$400,OP_Rates!$O98))</f>
        <v>0.34422965576841608</v>
      </c>
      <c r="S98" s="220">
        <f>IF(SUMIFS(Calc_Rates!I$322:I$400,Calc_Rates!$C$322:$C$400,OP_Rates!$M98&amp;" charge",Calc_Rates!$F$322:$F$400,OP_Rates!$O98)=0,"-",SUMIFS(Calc_Rates!I$322:I$400,Calc_Rates!$C$322:$C$400,OP_Rates!$M98&amp;" charge",Calc_Rates!$F$322:$F$400,OP_Rates!$O98))</f>
        <v>0.37004237194300338</v>
      </c>
      <c r="T98" s="220">
        <f>IF(SUMIFS(Calc_Rates!J$322:J$400,Calc_Rates!$C$322:$C$400,OP_Rates!$M98&amp;" charge",Calc_Rates!$F$322:$F$400,OP_Rates!$O98)=0,"-",SUMIFS(Calc_Rates!J$322:J$400,Calc_Rates!$C$322:$C$400,OP_Rates!$M98&amp;" charge",Calc_Rates!$F$322:$F$400,OP_Rates!$O98))</f>
        <v>0.39646158095986145</v>
      </c>
      <c r="U98" s="220">
        <f>IF(SUMIFS(Calc_Rates!K$322:K$400,Calc_Rates!$C$322:$C$400,OP_Rates!$M98&amp;" charge",Calc_Rates!$F$322:$F$400,OP_Rates!$O98)=0,"-",SUMIFS(Calc_Rates!K$322:K$400,Calc_Rates!$C$322:$C$400,OP_Rates!$M98&amp;" charge",Calc_Rates!$F$322:$F$400,OP_Rates!$O98))</f>
        <v>0.37417606089870803</v>
      </c>
    </row>
    <row r="99" spans="3:23" hidden="1" outlineLevel="2" x14ac:dyDescent="0.25">
      <c r="C99" s="18" t="s">
        <v>74</v>
      </c>
      <c r="D99" s="18" t="s">
        <v>69</v>
      </c>
      <c r="E99" s="18" t="s">
        <v>66</v>
      </c>
      <c r="F99" s="18" t="s">
        <v>58</v>
      </c>
      <c r="G99" s="220">
        <f>IF(SUMIFS(Calc_Rates!G$322:G$400,Calc_Rates!$C$322:$C$400,OP_Rates!$C99&amp;" charge",Calc_Rates!$F$322:$F$400,OP_Rates!$E99)=0,"-",SUMIFS(Calc_Rates!G$322:G$400,Calc_Rates!$C$322:$C$400,OP_Rates!$C99&amp;" charge",Calc_Rates!$F$322:$F$400,OP_Rates!$E99))</f>
        <v>0.28832208003155868</v>
      </c>
      <c r="H99" s="220">
        <f>IF(SUMIFS(Calc_Rates!H$322:H$400,Calc_Rates!$C$322:$C$400,OP_Rates!$C99&amp;" charge",Calc_Rates!$F$322:$F$400,OP_Rates!$E99)=0,"-",SUMIFS(Calc_Rates!H$322:H$400,Calc_Rates!$C$322:$C$400,OP_Rates!$C99&amp;" charge",Calc_Rates!$F$322:$F$400,OP_Rates!$E99))</f>
        <v>0.2454789145525865</v>
      </c>
      <c r="I99" s="220">
        <f>IF(SUMIFS(Calc_Rates!I$322:I$400,Calc_Rates!$C$322:$C$400,OP_Rates!$C99&amp;" charge",Calc_Rates!$F$322:$F$400,OP_Rates!$E99)=0,"-",SUMIFS(Calc_Rates!I$322:I$400,Calc_Rates!$C$322:$C$400,OP_Rates!$C99&amp;" charge",Calc_Rates!$F$322:$F$400,OP_Rates!$E99))</f>
        <v>0.2724298593599585</v>
      </c>
      <c r="J99" s="220">
        <f>IF(SUMIFS(Calc_Rates!J$322:J$400,Calc_Rates!$C$322:$C$400,OP_Rates!$C99&amp;" charge",Calc_Rates!$F$322:$F$400,OP_Rates!$E99)=0,"-",SUMIFS(Calc_Rates!J$322:J$400,Calc_Rates!$C$322:$C$400,OP_Rates!$C99&amp;" charge",Calc_Rates!$F$322:$F$400,OP_Rates!$E99))</f>
        <v>0.2786181281764063</v>
      </c>
      <c r="K99" s="220">
        <f>IF(SUMIFS(Calc_Rates!K$322:K$400,Calc_Rates!$C$322:$C$400,OP_Rates!$C99&amp;" charge",Calc_Rates!$F$322:$F$400,OP_Rates!$E99)=0,"-",SUMIFS(Calc_Rates!K$322:K$400,Calc_Rates!$C$322:$C$400,OP_Rates!$C99&amp;" charge",Calc_Rates!$F$322:$F$400,OP_Rates!$E99))</f>
        <v>0.26793321498318096</v>
      </c>
      <c r="M99" s="18" t="s">
        <v>74</v>
      </c>
      <c r="N99" s="18" t="s">
        <v>69</v>
      </c>
      <c r="O99" s="18" t="s">
        <v>67</v>
      </c>
      <c r="P99" s="18" t="s">
        <v>58</v>
      </c>
      <c r="Q99" s="220">
        <f>IF(SUMIFS(Calc_Rates!G$322:G$400,Calc_Rates!$C$322:$C$400,OP_Rates!$M99&amp;" charge",Calc_Rates!$F$322:$F$400,OP_Rates!$O99)=0,"-",SUMIFS(Calc_Rates!G$322:G$400,Calc_Rates!$C$322:$C$400,OP_Rates!$M99&amp;" charge",Calc_Rates!$F$322:$F$400,OP_Rates!$O99))</f>
        <v>0.2551501740500301</v>
      </c>
      <c r="R99" s="220">
        <f>IF(SUMIFS(Calc_Rates!H$322:H$400,Calc_Rates!$C$322:$C$400,OP_Rates!$M99&amp;" charge",Calc_Rates!$F$322:$F$400,OP_Rates!$O99)=0,"-",SUMIFS(Calc_Rates!H$322:H$400,Calc_Rates!$C$322:$C$400,OP_Rates!$M99&amp;" charge",Calc_Rates!$F$322:$F$400,OP_Rates!$O99))</f>
        <v>0.22435253576841607</v>
      </c>
      <c r="S99" s="220">
        <f>IF(SUMIFS(Calc_Rates!I$322:I$400,Calc_Rates!$C$322:$C$400,OP_Rates!$M99&amp;" charge",Calc_Rates!$F$322:$F$400,OP_Rates!$O99)=0,"-",SUMIFS(Calc_Rates!I$322:I$400,Calc_Rates!$C$322:$C$400,OP_Rates!$M99&amp;" charge",Calc_Rates!$F$322:$F$400,OP_Rates!$O99))</f>
        <v>0.23214883594300342</v>
      </c>
      <c r="T99" s="220">
        <f>IF(SUMIFS(Calc_Rates!J$322:J$400,Calc_Rates!$C$322:$C$400,OP_Rates!$M99&amp;" charge",Calc_Rates!$F$322:$F$400,OP_Rates!$O99)=0,"-",SUMIFS(Calc_Rates!J$322:J$400,Calc_Rates!$C$322:$C$400,OP_Rates!$M99&amp;" charge",Calc_Rates!$F$322:$F$400,OP_Rates!$O99))</f>
        <v>0.23871630095986146</v>
      </c>
      <c r="U99" s="220">
        <f>IF(SUMIFS(Calc_Rates!K$322:K$400,Calc_Rates!$C$322:$C$400,OP_Rates!$M99&amp;" charge",Calc_Rates!$F$322:$F$400,OP_Rates!$O99)=0,"-",SUMIFS(Calc_Rates!K$322:K$400,Calc_Rates!$C$322:$C$400,OP_Rates!$M99&amp;" charge",Calc_Rates!$F$322:$F$400,OP_Rates!$O99))</f>
        <v>0.23501638089870802</v>
      </c>
    </row>
    <row r="100" spans="3:23" hidden="1" outlineLevel="2" x14ac:dyDescent="0.25">
      <c r="C100" s="18" t="s">
        <v>75</v>
      </c>
      <c r="D100" s="18" t="s">
        <v>69</v>
      </c>
      <c r="E100" s="18" t="s">
        <v>66</v>
      </c>
      <c r="F100" s="18" t="s">
        <v>58</v>
      </c>
      <c r="G100" s="220">
        <f>IF(SUMIFS(Calc_Rates!G$322:G$400,Calc_Rates!$C$322:$C$400,OP_Rates!$C100&amp;" charge",Calc_Rates!$F$322:$F$400,OP_Rates!$E100)=0,"-",SUMIFS(Calc_Rates!G$322:G$400,Calc_Rates!$C$322:$C$400,OP_Rates!$C100&amp;" charge",Calc_Rates!$F$322:$F$400,OP_Rates!$E100))</f>
        <v>0.28832208003155868</v>
      </c>
      <c r="H100" s="220">
        <f>IF(SUMIFS(Calc_Rates!H$322:H$400,Calc_Rates!$C$322:$C$400,OP_Rates!$C100&amp;" charge",Calc_Rates!$F$322:$F$400,OP_Rates!$E100)=0,"-",SUMIFS(Calc_Rates!H$322:H$400,Calc_Rates!$C$322:$C$400,OP_Rates!$C100&amp;" charge",Calc_Rates!$F$322:$F$400,OP_Rates!$E100))</f>
        <v>0.22851955455258649</v>
      </c>
      <c r="I100" s="220">
        <f>IF(SUMIFS(Calc_Rates!I$322:I$400,Calc_Rates!$C$322:$C$400,OP_Rates!$C100&amp;" charge",Calc_Rates!$F$322:$F$400,OP_Rates!$E100)=0,"-",SUMIFS(Calc_Rates!I$322:I$400,Calc_Rates!$C$322:$C$400,OP_Rates!$C100&amp;" charge",Calc_Rates!$F$322:$F$400,OP_Rates!$E100))</f>
        <v>0.26526278735995851</v>
      </c>
      <c r="J100" s="220">
        <f>IF(SUMIFS(Calc_Rates!J$322:J$400,Calc_Rates!$C$322:$C$400,OP_Rates!$C100&amp;" charge",Calc_Rates!$F$322:$F$400,OP_Rates!$E100)=0,"-",SUMIFS(Calc_Rates!J$322:J$400,Calc_Rates!$C$322:$C$400,OP_Rates!$C100&amp;" charge",Calc_Rates!$F$322:$F$400,OP_Rates!$E100))</f>
        <v>0.25736084817640631</v>
      </c>
      <c r="K100" s="220">
        <f>IF(SUMIFS(Calc_Rates!K$322:K$400,Calc_Rates!$C$322:$C$400,OP_Rates!$C100&amp;" charge",Calc_Rates!$F$322:$F$400,OP_Rates!$E100)=0,"-",SUMIFS(Calc_Rates!K$322:K$400,Calc_Rates!$C$322:$C$400,OP_Rates!$C100&amp;" charge",Calc_Rates!$F$322:$F$400,OP_Rates!$E100))</f>
        <v>0.24795369498318096</v>
      </c>
      <c r="M100" s="18"/>
      <c r="N100" s="18"/>
      <c r="O100" s="18"/>
      <c r="P100" s="18" t="s">
        <v>58</v>
      </c>
      <c r="Q100" s="220"/>
      <c r="R100" s="220"/>
      <c r="S100" s="220"/>
      <c r="T100" s="220"/>
      <c r="U100" s="220"/>
    </row>
    <row r="101" spans="3:23" hidden="1" outlineLevel="1" x14ac:dyDescent="0.25"/>
    <row r="102" spans="3:23" ht="15.75" hidden="1" outlineLevel="1" x14ac:dyDescent="0.25">
      <c r="C102" s="24" t="s">
        <v>78</v>
      </c>
      <c r="M102" s="24" t="s">
        <v>79</v>
      </c>
    </row>
    <row r="103" spans="3:23" ht="15.75" hidden="1" outlineLevel="2" x14ac:dyDescent="0.25">
      <c r="C103" s="225" t="s">
        <v>55</v>
      </c>
      <c r="D103" s="225" t="s">
        <v>56</v>
      </c>
      <c r="E103" s="225" t="s">
        <v>57</v>
      </c>
      <c r="F103" s="32" t="s">
        <v>48</v>
      </c>
      <c r="G103" s="43" t="s">
        <v>59</v>
      </c>
      <c r="H103" s="43" t="s">
        <v>60</v>
      </c>
      <c r="I103" s="43" t="s">
        <v>61</v>
      </c>
      <c r="J103" s="43" t="s">
        <v>62</v>
      </c>
      <c r="K103" s="219" t="s">
        <v>63</v>
      </c>
      <c r="M103" s="225" t="s">
        <v>55</v>
      </c>
      <c r="N103" s="225" t="s">
        <v>56</v>
      </c>
      <c r="O103" s="225" t="s">
        <v>57</v>
      </c>
      <c r="P103" s="32" t="s">
        <v>48</v>
      </c>
      <c r="Q103" s="43" t="s">
        <v>59</v>
      </c>
      <c r="R103" s="43" t="s">
        <v>60</v>
      </c>
      <c r="S103" s="43" t="s">
        <v>61</v>
      </c>
      <c r="T103" s="43" t="s">
        <v>62</v>
      </c>
      <c r="U103" s="219" t="s">
        <v>63</v>
      </c>
    </row>
    <row r="104" spans="3:23" hidden="1" outlineLevel="2" x14ac:dyDescent="0.25">
      <c r="C104" s="42" t="s">
        <v>80</v>
      </c>
      <c r="D104" s="42" t="s">
        <v>65</v>
      </c>
      <c r="E104" s="42" t="s">
        <v>66</v>
      </c>
      <c r="F104" s="42" t="s">
        <v>81</v>
      </c>
      <c r="G104" s="222" t="str" cm="1">
        <f t="array" ref="G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v>
      </c>
      <c r="H104" s="222" t="str" cm="1">
        <f t="array" ref="H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v>
      </c>
      <c r="I104" s="222" t="str" cm="1">
        <f t="array" ref="I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v>
      </c>
      <c r="J104" s="222" t="str" cm="1">
        <f t="array" ref="J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v>
      </c>
      <c r="K104" s="222" t="str" cm="1">
        <f t="array" ref="K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v>
      </c>
      <c r="M104" s="42" t="s">
        <v>80</v>
      </c>
      <c r="N104" s="42" t="s">
        <v>65</v>
      </c>
      <c r="O104" s="42" t="s">
        <v>67</v>
      </c>
      <c r="P104" s="42" t="s">
        <v>81</v>
      </c>
      <c r="Q104" s="222" t="str" cm="1">
        <f t="array" ref="Q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4" s="222" t="str" cm="1">
        <f t="array" ref="R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4" s="222" t="str" cm="1">
        <f t="array" ref="S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4" s="222" t="str" cm="1">
        <f t="array" ref="T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4" s="222" t="str" cm="1">
        <f t="array" ref="U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05" spans="3:23" hidden="1" outlineLevel="2" x14ac:dyDescent="0.25">
      <c r="C105" s="42" t="s">
        <v>82</v>
      </c>
      <c r="D105" s="42" t="s">
        <v>65</v>
      </c>
      <c r="E105" s="42" t="s">
        <v>66</v>
      </c>
      <c r="F105" s="42" t="s">
        <v>81</v>
      </c>
      <c r="G105" s="222" t="str" cm="1">
        <f t="array" ref="G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v>
      </c>
      <c r="H105" s="222" t="str" cm="1">
        <f t="array" ref="H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v>
      </c>
      <c r="I105" s="222" t="str" cm="1">
        <f t="array" ref="I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v>
      </c>
      <c r="J105" s="222" t="str" cm="1">
        <f t="array" ref="J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v>
      </c>
      <c r="K105" s="222" t="str" cm="1">
        <f t="array" ref="K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v>
      </c>
      <c r="M105" s="42" t="s">
        <v>82</v>
      </c>
      <c r="N105" s="42" t="s">
        <v>65</v>
      </c>
      <c r="O105" s="42" t="s">
        <v>67</v>
      </c>
      <c r="P105" s="42" t="s">
        <v>81</v>
      </c>
      <c r="Q105" s="222" t="str" cm="1">
        <f t="array" ref="Q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5" s="222" t="str" cm="1">
        <f t="array" ref="R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5" s="222" t="str" cm="1">
        <f t="array" ref="S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5" s="222" t="str" cm="1">
        <f t="array" ref="T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5" s="222" t="str" cm="1">
        <f t="array" ref="U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c r="W105" s="56"/>
    </row>
    <row r="106" spans="3:23" hidden="1" outlineLevel="2" x14ac:dyDescent="0.25">
      <c r="C106" s="42" t="s">
        <v>75</v>
      </c>
      <c r="D106" s="42" t="s">
        <v>69</v>
      </c>
      <c r="E106" s="42" t="s">
        <v>66</v>
      </c>
      <c r="F106" s="42" t="s">
        <v>81</v>
      </c>
      <c r="G106" s="222" t="str" cm="1">
        <f t="array" ref="G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v>
      </c>
      <c r="H106" s="222" t="str" cm="1">
        <f t="array" ref="H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v>
      </c>
      <c r="I106" s="222" t="str" cm="1">
        <f t="array" ref="I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v>
      </c>
      <c r="J106" s="222" t="str" cm="1">
        <f t="array" ref="J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v>
      </c>
      <c r="K106" s="222" t="str" cm="1">
        <f t="array" ref="K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v>
      </c>
      <c r="M106" s="42"/>
      <c r="N106" s="42"/>
      <c r="O106" s="42"/>
      <c r="P106" s="42"/>
      <c r="Q106" s="222" t="str" cm="1">
        <f t="array" ref="Q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6" s="222" t="str" cm="1">
        <f t="array" ref="R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6" s="222" t="str" cm="1">
        <f t="array" ref="S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6" s="222" t="str" cm="1">
        <f t="array" ref="T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6" s="222" t="str" cm="1">
        <f t="array" ref="U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07" spans="3:23" hidden="1" outlineLevel="2" x14ac:dyDescent="0.25">
      <c r="C107" s="42" t="s">
        <v>68</v>
      </c>
      <c r="D107" s="42" t="s">
        <v>69</v>
      </c>
      <c r="E107" s="42" t="s">
        <v>66</v>
      </c>
      <c r="F107" s="42" t="s">
        <v>83</v>
      </c>
      <c r="G107" s="222" cm="1">
        <f t="array" ref="G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-1.4451020409271499E-3</v>
      </c>
      <c r="H107" s="222" cm="1">
        <f t="array" ref="H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07" s="222" cm="1">
        <f t="array" ref="I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07" s="222" cm="1">
        <f t="array" ref="J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07" s="222" cm="1">
        <f t="array" ref="K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07" s="42" t="s">
        <v>68</v>
      </c>
      <c r="N107" s="42" t="s">
        <v>69</v>
      </c>
      <c r="O107" s="42" t="s">
        <v>67</v>
      </c>
      <c r="P107" s="42" t="s">
        <v>83</v>
      </c>
      <c r="Q107" s="222" cm="1">
        <f t="array" ref="Q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-1.4451020409271499E-3</v>
      </c>
      <c r="R107" s="222" cm="1">
        <f t="array" ref="R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07" s="222" cm="1">
        <f t="array" ref="S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07" s="222" cm="1">
        <f t="array" ref="T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07" s="222" cm="1">
        <f t="array" ref="U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08" spans="3:23" hidden="1" outlineLevel="2" x14ac:dyDescent="0.25">
      <c r="C108" s="42" t="s">
        <v>70</v>
      </c>
      <c r="D108" s="42" t="s">
        <v>69</v>
      </c>
      <c r="E108" s="42" t="s">
        <v>66</v>
      </c>
      <c r="F108" s="42" t="s">
        <v>83</v>
      </c>
      <c r="G108" s="222" cm="1">
        <f t="array" ref="G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-1.4451020409271499E-3</v>
      </c>
      <c r="H108" s="222" cm="1">
        <f t="array" ref="H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08" s="222" cm="1">
        <f t="array" ref="I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08" s="222" cm="1">
        <f t="array" ref="J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08" s="222" cm="1">
        <f t="array" ref="K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08" s="42" t="s">
        <v>70</v>
      </c>
      <c r="N108" s="42" t="s">
        <v>69</v>
      </c>
      <c r="O108" s="42" t="s">
        <v>67</v>
      </c>
      <c r="P108" s="42" t="s">
        <v>83</v>
      </c>
      <c r="Q108" s="222" cm="1">
        <f t="array" ref="Q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-1.4451020409271499E-3</v>
      </c>
      <c r="R108" s="222" cm="1">
        <f t="array" ref="R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08" s="222" cm="1">
        <f t="array" ref="S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08" s="222" cm="1">
        <f t="array" ref="T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08" s="222" cm="1">
        <f t="array" ref="U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09" spans="3:23" hidden="1" outlineLevel="2" x14ac:dyDescent="0.25">
      <c r="C109" s="42" t="s">
        <v>71</v>
      </c>
      <c r="D109" s="42" t="s">
        <v>69</v>
      </c>
      <c r="E109" s="42" t="s">
        <v>66</v>
      </c>
      <c r="F109" s="42" t="s">
        <v>83</v>
      </c>
      <c r="G109" s="222" cm="1">
        <f t="array" ref="G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0</v>
      </c>
      <c r="H109" s="222" cm="1">
        <f t="array" ref="H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-1.4016011881474891E-3</v>
      </c>
      <c r="I109" s="222" cm="1">
        <f t="array" ref="I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-1.3896720485833702E-3</v>
      </c>
      <c r="J109" s="222" cm="1">
        <f t="array" ref="J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-1.432313335205126E-3</v>
      </c>
      <c r="K109" s="222" cm="1">
        <f t="array" ref="K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-1.3977880905040913E-3</v>
      </c>
      <c r="M109" s="42" t="s">
        <v>71</v>
      </c>
      <c r="N109" s="42" t="s">
        <v>69</v>
      </c>
      <c r="O109" s="42" t="s">
        <v>67</v>
      </c>
      <c r="P109" s="42" t="s">
        <v>83</v>
      </c>
      <c r="Q109" s="222" cm="1">
        <f t="array" ref="Q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0</v>
      </c>
      <c r="R109" s="222" cm="1">
        <f t="array" ref="R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-1.4016011881474891E-3</v>
      </c>
      <c r="S109" s="222" cm="1">
        <f t="array" ref="S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-1.3896720485833702E-3</v>
      </c>
      <c r="T109" s="222" cm="1">
        <f t="array" ref="T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-1.432313335205126E-3</v>
      </c>
      <c r="U109" s="222" cm="1">
        <f t="array" ref="U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-1.3977880905040913E-3</v>
      </c>
    </row>
    <row r="110" spans="3:23" hidden="1" outlineLevel="2" x14ac:dyDescent="0.25">
      <c r="C110" s="42" t="s">
        <v>73</v>
      </c>
      <c r="D110" s="42" t="s">
        <v>69</v>
      </c>
      <c r="E110" s="42" t="s">
        <v>66</v>
      </c>
      <c r="F110" s="42" t="s">
        <v>83</v>
      </c>
      <c r="G110" s="222" cm="1">
        <f t="array" ref="G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-1.4451020409271499E-3</v>
      </c>
      <c r="H110" s="222" cm="1">
        <f t="array" ref="H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-1.4016011881474891E-3</v>
      </c>
      <c r="I110" s="222" cm="1">
        <f t="array" ref="I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-1.3896720485833702E-3</v>
      </c>
      <c r="J110" s="222" cm="1">
        <f t="array" ref="J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-1.432313335205126E-3</v>
      </c>
      <c r="K110" s="222" cm="1">
        <f t="array" ref="K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-1.3977880905040913E-3</v>
      </c>
      <c r="M110" s="42" t="s">
        <v>73</v>
      </c>
      <c r="N110" s="42" t="s">
        <v>69</v>
      </c>
      <c r="O110" s="42" t="s">
        <v>67</v>
      </c>
      <c r="P110" s="42" t="s">
        <v>83</v>
      </c>
      <c r="Q110" s="222" cm="1">
        <f t="array" ref="Q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-1.4451020409271499E-3</v>
      </c>
      <c r="R110" s="222" cm="1">
        <f t="array" ref="R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-1.4016011881474891E-3</v>
      </c>
      <c r="S110" s="222" cm="1">
        <f t="array" ref="S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-1.3896720485833702E-3</v>
      </c>
      <c r="T110" s="222" cm="1">
        <f t="array" ref="T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-1.432313335205126E-3</v>
      </c>
      <c r="U110" s="222" cm="1">
        <f t="array" ref="U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-1.3977880905040913E-3</v>
      </c>
    </row>
    <row r="111" spans="3:23" hidden="1" outlineLevel="2" x14ac:dyDescent="0.25">
      <c r="C111" s="42" t="s">
        <v>74</v>
      </c>
      <c r="D111" s="42" t="s">
        <v>69</v>
      </c>
      <c r="E111" s="42" t="s">
        <v>66</v>
      </c>
      <c r="F111" s="42" t="s">
        <v>83</v>
      </c>
      <c r="G111" s="222" cm="1">
        <f t="array" ref="G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-1.4451020409271499E-3</v>
      </c>
      <c r="H111" s="222" cm="1">
        <f t="array" ref="H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-1.4016011881474891E-3</v>
      </c>
      <c r="I111" s="222" cm="1">
        <f t="array" ref="I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-1.3896720485833702E-3</v>
      </c>
      <c r="J111" s="222" cm="1">
        <f t="array" ref="J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-1.432313335205126E-3</v>
      </c>
      <c r="K111" s="222" cm="1">
        <f t="array" ref="K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-1.3977880905040913E-3</v>
      </c>
      <c r="M111" s="42" t="s">
        <v>74</v>
      </c>
      <c r="N111" s="42" t="s">
        <v>69</v>
      </c>
      <c r="O111" s="42" t="s">
        <v>67</v>
      </c>
      <c r="P111" s="42" t="s">
        <v>83</v>
      </c>
      <c r="Q111" s="222" cm="1">
        <f t="array" ref="Q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-1.4451020409271499E-3</v>
      </c>
      <c r="R111" s="222" cm="1">
        <f t="array" ref="R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-1.4016011881474891E-3</v>
      </c>
      <c r="S111" s="222" cm="1">
        <f t="array" ref="S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-1.3896720485833702E-3</v>
      </c>
      <c r="T111" s="222" cm="1">
        <f t="array" ref="T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-1.432313335205126E-3</v>
      </c>
      <c r="U111" s="222" cm="1">
        <f t="array" ref="U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-1.3977880905040913E-3</v>
      </c>
    </row>
    <row r="112" spans="3:23" hidden="1" outlineLevel="2" x14ac:dyDescent="0.25">
      <c r="C112" s="42" t="s">
        <v>75</v>
      </c>
      <c r="D112" s="42" t="s">
        <v>69</v>
      </c>
      <c r="E112" s="42" t="s">
        <v>66</v>
      </c>
      <c r="F112" s="42" t="s">
        <v>83</v>
      </c>
      <c r="G112" s="222" cm="1">
        <f t="array" ref="G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-1.4451020409271499E-3</v>
      </c>
      <c r="H112" s="222" cm="1">
        <f t="array" ref="H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-1.4016011881474891E-3</v>
      </c>
      <c r="I112" s="222" cm="1">
        <f t="array" ref="I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-1.3896720485833702E-3</v>
      </c>
      <c r="J112" s="222" cm="1">
        <f t="array" ref="J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-1.432313335205126E-3</v>
      </c>
      <c r="K112" s="222" cm="1">
        <f t="array" ref="K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-1.3977880905040913E-3</v>
      </c>
      <c r="M112" s="42"/>
      <c r="N112" s="42"/>
      <c r="O112" s="42"/>
      <c r="P112" s="42"/>
      <c r="Q112" s="222" t="str" cm="1">
        <f t="array" ref="Q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12" s="222" t="str" cm="1">
        <f t="array" ref="R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12" s="222" t="str" cm="1">
        <f t="array" ref="S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12" s="222" t="str" cm="1">
        <f t="array" ref="T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12" s="222" t="str" cm="1">
        <f t="array" ref="U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13" spans="3:21" hidden="1" outlineLevel="1" x14ac:dyDescent="0.25">
      <c r="P113" s="62"/>
      <c r="Q113" s="62"/>
      <c r="R113" s="62"/>
    </row>
    <row r="114" spans="3:21" ht="15.75" hidden="1" outlineLevel="1" x14ac:dyDescent="0.25">
      <c r="C114" s="223" t="s">
        <v>16</v>
      </c>
      <c r="G114" s="56"/>
      <c r="H114" s="56"/>
      <c r="I114" s="56"/>
      <c r="J114" s="56"/>
      <c r="K114" s="56"/>
      <c r="P114" s="62"/>
      <c r="Q114" s="62"/>
      <c r="R114" s="62"/>
    </row>
    <row r="115" spans="3:21" ht="15.75" hidden="1" outlineLevel="2" x14ac:dyDescent="0.25">
      <c r="C115" s="24" t="str">
        <f>C$80&amp;" - checks"</f>
        <v>VDO residential rates - checks</v>
      </c>
      <c r="M115" s="24" t="str">
        <f>M$80&amp;" - checks"</f>
        <v>VDO small business rates - checks</v>
      </c>
    </row>
    <row r="116" spans="3:21" ht="15.75" hidden="1" outlineLevel="2" x14ac:dyDescent="0.25">
      <c r="C116" s="31" t="s">
        <v>55</v>
      </c>
      <c r="D116" s="31" t="s">
        <v>56</v>
      </c>
      <c r="E116" s="31" t="s">
        <v>57</v>
      </c>
      <c r="G116" s="35" t="s">
        <v>59</v>
      </c>
      <c r="H116" s="35" t="s">
        <v>60</v>
      </c>
      <c r="I116" s="35" t="s">
        <v>61</v>
      </c>
      <c r="J116" s="35" t="s">
        <v>62</v>
      </c>
      <c r="K116" s="35" t="s">
        <v>63</v>
      </c>
      <c r="M116" s="31" t="s">
        <v>55</v>
      </c>
      <c r="N116" s="31" t="s">
        <v>56</v>
      </c>
      <c r="O116" s="31" t="s">
        <v>57</v>
      </c>
      <c r="Q116" s="35" t="s">
        <v>59</v>
      </c>
      <c r="R116" s="35" t="s">
        <v>60</v>
      </c>
      <c r="S116" s="35" t="s">
        <v>61</v>
      </c>
      <c r="T116" s="35" t="s">
        <v>62</v>
      </c>
      <c r="U116" s="35" t="s">
        <v>63</v>
      </c>
    </row>
    <row r="117" spans="3:21" ht="15.75" hidden="1" outlineLevel="2" x14ac:dyDescent="0.25">
      <c r="C117" s="42" t="s">
        <v>64</v>
      </c>
      <c r="D117" s="42" t="s">
        <v>65</v>
      </c>
      <c r="E117" s="42" t="s">
        <v>66</v>
      </c>
      <c r="G117" s="215">
        <f>IF(ROUND(G82,4)=ROUND(
SUMIFS(OP_Rates_RES_2[Ausnet],OP_Rates_RES_2[[Rate name]:[Rate name]],$C117)+
SUMIFS(OP_RatesTU_RES_2[Ausnet],OP_RatesTU_RES_2[[Rate name]:[Rate name]],
IF($D117&lt;&gt;"$",$C117,
IF($C117="Anytime - supply","Anytime","TOU"))),4),
0,1)</f>
        <v>0</v>
      </c>
      <c r="H117" s="215">
        <f>IF(ROUND(H82,4)=ROUND(
SUMIFS(OP_Rates_RES_2[Citipower],OP_Rates_RES_2[[Rate name]:[Rate name]],$C117)+
SUMIFS(OP_RatesTU_RES_2[Citipower],OP_RatesTU_RES_2[[Rate name]:[Rate name]],
IF($D117&lt;&gt;"$",$C117,
IF($C117="Anytime - supply","Anytime","TOU"))),4),
0,1)</f>
        <v>0</v>
      </c>
      <c r="I117" s="215">
        <f>IF(ROUND(I82,4)=ROUND(
SUMIFS(OP_Rates_RES_2[Jemena],OP_Rates_RES_2[[Rate name]:[Rate name]],$C117)+
SUMIFS(OP_RatesTU_RES_2[Jemena],OP_RatesTU_RES_2[[Rate name]:[Rate name]],
IF($D117&lt;&gt;"$",$C117,
IF($C117="Anytime - supply","Anytime","TOU"))),4),
0,1)</f>
        <v>0</v>
      </c>
      <c r="J117" s="215">
        <f>IF(ROUND(J82,4)=ROUND(
SUMIFS(OP_Rates_RES_2[Powercor],OP_Rates_RES_2[[Rate name]:[Rate name]],$C117)+
SUMIFS(OP_RatesTU_RES_2[Powercor],OP_RatesTU_RES_2[[Rate name]:[Rate name]],
IF($D117&lt;&gt;"$",$C117,
IF($C117="Anytime - supply","Anytime","TOU"))),4),
0,1)</f>
        <v>0</v>
      </c>
      <c r="K117" s="215">
        <f>IF(ROUND(K82,4)=ROUND(
SUMIFS(OP_Rates_RES_2[United Energy],OP_Rates_RES_2[[Rate name]:[Rate name]],$C117)+
SUMIFS(OP_RatesTU_RES_2[United Energy],OP_RatesTU_RES_2[[Rate name]:[Rate name]],
IF($D117&lt;&gt;"$",$C117,
IF($C117="Anytime - supply","Anytime","TOU"))),4),
0,1)</f>
        <v>0</v>
      </c>
      <c r="M117" s="42" t="s">
        <v>64</v>
      </c>
      <c r="N117" s="42" t="s">
        <v>65</v>
      </c>
      <c r="O117" s="42" t="s">
        <v>67</v>
      </c>
      <c r="Q117" s="215">
        <f>IF(ROUND(Q82,4)=ROUND(
SUMIFS(OP_Rates_SME_2[Ausnet],OP_Rates_SME_2[[Rate name]:[Rate name]],$M117)+
SUMIFS(OP_RatesTU_SME_2[Ausnet],OP_RatesTU_SME_2[[Rate name]:[Rate name]],
IF($N117&lt;&gt;"$",$M117,
IF($M117="Anytime - supply","Anytime","TOU"))),4),
0,1)</f>
        <v>0</v>
      </c>
      <c r="R117" s="215">
        <f>IF(ROUND(R82,4)=ROUND(
SUMIFS(OP_Rates_SME_2[Citipower],OP_Rates_SME_2[[Rate name]:[Rate name]],$M117)+
SUMIFS(OP_RatesTU_SME_2[Citipower],OP_RatesTU_SME_2[[Rate name]:[Rate name]],
IF($N117&lt;&gt;"$",$M117,
IF($M117="Anytime - supply","Anytime","TOU"))),4),
0,1)</f>
        <v>0</v>
      </c>
      <c r="S117" s="215">
        <f>IF(ROUND(S82,4)=ROUND(
SUMIFS(OP_Rates_SME_2[Jemena],OP_Rates_SME_2[[Rate name]:[Rate name]],$M117)+
SUMIFS(OP_RatesTU_SME_2[Jemena],OP_RatesTU_SME_2[[Rate name]:[Rate name]],
IF($N117&lt;&gt;"$",$M117,
IF($M117="Anytime - supply","Anytime","TOU"))),4),
0,1)</f>
        <v>0</v>
      </c>
      <c r="T117" s="215">
        <f>IF(ROUND(T82,4)=ROUND(
SUMIFS(OP_Rates_SME_2[Powercor],OP_Rates_SME_2[[Rate name]:[Rate name]],$M117)+
SUMIFS(OP_RatesTU_SME_2[Powercor],OP_RatesTU_SME_2[[Rate name]:[Rate name]],
IF($N117&lt;&gt;"$",$M117,
IF($M117="Anytime - supply","Anytime","TOU"))),4),
0,1)</f>
        <v>0</v>
      </c>
      <c r="U117" s="215">
        <f>IF(ROUND(U82,4)=ROUND(
SUMIFS(OP_Rates_SME_2[United Energy],OP_Rates_SME_2[[Rate name]:[Rate name]],$M117)+
SUMIFS(OP_RatesTU_SME_2[United Energy],OP_RatesTU_SME_2[[Rate name]:[Rate name]],
IF($N117&lt;&gt;"$",$M117,
IF($M117="Anytime - supply","Anytime","TOU"))),4),
0,1)</f>
        <v>0</v>
      </c>
    </row>
    <row r="118" spans="3:21" ht="15.75" hidden="1" outlineLevel="2" x14ac:dyDescent="0.25">
      <c r="C118" s="42" t="s">
        <v>68</v>
      </c>
      <c r="D118" s="42" t="s">
        <v>69</v>
      </c>
      <c r="E118" s="42" t="s">
        <v>66</v>
      </c>
      <c r="G118" s="215">
        <f>IF(ROUND(G83,4)=ROUND(
SUMIFS(OP_Rates_RES_2[Ausnet],OP_Rates_RES_2[[Rate name]:[Rate name]],$C118)+
SUMIFS(OP_RatesTU_RES_2[Ausnet],OP_RatesTU_RES_2[[Rate name]:[Rate name]],
IF($D118&lt;&gt;"$",$C118,
IF($C118="Anytime - supply","Anytime","TOU"))),4),
0,1)</f>
        <v>0</v>
      </c>
      <c r="H118" s="215">
        <f>IF(ROUND(H83,4)=ROUND(
SUMIFS(OP_Rates_RES_2[Citipower],OP_Rates_RES_2[[Rate name]:[Rate name]],$C118)+
SUMIFS(OP_RatesTU_RES_2[Citipower],OP_RatesTU_RES_2[[Rate name]:[Rate name]],
IF($D118&lt;&gt;"$",$C118,
IF($C118="Anytime - supply","Anytime","TOU"))),4),
0,1)</f>
        <v>0</v>
      </c>
      <c r="I118" s="215">
        <f>IF(ROUND(I83,4)=ROUND(
SUMIFS(OP_Rates_RES_2[Jemena],OP_Rates_RES_2[[Rate name]:[Rate name]],$C118)+
SUMIFS(OP_RatesTU_RES_2[Jemena],OP_RatesTU_RES_2[[Rate name]:[Rate name]],
IF($D118&lt;&gt;"$",$C118,
IF($C118="Anytime - supply","Anytime","TOU"))),4),
0,1)</f>
        <v>0</v>
      </c>
      <c r="J118" s="215">
        <f>IF(ROUND(J83,4)=ROUND(
SUMIFS(OP_Rates_RES_2[Powercor],OP_Rates_RES_2[[Rate name]:[Rate name]],$C118)+
SUMIFS(OP_RatesTU_RES_2[Powercor],OP_RatesTU_RES_2[[Rate name]:[Rate name]],
IF($D118&lt;&gt;"$",$C118,
IF($C118="Anytime - supply","Anytime","TOU"))),4),
0,1)</f>
        <v>0</v>
      </c>
      <c r="K118" s="215">
        <f>IF(ROUND(K83,4)=ROUND(
SUMIFS(OP_Rates_RES_2[United Energy],OP_Rates_RES_2[[Rate name]:[Rate name]],$C118)+
SUMIFS(OP_RatesTU_RES_2[United Energy],OP_RatesTU_RES_2[[Rate name]:[Rate name]],
IF($D118&lt;&gt;"$",$C118,
IF($C118="Anytime - supply","Anytime","TOU"))),4),
0,1)</f>
        <v>0</v>
      </c>
      <c r="M118" s="42" t="s">
        <v>68</v>
      </c>
      <c r="N118" s="42" t="s">
        <v>69</v>
      </c>
      <c r="O118" s="42" t="s">
        <v>67</v>
      </c>
      <c r="Q118" s="215">
        <f>IF(ROUND(Q83,4)=ROUND(
SUMIFS(OP_Rates_SME_2[Ausnet],OP_Rates_SME_2[[Rate name]:[Rate name]],$M118)+
SUMIFS(OP_RatesTU_SME_2[Ausnet],OP_RatesTU_SME_2[[Rate name]:[Rate name]],
IF($N118&lt;&gt;"$",$M118,
IF($M118="Anytime - supply","Anytime","TOU"))),4),
0,1)</f>
        <v>0</v>
      </c>
      <c r="R118" s="215">
        <f>IF(ROUND(R83,4)=ROUND(
SUMIFS(OP_Rates_SME_2[Citipower],OP_Rates_SME_2[[Rate name]:[Rate name]],$M118)+
SUMIFS(OP_RatesTU_SME_2[Citipower],OP_RatesTU_SME_2[[Rate name]:[Rate name]],
IF($N118&lt;&gt;"$",$M118,
IF($M118="Anytime - supply","Anytime","TOU"))),4),
0,1)</f>
        <v>0</v>
      </c>
      <c r="S118" s="215">
        <f>IF(ROUND(S83,4)=ROUND(
SUMIFS(OP_Rates_SME_2[Jemena],OP_Rates_SME_2[[Rate name]:[Rate name]],$M118)+
SUMIFS(OP_RatesTU_SME_2[Jemena],OP_RatesTU_SME_2[[Rate name]:[Rate name]],
IF($N118&lt;&gt;"$",$M118,
IF($M118="Anytime - supply","Anytime","TOU"))),4),
0,1)</f>
        <v>0</v>
      </c>
      <c r="T118" s="215">
        <f>IF(ROUND(T83,4)=ROUND(
SUMIFS(OP_Rates_SME_2[Powercor],OP_Rates_SME_2[[Rate name]:[Rate name]],$M118)+
SUMIFS(OP_RatesTU_SME_2[Powercor],OP_RatesTU_SME_2[[Rate name]:[Rate name]],
IF($N118&lt;&gt;"$",$M118,
IF($M118="Anytime - supply","Anytime","TOU"))),4),
0,1)</f>
        <v>0</v>
      </c>
      <c r="U118" s="215">
        <f>IF(ROUND(U83,4)=ROUND(
SUMIFS(OP_Rates_SME_2[United Energy],OP_Rates_SME_2[[Rate name]:[Rate name]],$M118)+
SUMIFS(OP_RatesTU_SME_2[United Energy],OP_RatesTU_SME_2[[Rate name]:[Rate name]],
IF($N118&lt;&gt;"$",$M118,
IF($M118="Anytime - supply","Anytime","TOU"))),4),
0,1)</f>
        <v>0</v>
      </c>
    </row>
    <row r="119" spans="3:21" ht="15.75" hidden="1" outlineLevel="2" x14ac:dyDescent="0.25">
      <c r="C119" s="42" t="s">
        <v>70</v>
      </c>
      <c r="D119" s="42" t="s">
        <v>69</v>
      </c>
      <c r="E119" s="42" t="s">
        <v>66</v>
      </c>
      <c r="G119" s="215">
        <f>IF(ROUND(G84,4)=ROUND(
SUMIFS(OP_Rates_RES_2[Ausnet],OP_Rates_RES_2[[Rate name]:[Rate name]],$C119)+
SUMIFS(OP_RatesTU_RES_2[Ausnet],OP_RatesTU_RES_2[[Rate name]:[Rate name]],
IF($D119&lt;&gt;"$",$C119,
IF($C119="Anytime - supply","Anytime","TOU"))),4),
0,1)</f>
        <v>0</v>
      </c>
      <c r="H119" s="215">
        <f>IF(ROUND(H84,4)=ROUND(
SUMIFS(OP_Rates_RES_2[Citipower],OP_Rates_RES_2[[Rate name]:[Rate name]],$C119)+
SUMIFS(OP_RatesTU_RES_2[Citipower],OP_RatesTU_RES_2[[Rate name]:[Rate name]],
IF($D119&lt;&gt;"$",$C119,
IF($C119="Anytime - supply","Anytime","TOU"))),4),
0,1)</f>
        <v>0</v>
      </c>
      <c r="I119" s="215">
        <f>IF(ROUND(I84,4)=ROUND(
SUMIFS(OP_Rates_RES_2[Jemena],OP_Rates_RES_2[[Rate name]:[Rate name]],$C119)+
SUMIFS(OP_RatesTU_RES_2[Jemena],OP_RatesTU_RES_2[[Rate name]:[Rate name]],
IF($D119&lt;&gt;"$",$C119,
IF($C119="Anytime - supply","Anytime","TOU"))),4),
0,1)</f>
        <v>0</v>
      </c>
      <c r="J119" s="215">
        <f>IF(ROUND(J84,4)=ROUND(
SUMIFS(OP_Rates_RES_2[Powercor],OP_Rates_RES_2[[Rate name]:[Rate name]],$C119)+
SUMIFS(OP_RatesTU_RES_2[Powercor],OP_RatesTU_RES_2[[Rate name]:[Rate name]],
IF($D119&lt;&gt;"$",$C119,
IF($C119="Anytime - supply","Anytime","TOU"))),4),
0,1)</f>
        <v>0</v>
      </c>
      <c r="K119" s="215">
        <f>IF(ROUND(K84,4)=ROUND(
SUMIFS(OP_Rates_RES_2[United Energy],OP_Rates_RES_2[[Rate name]:[Rate name]],$C119)+
SUMIFS(OP_RatesTU_RES_2[United Energy],OP_RatesTU_RES_2[[Rate name]:[Rate name]],
IF($D119&lt;&gt;"$",$C119,
IF($C119="Anytime - supply","Anytime","TOU"))),4),
0,1)</f>
        <v>0</v>
      </c>
      <c r="M119" s="42" t="s">
        <v>70</v>
      </c>
      <c r="N119" s="42" t="s">
        <v>69</v>
      </c>
      <c r="O119" s="42" t="s">
        <v>67</v>
      </c>
      <c r="Q119" s="215">
        <f>IF(ROUND(Q84,4)=ROUND(
SUMIFS(OP_Rates_SME_2[Ausnet],OP_Rates_SME_2[[Rate name]:[Rate name]],$M119)+
SUMIFS(OP_RatesTU_SME_2[Ausnet],OP_RatesTU_SME_2[[Rate name]:[Rate name]],
IF($N119&lt;&gt;"$",$M119,
IF($M119="Anytime - supply","Anytime","TOU"))),4),
0,1)</f>
        <v>0</v>
      </c>
      <c r="R119" s="215">
        <f>IF(ROUND(R84,4)=ROUND(
SUMIFS(OP_Rates_SME_2[Citipower],OP_Rates_SME_2[[Rate name]:[Rate name]],$M119)+
SUMIFS(OP_RatesTU_SME_2[Citipower],OP_RatesTU_SME_2[[Rate name]:[Rate name]],
IF($N119&lt;&gt;"$",$M119,
IF($M119="Anytime - supply","Anytime","TOU"))),4),
0,1)</f>
        <v>0</v>
      </c>
      <c r="S119" s="215">
        <f>IF(ROUND(S84,4)=ROUND(
SUMIFS(OP_Rates_SME_2[Jemena],OP_Rates_SME_2[[Rate name]:[Rate name]],$M119)+
SUMIFS(OP_RatesTU_SME_2[Jemena],OP_RatesTU_SME_2[[Rate name]:[Rate name]],
IF($N119&lt;&gt;"$",$M119,
IF($M119="Anytime - supply","Anytime","TOU"))),4),
0,1)</f>
        <v>0</v>
      </c>
      <c r="T119" s="215">
        <f>IF(ROUND(T84,4)=ROUND(
SUMIFS(OP_Rates_SME_2[Powercor],OP_Rates_SME_2[[Rate name]:[Rate name]],$M119)+
SUMIFS(OP_RatesTU_SME_2[Powercor],OP_RatesTU_SME_2[[Rate name]:[Rate name]],
IF($N119&lt;&gt;"$",$M119,
IF($M119="Anytime - supply","Anytime","TOU"))),4),
0,1)</f>
        <v>0</v>
      </c>
      <c r="U119" s="215">
        <f>IF(ROUND(U84,4)=ROUND(
SUMIFS(OP_Rates_SME_2[United Energy],OP_Rates_SME_2[[Rate name]:[Rate name]],$M119)+
SUMIFS(OP_RatesTU_SME_2[United Energy],OP_RatesTU_SME_2[[Rate name]:[Rate name]],
IF($N119&lt;&gt;"$",$M119,
IF($M119="Anytime - supply","Anytime","TOU"))),4),
0,1)</f>
        <v>0</v>
      </c>
    </row>
    <row r="120" spans="3:21" ht="15.75" hidden="1" outlineLevel="2" x14ac:dyDescent="0.25">
      <c r="C120" s="42" t="s">
        <v>71</v>
      </c>
      <c r="D120" s="42" t="s">
        <v>69</v>
      </c>
      <c r="E120" s="42" t="s">
        <v>66</v>
      </c>
      <c r="G120" s="215">
        <f>IF(ROUND(G85,4)=ROUND(
SUMIFS(OP_Rates_RES_2[Ausnet],OP_Rates_RES_2[[Rate name]:[Rate name]],$C120)+
SUMIFS(OP_RatesTU_RES_2[Ausnet],OP_RatesTU_RES_2[[Rate name]:[Rate name]],
IF($D120&lt;&gt;"$",$C120,
IF($C120="Anytime - supply","Anytime","TOU"))),4),
0,1)</f>
        <v>0</v>
      </c>
      <c r="H120" s="215">
        <f>IF(ROUND(H85,4)=ROUND(
SUMIFS(OP_Rates_RES_2[Citipower],OP_Rates_RES_2[[Rate name]:[Rate name]],$C120)+
SUMIFS(OP_RatesTU_RES_2[Citipower],OP_RatesTU_RES_2[[Rate name]:[Rate name]],
IF($D120&lt;&gt;"$",$C120,
IF($C120="Anytime - supply","Anytime","TOU"))),4),
0,1)</f>
        <v>0</v>
      </c>
      <c r="I120" s="215">
        <f>IF(ROUND(I85,4)=ROUND(
SUMIFS(OP_Rates_RES_2[Jemena],OP_Rates_RES_2[[Rate name]:[Rate name]],$C120)+
SUMIFS(OP_RatesTU_RES_2[Jemena],OP_RatesTU_RES_2[[Rate name]:[Rate name]],
IF($D120&lt;&gt;"$",$C120,
IF($C120="Anytime - supply","Anytime","TOU"))),4),
0,1)</f>
        <v>0</v>
      </c>
      <c r="J120" s="215">
        <f>IF(ROUND(J85,4)=ROUND(
SUMIFS(OP_Rates_RES_2[Powercor],OP_Rates_RES_2[[Rate name]:[Rate name]],$C120)+
SUMIFS(OP_RatesTU_RES_2[Powercor],OP_RatesTU_RES_2[[Rate name]:[Rate name]],
IF($D120&lt;&gt;"$",$C120,
IF($C120="Anytime - supply","Anytime","TOU"))),4),
0,1)</f>
        <v>0</v>
      </c>
      <c r="K120" s="215">
        <f>IF(ROUND(K85,4)=ROUND(
SUMIFS(OP_Rates_RES_2[United Energy],OP_Rates_RES_2[[Rate name]:[Rate name]],$C120)+
SUMIFS(OP_RatesTU_RES_2[United Energy],OP_RatesTU_RES_2[[Rate name]:[Rate name]],
IF($D120&lt;&gt;"$",$C120,
IF($C120="Anytime - supply","Anytime","TOU"))),4),
0,1)</f>
        <v>0</v>
      </c>
      <c r="M120" s="42" t="s">
        <v>71</v>
      </c>
      <c r="N120" s="42" t="s">
        <v>69</v>
      </c>
      <c r="O120" s="42" t="s">
        <v>67</v>
      </c>
      <c r="Q120" s="215">
        <f>IF(ROUND(Q85,4)=ROUND(
SUMIFS(OP_Rates_SME_2[Ausnet],OP_Rates_SME_2[[Rate name]:[Rate name]],$M120)+
SUMIFS(OP_RatesTU_SME_2[Ausnet],OP_RatesTU_SME_2[[Rate name]:[Rate name]],
IF($N120&lt;&gt;"$",$M120,
IF($M120="Anytime - supply","Anytime","TOU"))),4),
0,1)</f>
        <v>0</v>
      </c>
      <c r="R120" s="215">
        <f>IF(ROUND(R85,4)=ROUND(
SUMIFS(OP_Rates_SME_2[Citipower],OP_Rates_SME_2[[Rate name]:[Rate name]],$M120)+
SUMIFS(OP_RatesTU_SME_2[Citipower],OP_RatesTU_SME_2[[Rate name]:[Rate name]],
IF($N120&lt;&gt;"$",$M120,
IF($M120="Anytime - supply","Anytime","TOU"))),4),
0,1)</f>
        <v>0</v>
      </c>
      <c r="S120" s="215">
        <f>IF(ROUND(S85,4)=ROUND(
SUMIFS(OP_Rates_SME_2[Jemena],OP_Rates_SME_2[[Rate name]:[Rate name]],$M120)+
SUMIFS(OP_RatesTU_SME_2[Jemena],OP_RatesTU_SME_2[[Rate name]:[Rate name]],
IF($N120&lt;&gt;"$",$M120,
IF($M120="Anytime - supply","Anytime","TOU"))),4),
0,1)</f>
        <v>0</v>
      </c>
      <c r="T120" s="215">
        <f>IF(ROUND(T85,4)=ROUND(
SUMIFS(OP_Rates_SME_2[Powercor],OP_Rates_SME_2[[Rate name]:[Rate name]],$M120)+
SUMIFS(OP_RatesTU_SME_2[Powercor],OP_RatesTU_SME_2[[Rate name]:[Rate name]],
IF($N120&lt;&gt;"$",$M120,
IF($M120="Anytime - supply","Anytime","TOU"))),4),
0,1)</f>
        <v>0</v>
      </c>
      <c r="U120" s="215">
        <f>IF(ROUND(U85,4)=ROUND(
SUMIFS(OP_Rates_SME_2[United Energy],OP_Rates_SME_2[[Rate name]:[Rate name]],$M120)+
SUMIFS(OP_RatesTU_SME_2[United Energy],OP_RatesTU_SME_2[[Rate name]:[Rate name]],
IF($N120&lt;&gt;"$",$M120,
IF($M120="Anytime - supply","Anytime","TOU"))),4),
0,1)</f>
        <v>0</v>
      </c>
    </row>
    <row r="121" spans="3:21" ht="15.75" hidden="1" outlineLevel="2" x14ac:dyDescent="0.25">
      <c r="C121" s="42" t="s">
        <v>72</v>
      </c>
      <c r="D121" s="42" t="s">
        <v>65</v>
      </c>
      <c r="E121" s="42" t="s">
        <v>66</v>
      </c>
      <c r="G121" s="215">
        <f>IF(ROUND(G86,4)=ROUND(
SUMIFS(OP_Rates_RES_2[Ausnet],OP_Rates_RES_2[[Rate name]:[Rate name]],$C121)+
SUMIFS(OP_RatesTU_RES_2[Ausnet],OP_RatesTU_RES_2[[Rate name]:[Rate name]],
IF($D121&lt;&gt;"$",$C121,
IF($C121="Anytime - supply","Anytime","TOU"))),4),
0,1)</f>
        <v>0</v>
      </c>
      <c r="H121" s="215">
        <f>IF(ROUND(H86,4)=ROUND(
SUMIFS(OP_Rates_RES_2[Citipower],OP_Rates_RES_2[[Rate name]:[Rate name]],$C121)+
SUMIFS(OP_RatesTU_RES_2[Citipower],OP_RatesTU_RES_2[[Rate name]:[Rate name]],
IF($D121&lt;&gt;"$",$C121,
IF($C121="Anytime - supply","Anytime","TOU"))),4),
0,1)</f>
        <v>0</v>
      </c>
      <c r="I121" s="215">
        <f>IF(ROUND(I86,4)=ROUND(
SUMIFS(OP_Rates_RES_2[Jemena],OP_Rates_RES_2[[Rate name]:[Rate name]],$C121)+
SUMIFS(OP_RatesTU_RES_2[Jemena],OP_RatesTU_RES_2[[Rate name]:[Rate name]],
IF($D121&lt;&gt;"$",$C121,
IF($C121="Anytime - supply","Anytime","TOU"))),4),
0,1)</f>
        <v>0</v>
      </c>
      <c r="J121" s="215">
        <f>IF(ROUND(J86,4)=ROUND(
SUMIFS(OP_Rates_RES_2[Powercor],OP_Rates_RES_2[[Rate name]:[Rate name]],$C121)+
SUMIFS(OP_RatesTU_RES_2[Powercor],OP_RatesTU_RES_2[[Rate name]:[Rate name]],
IF($D121&lt;&gt;"$",$C121,
IF($C121="Anytime - supply","Anytime","TOU"))),4),
0,1)</f>
        <v>0</v>
      </c>
      <c r="K121" s="215">
        <f>IF(ROUND(K86,4)=ROUND(
SUMIFS(OP_Rates_RES_2[United Energy],OP_Rates_RES_2[[Rate name]:[Rate name]],$C121)+
SUMIFS(OP_RatesTU_RES_2[United Energy],OP_RatesTU_RES_2[[Rate name]:[Rate name]],
IF($D121&lt;&gt;"$",$C121,
IF($C121="Anytime - supply","Anytime","TOU"))),4),
0,1)</f>
        <v>0</v>
      </c>
      <c r="M121" s="42" t="s">
        <v>72</v>
      </c>
      <c r="N121" s="42" t="s">
        <v>65</v>
      </c>
      <c r="O121" s="42" t="s">
        <v>67</v>
      </c>
      <c r="Q121" s="215">
        <f>IF(ROUND(Q86,4)=ROUND(
SUMIFS(OP_Rates_SME_2[Ausnet],OP_Rates_SME_2[[Rate name]:[Rate name]],$M121)+
SUMIFS(OP_RatesTU_SME_2[Ausnet],OP_RatesTU_SME_2[[Rate name]:[Rate name]],
IF($N121&lt;&gt;"$",$M121,
IF($M121="Anytime - supply","Anytime","TOU"))),4),
0,1)</f>
        <v>0</v>
      </c>
      <c r="R121" s="215">
        <f>IF(ROUND(R86,4)=ROUND(
SUMIFS(OP_Rates_SME_2[Citipower],OP_Rates_SME_2[[Rate name]:[Rate name]],$M121)+
SUMIFS(OP_RatesTU_SME_2[Citipower],OP_RatesTU_SME_2[[Rate name]:[Rate name]],
IF($N121&lt;&gt;"$",$M121,
IF($M121="Anytime - supply","Anytime","TOU"))),4),
0,1)</f>
        <v>0</v>
      </c>
      <c r="S121" s="215">
        <f>IF(ROUND(S86,4)=ROUND(
SUMIFS(OP_Rates_SME_2[Jemena],OP_Rates_SME_2[[Rate name]:[Rate name]],$M121)+
SUMIFS(OP_RatesTU_SME_2[Jemena],OP_RatesTU_SME_2[[Rate name]:[Rate name]],
IF($N121&lt;&gt;"$",$M121,
IF($M121="Anytime - supply","Anytime","TOU"))),4),
0,1)</f>
        <v>0</v>
      </c>
      <c r="T121" s="215">
        <f>IF(ROUND(T86,4)=ROUND(
SUMIFS(OP_Rates_SME_2[Powercor],OP_Rates_SME_2[[Rate name]:[Rate name]],$M121)+
SUMIFS(OP_RatesTU_SME_2[Powercor],OP_RatesTU_SME_2[[Rate name]:[Rate name]],
IF($N121&lt;&gt;"$",$M121,
IF($M121="Anytime - supply","Anytime","TOU"))),4),
0,1)</f>
        <v>0</v>
      </c>
      <c r="U121" s="215">
        <f>IF(ROUND(U86,4)=ROUND(
SUMIFS(OP_Rates_SME_2[United Energy],OP_Rates_SME_2[[Rate name]:[Rate name]],$M121)+
SUMIFS(OP_RatesTU_SME_2[United Energy],OP_RatesTU_SME_2[[Rate name]:[Rate name]],
IF($N121&lt;&gt;"$",$M121,
IF($M121="Anytime - supply","Anytime","TOU"))),4),
0,1)</f>
        <v>0</v>
      </c>
    </row>
    <row r="122" spans="3:21" ht="15.75" hidden="1" outlineLevel="2" x14ac:dyDescent="0.25">
      <c r="C122" s="42" t="s">
        <v>73</v>
      </c>
      <c r="D122" s="42" t="s">
        <v>69</v>
      </c>
      <c r="E122" s="42" t="s">
        <v>66</v>
      </c>
      <c r="G122" s="215">
        <f>IF(ROUND(G87,4)=ROUND(
SUMIFS(OP_Rates_RES_2[Ausnet],OP_Rates_RES_2[[Rate name]:[Rate name]],$C122)+
SUMIFS(OP_RatesTU_RES_2[Ausnet],OP_RatesTU_RES_2[[Rate name]:[Rate name]],
IF($D122&lt;&gt;"$",$C122,
IF($C122="Anytime - supply","Anytime","TOU"))),4),
0,1)</f>
        <v>0</v>
      </c>
      <c r="H122" s="215">
        <f>IF(ROUND(H87,4)=ROUND(
SUMIFS(OP_Rates_RES_2[Citipower],OP_Rates_RES_2[[Rate name]:[Rate name]],$C122)+
SUMIFS(OP_RatesTU_RES_2[Citipower],OP_RatesTU_RES_2[[Rate name]:[Rate name]],
IF($D122&lt;&gt;"$",$C122,
IF($C122="Anytime - supply","Anytime","TOU"))),4),
0,1)</f>
        <v>0</v>
      </c>
      <c r="I122" s="215">
        <f>IF(ROUND(I87,4)=ROUND(
SUMIFS(OP_Rates_RES_2[Jemena],OP_Rates_RES_2[[Rate name]:[Rate name]],$C122)+
SUMIFS(OP_RatesTU_RES_2[Jemena],OP_RatesTU_RES_2[[Rate name]:[Rate name]],
IF($D122&lt;&gt;"$",$C122,
IF($C122="Anytime - supply","Anytime","TOU"))),4),
0,1)</f>
        <v>0</v>
      </c>
      <c r="J122" s="215">
        <f>IF(ROUND(J87,4)=ROUND(
SUMIFS(OP_Rates_RES_2[Powercor],OP_Rates_RES_2[[Rate name]:[Rate name]],$C122)+
SUMIFS(OP_RatesTU_RES_2[Powercor],OP_RatesTU_RES_2[[Rate name]:[Rate name]],
IF($D122&lt;&gt;"$",$C122,
IF($C122="Anytime - supply","Anytime","TOU"))),4),
0,1)</f>
        <v>0</v>
      </c>
      <c r="K122" s="215">
        <f>IF(ROUND(K87,4)=ROUND(
SUMIFS(OP_Rates_RES_2[United Energy],OP_Rates_RES_2[[Rate name]:[Rate name]],$C122)+
SUMIFS(OP_RatesTU_RES_2[United Energy],OP_RatesTU_RES_2[[Rate name]:[Rate name]],
IF($D122&lt;&gt;"$",$C122,
IF($C122="Anytime - supply","Anytime","TOU"))),4),
0,1)</f>
        <v>0</v>
      </c>
      <c r="M122" s="42" t="s">
        <v>73</v>
      </c>
      <c r="N122" s="42" t="s">
        <v>69</v>
      </c>
      <c r="O122" s="42" t="s">
        <v>67</v>
      </c>
      <c r="Q122" s="215">
        <f>IF(ROUND(Q87,4)=ROUND(
SUMIFS(OP_Rates_SME_2[Ausnet],OP_Rates_SME_2[[Rate name]:[Rate name]],$M122)+
SUMIFS(OP_RatesTU_SME_2[Ausnet],OP_RatesTU_SME_2[[Rate name]:[Rate name]],
IF($N122&lt;&gt;"$",$M122,
IF($M122="Anytime - supply","Anytime","TOU"))),4),
0,1)</f>
        <v>0</v>
      </c>
      <c r="R122" s="215">
        <f>IF(ROUND(R87,4)=ROUND(
SUMIFS(OP_Rates_SME_2[Citipower],OP_Rates_SME_2[[Rate name]:[Rate name]],$M122)+
SUMIFS(OP_RatesTU_SME_2[Citipower],OP_RatesTU_SME_2[[Rate name]:[Rate name]],
IF($N122&lt;&gt;"$",$M122,
IF($M122="Anytime - supply","Anytime","TOU"))),4),
0,1)</f>
        <v>0</v>
      </c>
      <c r="S122" s="215">
        <f>IF(ROUND(S87,4)=ROUND(
SUMIFS(OP_Rates_SME_2[Jemena],OP_Rates_SME_2[[Rate name]:[Rate name]],$M122)+
SUMIFS(OP_RatesTU_SME_2[Jemena],OP_RatesTU_SME_2[[Rate name]:[Rate name]],
IF($N122&lt;&gt;"$",$M122,
IF($M122="Anytime - supply","Anytime","TOU"))),4),
0,1)</f>
        <v>0</v>
      </c>
      <c r="T122" s="215">
        <f>IF(ROUND(T87,4)=ROUND(
SUMIFS(OP_Rates_SME_2[Powercor],OP_Rates_SME_2[[Rate name]:[Rate name]],$M122)+
SUMIFS(OP_RatesTU_SME_2[Powercor],OP_RatesTU_SME_2[[Rate name]:[Rate name]],
IF($N122&lt;&gt;"$",$M122,
IF($M122="Anytime - supply","Anytime","TOU"))),4),
0,1)</f>
        <v>0</v>
      </c>
      <c r="U122" s="215">
        <f>IF(ROUND(U87,4)=ROUND(
SUMIFS(OP_Rates_SME_2[United Energy],OP_Rates_SME_2[[Rate name]:[Rate name]],$M122)+
SUMIFS(OP_RatesTU_SME_2[United Energy],OP_RatesTU_SME_2[[Rate name]:[Rate name]],
IF($N122&lt;&gt;"$",$M122,
IF($M122="Anytime - supply","Anytime","TOU"))),4),
0,1)</f>
        <v>0</v>
      </c>
    </row>
    <row r="123" spans="3:21" ht="15.75" hidden="1" outlineLevel="2" x14ac:dyDescent="0.25">
      <c r="C123" s="42" t="s">
        <v>74</v>
      </c>
      <c r="D123" s="42" t="s">
        <v>69</v>
      </c>
      <c r="E123" s="42" t="s">
        <v>66</v>
      </c>
      <c r="G123" s="215">
        <f>IF(ROUND(G88,4)=ROUND(
SUMIFS(OP_Rates_RES_2[Ausnet],OP_Rates_RES_2[[Rate name]:[Rate name]],$C123)+
SUMIFS(OP_RatesTU_RES_2[Ausnet],OP_RatesTU_RES_2[[Rate name]:[Rate name]],
IF($D123&lt;&gt;"$",$C123,
IF($C123="Anytime - supply","Anytime","TOU"))),4),
0,1)</f>
        <v>0</v>
      </c>
      <c r="H123" s="215">
        <f>IF(ROUND(H88,4)=ROUND(
SUMIFS(OP_Rates_RES_2[Citipower],OP_Rates_RES_2[[Rate name]:[Rate name]],$C123)+
SUMIFS(OP_RatesTU_RES_2[Citipower],OP_RatesTU_RES_2[[Rate name]:[Rate name]],
IF($D123&lt;&gt;"$",$C123,
IF($C123="Anytime - supply","Anytime","TOU"))),4),
0,1)</f>
        <v>0</v>
      </c>
      <c r="I123" s="215">
        <f>IF(ROUND(I88,4)=ROUND(
SUMIFS(OP_Rates_RES_2[Jemena],OP_Rates_RES_2[[Rate name]:[Rate name]],$C123)+
SUMIFS(OP_RatesTU_RES_2[Jemena],OP_RatesTU_RES_2[[Rate name]:[Rate name]],
IF($D123&lt;&gt;"$",$C123,
IF($C123="Anytime - supply","Anytime","TOU"))),4),
0,1)</f>
        <v>0</v>
      </c>
      <c r="J123" s="215">
        <f>IF(ROUND(J88,4)=ROUND(
SUMIFS(OP_Rates_RES_2[Powercor],OP_Rates_RES_2[[Rate name]:[Rate name]],$C123)+
SUMIFS(OP_RatesTU_RES_2[Powercor],OP_RatesTU_RES_2[[Rate name]:[Rate name]],
IF($D123&lt;&gt;"$",$C123,
IF($C123="Anytime - supply","Anytime","TOU"))),4),
0,1)</f>
        <v>0</v>
      </c>
      <c r="K123" s="215">
        <f>IF(ROUND(K88,4)=ROUND(
SUMIFS(OP_Rates_RES_2[United Energy],OP_Rates_RES_2[[Rate name]:[Rate name]],$C123)+
SUMIFS(OP_RatesTU_RES_2[United Energy],OP_RatesTU_RES_2[[Rate name]:[Rate name]],
IF($D123&lt;&gt;"$",$C123,
IF($C123="Anytime - supply","Anytime","TOU"))),4),
0,1)</f>
        <v>0</v>
      </c>
      <c r="M123" s="42" t="s">
        <v>74</v>
      </c>
      <c r="N123" s="42" t="s">
        <v>69</v>
      </c>
      <c r="O123" s="42" t="s">
        <v>67</v>
      </c>
      <c r="Q123" s="215">
        <f>IF(ROUND(Q88,4)=ROUND(
SUMIFS(OP_Rates_SME_2[Ausnet],OP_Rates_SME_2[[Rate name]:[Rate name]],$M123)+
SUMIFS(OP_RatesTU_SME_2[Ausnet],OP_RatesTU_SME_2[[Rate name]:[Rate name]],
IF($N123&lt;&gt;"$",$M123,
IF($M123="Anytime - supply","Anytime","TOU"))),4),
0,1)</f>
        <v>0</v>
      </c>
      <c r="R123" s="215">
        <f>IF(ROUND(R88,4)=ROUND(
SUMIFS(OP_Rates_SME_2[Citipower],OP_Rates_SME_2[[Rate name]:[Rate name]],$M123)+
SUMIFS(OP_RatesTU_SME_2[Citipower],OP_RatesTU_SME_2[[Rate name]:[Rate name]],
IF($N123&lt;&gt;"$",$M123,
IF($M123="Anytime - supply","Anytime","TOU"))),4),
0,1)</f>
        <v>0</v>
      </c>
      <c r="S123" s="215">
        <f>IF(ROUND(S88,4)=ROUND(
SUMIFS(OP_Rates_SME_2[Jemena],OP_Rates_SME_2[[Rate name]:[Rate name]],$M123)+
SUMIFS(OP_RatesTU_SME_2[Jemena],OP_RatesTU_SME_2[[Rate name]:[Rate name]],
IF($N123&lt;&gt;"$",$M123,
IF($M123="Anytime - supply","Anytime","TOU"))),4),
0,1)</f>
        <v>0</v>
      </c>
      <c r="T123" s="215">
        <f>IF(ROUND(T88,4)=ROUND(
SUMIFS(OP_Rates_SME_2[Powercor],OP_Rates_SME_2[[Rate name]:[Rate name]],$M123)+
SUMIFS(OP_RatesTU_SME_2[Powercor],OP_RatesTU_SME_2[[Rate name]:[Rate name]],
IF($N123&lt;&gt;"$",$M123,
IF($M123="Anytime - supply","Anytime","TOU"))),4),
0,1)</f>
        <v>0</v>
      </c>
      <c r="U123" s="215">
        <f>IF(ROUND(U88,4)=ROUND(
SUMIFS(OP_Rates_SME_2[United Energy],OP_Rates_SME_2[[Rate name]:[Rate name]],$M123)+
SUMIFS(OP_RatesTU_SME_2[United Energy],OP_RatesTU_SME_2[[Rate name]:[Rate name]],
IF($N123&lt;&gt;"$",$M123,
IF($M123="Anytime - supply","Anytime","TOU"))),4),
0,1)</f>
        <v>0</v>
      </c>
    </row>
    <row r="124" spans="3:21" ht="15.75" hidden="1" outlineLevel="2" x14ac:dyDescent="0.25">
      <c r="C124" s="42" t="s">
        <v>75</v>
      </c>
      <c r="D124" s="42" t="s">
        <v>69</v>
      </c>
      <c r="E124" s="42" t="s">
        <v>66</v>
      </c>
      <c r="G124" s="215">
        <f>IF(ROUND(G89,4)=ROUND(
SUMIFS(OP_Rates_RES_2[Ausnet],OP_Rates_RES_2[[Rate name]:[Rate name]],$C124)+
SUMIFS(OP_RatesTU_RES_2[Ausnet],OP_RatesTU_RES_2[[Rate name]:[Rate name]],
IF($D124&lt;&gt;"$",$C124,
IF($C124="Anytime - supply","Anytime","TOU"))),4),
0,1)</f>
        <v>0</v>
      </c>
      <c r="H124" s="215">
        <f>IF(ROUND(H89,4)=ROUND(
SUMIFS(OP_Rates_RES_2[Citipower],OP_Rates_RES_2[[Rate name]:[Rate name]],$C124)+
SUMIFS(OP_RatesTU_RES_2[Citipower],OP_RatesTU_RES_2[[Rate name]:[Rate name]],
IF($D124&lt;&gt;"$",$C124,
IF($C124="Anytime - supply","Anytime","TOU"))),4),
0,1)</f>
        <v>0</v>
      </c>
      <c r="I124" s="215">
        <f>IF(ROUND(I89,4)=ROUND(
SUMIFS(OP_Rates_RES_2[Jemena],OP_Rates_RES_2[[Rate name]:[Rate name]],$C124)+
SUMIFS(OP_RatesTU_RES_2[Jemena],OP_RatesTU_RES_2[[Rate name]:[Rate name]],
IF($D124&lt;&gt;"$",$C124,
IF($C124="Anytime - supply","Anytime","TOU"))),4),
0,1)</f>
        <v>0</v>
      </c>
      <c r="J124" s="215">
        <f>IF(ROUND(J89,4)=ROUND(
SUMIFS(OP_Rates_RES_2[Powercor],OP_Rates_RES_2[[Rate name]:[Rate name]],$C124)+
SUMIFS(OP_RatesTU_RES_2[Powercor],OP_RatesTU_RES_2[[Rate name]:[Rate name]],
IF($D124&lt;&gt;"$",$C124,
IF($C124="Anytime - supply","Anytime","TOU"))),4),
0,1)</f>
        <v>0</v>
      </c>
      <c r="K124" s="215">
        <f>IF(ROUND(K89,4)=ROUND(
SUMIFS(OP_Rates_RES_2[United Energy],OP_Rates_RES_2[[Rate name]:[Rate name]],$C124)+
SUMIFS(OP_RatesTU_RES_2[United Energy],OP_RatesTU_RES_2[[Rate name]:[Rate name]],
IF($D124&lt;&gt;"$",$C124,
IF($C124="Anytime - supply","Anytime","TOU"))),4),
0,1)</f>
        <v>0</v>
      </c>
      <c r="M124" s="42"/>
      <c r="N124" s="42"/>
      <c r="O124" s="42"/>
      <c r="Q124" s="215"/>
      <c r="R124" s="215"/>
      <c r="S124" s="215"/>
      <c r="T124" s="215"/>
      <c r="U124" s="215"/>
    </row>
    <row r="125" spans="3:21" hidden="1" outlineLevel="2" x14ac:dyDescent="0.25">
      <c r="P125" s="62"/>
      <c r="Q125" s="62"/>
      <c r="R125" s="62"/>
    </row>
    <row r="126" spans="3:21" ht="15.75" hidden="1" outlineLevel="2" x14ac:dyDescent="0.25">
      <c r="C126" s="24" t="str">
        <f>C$91&amp;" - checks"</f>
        <v>Residential calculated rate - checks</v>
      </c>
      <c r="M126" s="24" t="str">
        <f>M$91&amp;" - checks"</f>
        <v>Small business calculated rate - checks</v>
      </c>
    </row>
    <row r="127" spans="3:21" ht="15.75" hidden="1" outlineLevel="2" x14ac:dyDescent="0.25">
      <c r="C127" s="31" t="s">
        <v>55</v>
      </c>
      <c r="D127" s="31" t="s">
        <v>56</v>
      </c>
      <c r="E127" s="31" t="s">
        <v>57</v>
      </c>
      <c r="G127" s="35" t="s">
        <v>59</v>
      </c>
      <c r="H127" s="35" t="s">
        <v>60</v>
      </c>
      <c r="I127" s="35" t="s">
        <v>61</v>
      </c>
      <c r="J127" s="35" t="s">
        <v>62</v>
      </c>
      <c r="K127" s="35" t="s">
        <v>63</v>
      </c>
      <c r="M127" s="31" t="s">
        <v>55</v>
      </c>
      <c r="N127" s="31" t="s">
        <v>56</v>
      </c>
      <c r="O127" s="31" t="s">
        <v>57</v>
      </c>
      <c r="Q127" s="35" t="s">
        <v>59</v>
      </c>
      <c r="R127" s="35" t="s">
        <v>60</v>
      </c>
      <c r="S127" s="35" t="s">
        <v>61</v>
      </c>
      <c r="T127" s="35" t="s">
        <v>62</v>
      </c>
      <c r="U127" s="35" t="s">
        <v>63</v>
      </c>
    </row>
    <row r="128" spans="3:21" ht="15.75" hidden="1" outlineLevel="2" x14ac:dyDescent="0.25">
      <c r="C128" s="18" t="s">
        <v>64</v>
      </c>
      <c r="D128" s="18" t="s">
        <v>65</v>
      </c>
      <c r="E128" s="18" t="s">
        <v>66</v>
      </c>
      <c r="G128" s="215" cm="1">
        <f t="array" ref="G128">IF(G93="-","-",
IF(ROUND(G93,8)=
ROUND(((
(SUMIFS(Calc_NetworkF_2[Ausnet],Calc_NetworkF_2[[Cost item]:[Cost item]],$C128,Calc_NetworkF_2[[Customer type]:[Customer type]],$E128)+
SUMIFS(Calc_Fixed_2[Ausnet],Calc_Fixed_2[[Customer type]:[Customer type]],"All")+
SUMIFS(Calc_Fixed_2[Ausnet],Calc_Fixed_2[[Customer type]:[Customer type]],$E128))/DiPY)*(1+Calc_ROM_2[Ausnet]))*(1+GST),8),0,1))</f>
        <v>0</v>
      </c>
      <c r="H128" s="215" cm="1">
        <f t="array" ref="H128">IF(H93="-","-",
IF(ROUND(H93,8)=
ROUND(((
(SUMIFS(Calc_NetworkF_2[Citipower],Calc_NetworkF_2[[Cost item]:[Cost item]],$C128,Calc_NetworkF_2[[Customer type]:[Customer type]],$E128)+
SUMIFS(Calc_Fixed_2[Citipower],Calc_Fixed_2[[Customer type]:[Customer type]],"All")+
SUMIFS(Calc_Fixed_2[Citipower],Calc_Fixed_2[[Customer type]:[Customer type]],$E128))/DiPY)*(1+Calc_ROM_2[Citipower]))*(1+GST),8),0,1))</f>
        <v>0</v>
      </c>
      <c r="I128" s="215" cm="1">
        <f t="array" ref="I128">IF(I93="-","-",
IF(ROUND(I93,8)=
ROUND(((
(SUMIFS(Calc_NetworkF_2[Jemena],Calc_NetworkF_2[[Cost item]:[Cost item]],$C128,Calc_NetworkF_2[[Customer type]:[Customer type]],$E128)+
SUMIFS(Calc_Fixed_2[Jemena],Calc_Fixed_2[[Customer type]:[Customer type]],"All")+
SUMIFS(Calc_Fixed_2[Jemena],Calc_Fixed_2[[Customer type]:[Customer type]],$E128))/DiPY)*(1+Calc_ROM_2[Jemena]))*(1+GST),8),0,1))</f>
        <v>0</v>
      </c>
      <c r="J128" s="215" cm="1">
        <f t="array" ref="J128">IF(J93="-","-",
IF(ROUND(J93,8)=
ROUND(((
(SUMIFS(Calc_NetworkF_2[Powercor],Calc_NetworkF_2[[Cost item]:[Cost item]],$C128,Calc_NetworkF_2[[Customer type]:[Customer type]],$E128)+
SUMIFS(Calc_Fixed_2[Powercor],Calc_Fixed_2[[Customer type]:[Customer type]],"All")+
SUMIFS(Calc_Fixed_2[Powercor],Calc_Fixed_2[[Customer type]:[Customer type]],$E128))/DiPY)*(1+Calc_ROM_2[Powercor]))*(1+GST),8),0,1))</f>
        <v>0</v>
      </c>
      <c r="K128" s="215" cm="1">
        <f t="array" ref="K128">IF(K93="-","-",
IF(ROUND(K93,8)=
ROUND(((
(SUMIFS(Calc_NetworkF_2[United Energy],Calc_NetworkF_2[[Cost item]:[Cost item]],$C128,Calc_NetworkF_2[[Customer type]:[Customer type]],$E128)+
SUMIFS(Calc_Fixed_2[United Energy],Calc_Fixed_2[[Customer type]:[Customer type]],"All")+
SUMIFS(Calc_Fixed_2[United Energy],Calc_Fixed_2[[Customer type]:[Customer type]],$E128))/DiPY)*(1+Calc_ROM_2[United Energy]))*(1+GST),8),0,1))</f>
        <v>0</v>
      </c>
      <c r="M128" s="18" t="s">
        <v>64</v>
      </c>
      <c r="N128" s="18" t="s">
        <v>65</v>
      </c>
      <c r="O128" s="18" t="s">
        <v>67</v>
      </c>
      <c r="Q128" s="215" cm="1">
        <f t="array" ref="Q128">IF(Q93="-","-",
IF(ROUND(Q93,8)=
ROUND((((SUMIFS(Calc_NetworkF_2[Ausnet],Calc_NetworkF_2[[Cost item]:[Cost item]],$M128,Calc_NetworkF_2[[Customer type]:[Customer type]],$O128)+SUMIFS(Calc_Fixed_2[Ausnet],Calc_Fixed_2[[Customer type]:[Customer type]],"All")+SUMIFS(Calc_Fixed_2[Ausnet],Calc_Fixed_2[[Customer type]:[Customer type]],$O128))/DiPY)*(1+Calc_ROM_2[Ausnet]))*(1+GST),8),0,1))</f>
        <v>0</v>
      </c>
      <c r="R128" s="215" cm="1">
        <f t="array" ref="R128">IF(R93="-","-",
IF(ROUND(R93,8)=
ROUND((((SUMIFS(Calc_NetworkF_2[Citipower],Calc_NetworkF_2[[Cost item]:[Cost item]],$M128,Calc_NetworkF_2[[Customer type]:[Customer type]],$O128)+SUMIFS(Calc_Fixed_2[Citipower],Calc_Fixed_2[[Customer type]:[Customer type]],"All")+SUMIFS(Calc_Fixed_2[Citipower],Calc_Fixed_2[[Customer type]:[Customer type]],$O128))/DiPY)*(1+Calc_ROM_2[Citipower]))*(1+GST),8),0,1))</f>
        <v>0</v>
      </c>
      <c r="S128" s="215" cm="1">
        <f t="array" ref="S128">IF(S93="-","-",
IF(ROUND(S93,8)=
ROUND((((SUMIFS(Calc_NetworkF_2[Jemena],Calc_NetworkF_2[[Cost item]:[Cost item]],$M128,Calc_NetworkF_2[[Customer type]:[Customer type]],$O128)+SUMIFS(Calc_Fixed_2[Jemena],Calc_Fixed_2[[Customer type]:[Customer type]],"All")+SUMIFS(Calc_Fixed_2[Jemena],Calc_Fixed_2[[Customer type]:[Customer type]],$O128))/DiPY)*(1+Calc_ROM_2[Jemena]))*(1+GST),8),0,1))</f>
        <v>0</v>
      </c>
      <c r="T128" s="215" cm="1">
        <f t="array" ref="T128">IF(T93="-","-",
IF(ROUND(T93,8)=
ROUND((((SUMIFS(Calc_NetworkF_2[Powercor],Calc_NetworkF_2[[Cost item]:[Cost item]],$M128,Calc_NetworkF_2[[Customer type]:[Customer type]],$O128)+SUMIFS(Calc_Fixed_2[Powercor],Calc_Fixed_2[[Customer type]:[Customer type]],"All")+SUMIFS(Calc_Fixed_2[Powercor],Calc_Fixed_2[[Customer type]:[Customer type]],$O128))/DiPY)*(1+Calc_ROM_2[Powercor]))*(1+GST),8),0,1))</f>
        <v>0</v>
      </c>
      <c r="U128" s="215" cm="1">
        <f t="array" ref="U128">IF(U93="-","-",
IF(ROUND(U93,8)=
ROUND((((SUMIFS(Calc_NetworkF_2[United Energy],Calc_NetworkF_2[[Cost item]:[Cost item]],$M128,Calc_NetworkF_2[[Customer type]:[Customer type]],$O128)+SUMIFS(Calc_Fixed_2[United Energy],Calc_Fixed_2[[Customer type]:[Customer type]],"All")+SUMIFS(Calc_Fixed_2[United Energy],Calc_Fixed_2[[Customer type]:[Customer type]],$O128))/DiPY)*(1+Calc_ROM_2[United Energy]))*(1+GST),8),0,1))</f>
        <v>0</v>
      </c>
    </row>
    <row r="129" spans="3:21" ht="15.75" hidden="1" outlineLevel="2" x14ac:dyDescent="0.25">
      <c r="C129" s="18" t="s">
        <v>68</v>
      </c>
      <c r="D129" s="18" t="s">
        <v>69</v>
      </c>
      <c r="E129" s="18" t="s">
        <v>66</v>
      </c>
      <c r="G129" s="215" cm="1">
        <f t="array" ref="G129">IF(G94="-","-",
IF(ROUND(G94,8)=ROUND(
((SUMIFS(Calc_Variable_2[Ausnet],Calc_Variable_2[[Customer type]:[Customer type]],"All")+
SUMIFS(Calc_Variable_2[Ausnet],Calc_Variable_2[[Customer type]:[Customer type]],OP_Rates!$E129)+
SUMIFS(Calc_NetworkV_2[Ausnet],Calc_NetworkV_2[[Customer type]:[Customer type]],OP_Rates!$E129,Calc_NetworkV_2[[Cost item]:[Cost item]],OP_Rates!$C129))*(1+Calc_ROM_2[Ausnet]))*(1+GST),8),0,1))</f>
        <v>0</v>
      </c>
      <c r="H129" s="215" t="str" cm="1">
        <f t="array" ref="H129">IF(H94="-","-",
IF(ROUND(H94,8)=ROUND(
((SUMIFS(Calc_Variable_2[Citipower],Calc_Variable_2[[Customer type]:[Customer type]],"All")+
SUMIFS(Calc_Variable_2[Citipower],Calc_Variable_2[[Customer type]:[Customer type]],OP_Rates!$E129)+
SUMIFS(Calc_NetworkV_2[Citipower],Calc_NetworkV_2[[Customer type]:[Customer type]],OP_Rates!$E129,Calc_NetworkV_2[[Cost item]:[Cost item]],OP_Rates!$C129))*(1+Calc_ROM_2[Citipower]))*(1+GST),8),0,1))</f>
        <v>-</v>
      </c>
      <c r="I129" s="215" t="str" cm="1">
        <f t="array" ref="I129">IF(I94="-","-",
IF(ROUND(I94,8)=ROUND(
((SUMIFS(Calc_Variable_2[Jemena],Calc_Variable_2[[Customer type]:[Customer type]],"All")+
SUMIFS(Calc_Variable_2[Jemena],Calc_Variable_2[[Customer type]:[Customer type]],OP_Rates!$E129)+
SUMIFS(Calc_NetworkV_2[Jemena],Calc_NetworkV_2[[Customer type]:[Customer type]],OP_Rates!$E129,Calc_NetworkV_2[[Cost item]:[Cost item]],OP_Rates!$C129))*(1+Calc_ROM_2[Jemena]))*(1+GST),8),0,1))</f>
        <v>-</v>
      </c>
      <c r="J129" s="215" t="str" cm="1">
        <f t="array" ref="J129">IF(J94="-","-",
IF(ROUND(J94,8)=ROUND(
((SUMIFS(Calc_Variable_2[Powercor],Calc_Variable_2[[Customer type]:[Customer type]],"All")+
SUMIFS(Calc_Variable_2[Powercor],Calc_Variable_2[[Customer type]:[Customer type]],OP_Rates!$E129)+
SUMIFS(Calc_NetworkV_2[Powercor],Calc_NetworkV_2[[Customer type]:[Customer type]],OP_Rates!$E129,Calc_NetworkV_2[[Cost item]:[Cost item]],OP_Rates!$C129))*(1+Calc_ROM_2[Powercor]))*(1+GST),8),0,1))</f>
        <v>-</v>
      </c>
      <c r="K129" s="215" t="str" cm="1">
        <f t="array" ref="K129">IF(K94="-","-",
IF(ROUND(K94,8)=ROUND(
((SUMIFS(Calc_Variable_2[United Energy],Calc_Variable_2[[Customer type]:[Customer type]],"All")+
SUMIFS(Calc_Variable_2[United Energy],Calc_Variable_2[[Customer type]:[Customer type]],OP_Rates!$E129)+
SUMIFS(Calc_NetworkV_2[United Energy],Calc_NetworkV_2[[Customer type]:[Customer type]],OP_Rates!$E129,Calc_NetworkV_2[[Cost item]:[Cost item]],OP_Rates!$C129))*(1+Calc_ROM_2[United Energy]))*(1+GST),8),0,1))</f>
        <v>-</v>
      </c>
      <c r="M129" s="18" t="s">
        <v>68</v>
      </c>
      <c r="N129" s="18" t="s">
        <v>69</v>
      </c>
      <c r="O129" s="18" t="s">
        <v>67</v>
      </c>
      <c r="Q129" s="215" cm="1">
        <f t="array" ref="Q129">IF(Q94="-","-",
IF(ROUND(Q94,8)=ROUND(
((SUMIFS(Calc_Variable_2[Ausnet],Calc_Variable_2[[Customer type]:[Customer type]],"All")+SUMIFS(Calc_Variable_2[Ausnet],Calc_Variable_2[[Customer type]:[Customer type]],OP_Rates!$O129)+
SUMIFS(Calc_NetworkV_2[Ausnet],Calc_NetworkV_2[[Customer type]:[Customer type]],OP_Rates!$O129,Calc_NetworkV_2[[Cost item]:[Cost item]],OP_Rates!$M129))*(1+Calc_ROM_2[Ausnet]))*(1+GST),8),0,1))</f>
        <v>0</v>
      </c>
      <c r="R129" s="215" t="str" cm="1">
        <f t="array" ref="R129">IF(R94="-","-",
IF(ROUND(R94,8)=ROUND(
((SUMIFS(Calc_Variable_2[Citipower],Calc_Variable_2[[Customer type]:[Customer type]],"All")+SUMIFS(Calc_Variable_2[Citipower],Calc_Variable_2[[Customer type]:[Customer type]],OP_Rates!$O129)+
SUMIFS(Calc_NetworkV_2[Citipower],Calc_NetworkV_2[[Customer type]:[Customer type]],OP_Rates!$O129,Calc_NetworkV_2[[Cost item]:[Cost item]],OP_Rates!$M129))*(1+Calc_ROM_2[Citipower]))*(1+GST),8),0,1))</f>
        <v>-</v>
      </c>
      <c r="S129" s="215" t="str" cm="1">
        <f t="array" ref="S129">IF(S94="-","-",
IF(ROUND(S94,8)=ROUND(
((SUMIFS(Calc_Variable_2[Jemena],Calc_Variable_2[[Customer type]:[Customer type]],"All")+SUMIFS(Calc_Variable_2[Jemena],Calc_Variable_2[[Customer type]:[Customer type]],OP_Rates!$O129)+
SUMIFS(Calc_NetworkV_2[Jemena],Calc_NetworkV_2[[Customer type]:[Customer type]],OP_Rates!$O129,Calc_NetworkV_2[[Cost item]:[Cost item]],OP_Rates!$M129))*(1+Calc_ROM_2[Jemena]))*(1+GST),8),0,1))</f>
        <v>-</v>
      </c>
      <c r="T129" s="215" t="str" cm="1">
        <f t="array" ref="T129">IF(T94="-","-",
IF(ROUND(T94,8)=ROUND(
((SUMIFS(Calc_Variable_2[Powercor],Calc_Variable_2[[Customer type]:[Customer type]],"All")+SUMIFS(Calc_Variable_2[Powercor],Calc_Variable_2[[Customer type]:[Customer type]],OP_Rates!$O129)+
SUMIFS(Calc_NetworkV_2[Powercor],Calc_NetworkV_2[[Customer type]:[Customer type]],OP_Rates!$O129,Calc_NetworkV_2[[Cost item]:[Cost item]],OP_Rates!$M129))*(1+Calc_ROM_2[Powercor]))*(1+GST),8),0,1))</f>
        <v>-</v>
      </c>
      <c r="U129" s="215" t="str" cm="1">
        <f t="array" ref="U129">IF(U94="-","-",
IF(ROUND(U94,8)=ROUND(
((SUMIFS(Calc_Variable_2[United Energy],Calc_Variable_2[[Customer type]:[Customer type]],"All")+SUMIFS(Calc_Variable_2[United Energy],Calc_Variable_2[[Customer type]:[Customer type]],OP_Rates!$O129)+
SUMIFS(Calc_NetworkV_2[United Energy],Calc_NetworkV_2[[Customer type]:[Customer type]],OP_Rates!$O129,Calc_NetworkV_2[[Cost item]:[Cost item]],OP_Rates!$M129))*(1+Calc_ROM_2[United Energy]))*(1+GST),8),0,1))</f>
        <v>-</v>
      </c>
    </row>
    <row r="130" spans="3:21" ht="15.75" hidden="1" outlineLevel="2" x14ac:dyDescent="0.25">
      <c r="C130" s="18" t="s">
        <v>70</v>
      </c>
      <c r="D130" s="18" t="s">
        <v>69</v>
      </c>
      <c r="E130" s="18" t="s">
        <v>66</v>
      </c>
      <c r="G130" s="215" cm="1">
        <f t="array" ref="G130">IF(G95="-","-",
IF(ROUND(G95,8)=ROUND(
((SUMIFS(Calc_Variable_2[Ausnet],Calc_Variable_2[[Customer type]:[Customer type]],"All")+
SUMIFS(Calc_Variable_2[Ausnet],Calc_Variable_2[[Customer type]:[Customer type]],OP_Rates!$E130)+
SUMIFS(Calc_NetworkV_2[Ausnet],Calc_NetworkV_2[[Customer type]:[Customer type]],OP_Rates!$E130,Calc_NetworkV_2[[Cost item]:[Cost item]],OP_Rates!$C130))*(1+Calc_ROM_2[Ausnet]))*(1+GST),8),0,1))</f>
        <v>0</v>
      </c>
      <c r="H130" s="215" t="str" cm="1">
        <f t="array" ref="H130">IF(H95="-","-",
IF(ROUND(H95,8)=ROUND(
((SUMIFS(Calc_Variable_2[Citipower],Calc_Variable_2[[Customer type]:[Customer type]],"All")+
SUMIFS(Calc_Variable_2[Citipower],Calc_Variable_2[[Customer type]:[Customer type]],OP_Rates!$E130)+
SUMIFS(Calc_NetworkV_2[Citipower],Calc_NetworkV_2[[Customer type]:[Customer type]],OP_Rates!$E130,Calc_NetworkV_2[[Cost item]:[Cost item]],OP_Rates!$C130))*(1+Calc_ROM_2[Citipower]))*(1+GST),8),0,1))</f>
        <v>-</v>
      </c>
      <c r="I130" s="215" t="str" cm="1">
        <f t="array" ref="I130">IF(I95="-","-",
IF(ROUND(I95,8)=ROUND(
((SUMIFS(Calc_Variable_2[Jemena],Calc_Variable_2[[Customer type]:[Customer type]],"All")+
SUMIFS(Calc_Variable_2[Jemena],Calc_Variable_2[[Customer type]:[Customer type]],OP_Rates!$E130)+
SUMIFS(Calc_NetworkV_2[Jemena],Calc_NetworkV_2[[Customer type]:[Customer type]],OP_Rates!$E130,Calc_NetworkV_2[[Cost item]:[Cost item]],OP_Rates!$C130))*(1+Calc_ROM_2[Jemena]))*(1+GST),8),0,1))</f>
        <v>-</v>
      </c>
      <c r="J130" s="215" t="str" cm="1">
        <f t="array" ref="J130">IF(J95="-","-",
IF(ROUND(J95,8)=ROUND(
((SUMIFS(Calc_Variable_2[Powercor],Calc_Variable_2[[Customer type]:[Customer type]],"All")+
SUMIFS(Calc_Variable_2[Powercor],Calc_Variable_2[[Customer type]:[Customer type]],OP_Rates!$E130)+
SUMIFS(Calc_NetworkV_2[Powercor],Calc_NetworkV_2[[Customer type]:[Customer type]],OP_Rates!$E130,Calc_NetworkV_2[[Cost item]:[Cost item]],OP_Rates!$C130))*(1+Calc_ROM_2[Powercor]))*(1+GST),8),0,1))</f>
        <v>-</v>
      </c>
      <c r="K130" s="215" t="str" cm="1">
        <f t="array" ref="K130">IF(K95="-","-",
IF(ROUND(K95,8)=ROUND(
((SUMIFS(Calc_Variable_2[United Energy],Calc_Variable_2[[Customer type]:[Customer type]],"All")+
SUMIFS(Calc_Variable_2[United Energy],Calc_Variable_2[[Customer type]:[Customer type]],OP_Rates!$E130)+
SUMIFS(Calc_NetworkV_2[United Energy],Calc_NetworkV_2[[Customer type]:[Customer type]],OP_Rates!$E130,Calc_NetworkV_2[[Cost item]:[Cost item]],OP_Rates!$C130))*(1+Calc_ROM_2[United Energy]))*(1+GST),8),0,1))</f>
        <v>-</v>
      </c>
      <c r="M130" s="18" t="s">
        <v>70</v>
      </c>
      <c r="N130" s="18" t="s">
        <v>69</v>
      </c>
      <c r="O130" s="18" t="s">
        <v>67</v>
      </c>
      <c r="Q130" s="215" cm="1">
        <f t="array" ref="Q130">IF(Q95="-","-",
IF(ROUND(Q95,8)=ROUND(
((SUMIFS(Calc_Variable_2[Ausnet],Calc_Variable_2[[Customer type]:[Customer type]],"All")+SUMIFS(Calc_Variable_2[Ausnet],Calc_Variable_2[[Customer type]:[Customer type]],OP_Rates!$O130)+
SUMIFS(Calc_NetworkV_2[Ausnet],Calc_NetworkV_2[[Customer type]:[Customer type]],OP_Rates!$O130,Calc_NetworkV_2[[Cost item]:[Cost item]],OP_Rates!$M130))*(1+Calc_ROM_2[Ausnet]))*(1+GST),8),0,1))</f>
        <v>0</v>
      </c>
      <c r="R130" s="215" t="str" cm="1">
        <f t="array" ref="R130">IF(R95="-","-",
IF(ROUND(R95,8)=ROUND(
((SUMIFS(Calc_Variable_2[Citipower],Calc_Variable_2[[Customer type]:[Customer type]],"All")+SUMIFS(Calc_Variable_2[Citipower],Calc_Variable_2[[Customer type]:[Customer type]],OP_Rates!$O130)+
SUMIFS(Calc_NetworkV_2[Citipower],Calc_NetworkV_2[[Customer type]:[Customer type]],OP_Rates!$O130,Calc_NetworkV_2[[Cost item]:[Cost item]],OP_Rates!$M130))*(1+Calc_ROM_2[Citipower]))*(1+GST),8),0,1))</f>
        <v>-</v>
      </c>
      <c r="S130" s="215" t="str" cm="1">
        <f t="array" ref="S130">IF(S95="-","-",
IF(ROUND(S95,8)=ROUND(
((SUMIFS(Calc_Variable_2[Jemena],Calc_Variable_2[[Customer type]:[Customer type]],"All")+SUMIFS(Calc_Variable_2[Jemena],Calc_Variable_2[[Customer type]:[Customer type]],OP_Rates!$O130)+
SUMIFS(Calc_NetworkV_2[Jemena],Calc_NetworkV_2[[Customer type]:[Customer type]],OP_Rates!$O130,Calc_NetworkV_2[[Cost item]:[Cost item]],OP_Rates!$M130))*(1+Calc_ROM_2[Jemena]))*(1+GST),8),0,1))</f>
        <v>-</v>
      </c>
      <c r="T130" s="215" t="str" cm="1">
        <f t="array" ref="T130">IF(T95="-","-",
IF(ROUND(T95,8)=ROUND(
((SUMIFS(Calc_Variable_2[Powercor],Calc_Variable_2[[Customer type]:[Customer type]],"All")+SUMIFS(Calc_Variable_2[Powercor],Calc_Variable_2[[Customer type]:[Customer type]],OP_Rates!$O130)+
SUMIFS(Calc_NetworkV_2[Powercor],Calc_NetworkV_2[[Customer type]:[Customer type]],OP_Rates!$O130,Calc_NetworkV_2[[Cost item]:[Cost item]],OP_Rates!$M130))*(1+Calc_ROM_2[Powercor]))*(1+GST),8),0,1))</f>
        <v>-</v>
      </c>
      <c r="U130" s="215" t="str" cm="1">
        <f t="array" ref="U130">IF(U95="-","-",
IF(ROUND(U95,8)=ROUND(
((SUMIFS(Calc_Variable_2[United Energy],Calc_Variable_2[[Customer type]:[Customer type]],"All")+SUMIFS(Calc_Variable_2[United Energy],Calc_Variable_2[[Customer type]:[Customer type]],OP_Rates!$O130)+
SUMIFS(Calc_NetworkV_2[United Energy],Calc_NetworkV_2[[Customer type]:[Customer type]],OP_Rates!$O130,Calc_NetworkV_2[[Cost item]:[Cost item]],OP_Rates!$M130))*(1+Calc_ROM_2[United Energy]))*(1+GST),8),0,1))</f>
        <v>-</v>
      </c>
    </row>
    <row r="131" spans="3:21" ht="15.75" hidden="1" outlineLevel="2" x14ac:dyDescent="0.25">
      <c r="C131" s="18" t="s">
        <v>71</v>
      </c>
      <c r="D131" s="18" t="s">
        <v>69</v>
      </c>
      <c r="E131" s="18" t="s">
        <v>66</v>
      </c>
      <c r="G131" s="215" t="str" cm="1">
        <f t="array" ref="G131">IF(G96="-","-",
IF(ROUND(G96,8)=ROUND(
((SUMIFS(Calc_Variable_2[Ausnet],Calc_Variable_2[[Customer type]:[Customer type]],"All")+
SUMIFS(Calc_Variable_2[Ausnet],Calc_Variable_2[[Customer type]:[Customer type]],OP_Rates!$E131)+
SUMIFS(Calc_NetworkV_2[Ausnet],Calc_NetworkV_2[[Customer type]:[Customer type]],OP_Rates!$E131,Calc_NetworkV_2[[Cost item]:[Cost item]],OP_Rates!$C131))*(1+Calc_ROM_2[Ausnet]))*(1+GST),8),0,1))</f>
        <v>-</v>
      </c>
      <c r="H131" s="215" cm="1">
        <f t="array" ref="H131">IF(H96="-","-",
IF(ROUND(H96,8)=ROUND(
((SUMIFS(Calc_Variable_2[Citipower],Calc_Variable_2[[Customer type]:[Customer type]],"All")+
SUMIFS(Calc_Variable_2[Citipower],Calc_Variable_2[[Customer type]:[Customer type]],OP_Rates!$E131)+
SUMIFS(Calc_NetworkV_2[Citipower],Calc_NetworkV_2[[Customer type]:[Customer type]],OP_Rates!$E131,Calc_NetworkV_2[[Cost item]:[Cost item]],OP_Rates!$C131))*(1+Calc_ROM_2[Citipower]))*(1+GST),8),0,1))</f>
        <v>0</v>
      </c>
      <c r="I131" s="215" cm="1">
        <f t="array" ref="I131">IF(I96="-","-",
IF(ROUND(I96,8)=ROUND(
((SUMIFS(Calc_Variable_2[Jemena],Calc_Variable_2[[Customer type]:[Customer type]],"All")+
SUMIFS(Calc_Variable_2[Jemena],Calc_Variable_2[[Customer type]:[Customer type]],OP_Rates!$E131)+
SUMIFS(Calc_NetworkV_2[Jemena],Calc_NetworkV_2[[Customer type]:[Customer type]],OP_Rates!$E131,Calc_NetworkV_2[[Cost item]:[Cost item]],OP_Rates!$C131))*(1+Calc_ROM_2[Jemena]))*(1+GST),8),0,1))</f>
        <v>0</v>
      </c>
      <c r="J131" s="215" cm="1">
        <f t="array" ref="J131">IF(J96="-","-",
IF(ROUND(J96,8)=ROUND(
((SUMIFS(Calc_Variable_2[Powercor],Calc_Variable_2[[Customer type]:[Customer type]],"All")+
SUMIFS(Calc_Variable_2[Powercor],Calc_Variable_2[[Customer type]:[Customer type]],OP_Rates!$E131)+
SUMIFS(Calc_NetworkV_2[Powercor],Calc_NetworkV_2[[Customer type]:[Customer type]],OP_Rates!$E131,Calc_NetworkV_2[[Cost item]:[Cost item]],OP_Rates!$C131))*(1+Calc_ROM_2[Powercor]))*(1+GST),8),0,1))</f>
        <v>0</v>
      </c>
      <c r="K131" s="215" cm="1">
        <f t="array" ref="K131">IF(K96="-","-",
IF(ROUND(K96,8)=ROUND(
((SUMIFS(Calc_Variable_2[United Energy],Calc_Variable_2[[Customer type]:[Customer type]],"All")+
SUMIFS(Calc_Variable_2[United Energy],Calc_Variable_2[[Customer type]:[Customer type]],OP_Rates!$E131)+
SUMIFS(Calc_NetworkV_2[United Energy],Calc_NetworkV_2[[Customer type]:[Customer type]],OP_Rates!$E131,Calc_NetworkV_2[[Cost item]:[Cost item]],OP_Rates!$C131))*(1+Calc_ROM_2[United Energy]))*(1+GST),8),0,1))</f>
        <v>0</v>
      </c>
      <c r="M131" s="18" t="s">
        <v>71</v>
      </c>
      <c r="N131" s="18" t="s">
        <v>69</v>
      </c>
      <c r="O131" s="18" t="s">
        <v>67</v>
      </c>
      <c r="Q131" s="215" t="str" cm="1">
        <f t="array" ref="Q131">IF(Q96="-","-",
IF(ROUND(Q96,8)=ROUND(
((SUMIFS(Calc_Variable_2[Ausnet],Calc_Variable_2[[Customer type]:[Customer type]],"All")+SUMIFS(Calc_Variable_2[Ausnet],Calc_Variable_2[[Customer type]:[Customer type]],OP_Rates!$O131)+
SUMIFS(Calc_NetworkV_2[Ausnet],Calc_NetworkV_2[[Customer type]:[Customer type]],OP_Rates!$O131,Calc_NetworkV_2[[Cost item]:[Cost item]],OP_Rates!$M131))*(1+Calc_ROM_2[Ausnet]))*(1+GST),8),0,1))</f>
        <v>-</v>
      </c>
      <c r="R131" s="215" cm="1">
        <f t="array" ref="R131">IF(R96="-","-",
IF(ROUND(R96,8)=ROUND(
((SUMIFS(Calc_Variable_2[Citipower],Calc_Variable_2[[Customer type]:[Customer type]],"All")+SUMIFS(Calc_Variable_2[Citipower],Calc_Variable_2[[Customer type]:[Customer type]],OP_Rates!$O131)+
SUMIFS(Calc_NetworkV_2[Citipower],Calc_NetworkV_2[[Customer type]:[Customer type]],OP_Rates!$O131,Calc_NetworkV_2[[Cost item]:[Cost item]],OP_Rates!$M131))*(1+Calc_ROM_2[Citipower]))*(1+GST),8),0,1))</f>
        <v>0</v>
      </c>
      <c r="S131" s="215" cm="1">
        <f t="array" ref="S131">IF(S96="-","-",
IF(ROUND(S96,8)=ROUND(
((SUMIFS(Calc_Variable_2[Jemena],Calc_Variable_2[[Customer type]:[Customer type]],"All")+SUMIFS(Calc_Variable_2[Jemena],Calc_Variable_2[[Customer type]:[Customer type]],OP_Rates!$O131)+
SUMIFS(Calc_NetworkV_2[Jemena],Calc_NetworkV_2[[Customer type]:[Customer type]],OP_Rates!$O131,Calc_NetworkV_2[[Cost item]:[Cost item]],OP_Rates!$M131))*(1+Calc_ROM_2[Jemena]))*(1+GST),8),0,1))</f>
        <v>0</v>
      </c>
      <c r="T131" s="215" cm="1">
        <f t="array" ref="T131">IF(T96="-","-",
IF(ROUND(T96,8)=ROUND(
((SUMIFS(Calc_Variable_2[Powercor],Calc_Variable_2[[Customer type]:[Customer type]],"All")+SUMIFS(Calc_Variable_2[Powercor],Calc_Variable_2[[Customer type]:[Customer type]],OP_Rates!$O131)+
SUMIFS(Calc_NetworkV_2[Powercor],Calc_NetworkV_2[[Customer type]:[Customer type]],OP_Rates!$O131,Calc_NetworkV_2[[Cost item]:[Cost item]],OP_Rates!$M131))*(1+Calc_ROM_2[Powercor]))*(1+GST),8),0,1))</f>
        <v>0</v>
      </c>
      <c r="U131" s="215" cm="1">
        <f t="array" ref="U131">IF(U96="-","-",
IF(ROUND(U96,8)=ROUND(
((SUMIFS(Calc_Variable_2[United Energy],Calc_Variable_2[[Customer type]:[Customer type]],"All")+SUMIFS(Calc_Variable_2[United Energy],Calc_Variable_2[[Customer type]:[Customer type]],OP_Rates!$O131)+
SUMIFS(Calc_NetworkV_2[United Energy],Calc_NetworkV_2[[Customer type]:[Customer type]],OP_Rates!$O131,Calc_NetworkV_2[[Cost item]:[Cost item]],OP_Rates!$M131))*(1+Calc_ROM_2[United Energy]))*(1+GST),8),0,1))</f>
        <v>0</v>
      </c>
    </row>
    <row r="132" spans="3:21" ht="15.75" hidden="1" outlineLevel="2" x14ac:dyDescent="0.25">
      <c r="C132" s="18" t="s">
        <v>72</v>
      </c>
      <c r="D132" s="18" t="s">
        <v>65</v>
      </c>
      <c r="E132" s="18" t="s">
        <v>66</v>
      </c>
      <c r="G132" s="215" cm="1">
        <f t="array" ref="G132">IF(G97="-","-",
IF(ROUND(G97,8)=
ROUND((((SUMIFS(Calc_NetworkF_2[Ausnet],Calc_NetworkF_2[[Cost item]:[Cost item]],$C132,Calc_NetworkF_2[[Customer type]:[Customer type]],$E132)+SUMIFS(Calc_Fixed_2[Ausnet],Calc_Fixed_2[[Customer type]:[Customer type]],"All")+SUMIFS(Calc_Fixed_2[Ausnet],Calc_Fixed_2[[Customer type]:[Customer type]],$E132))/DiPY)*(1+Calc_ROM_2[Ausnet]))*(1+GST),8),0,1))</f>
        <v>0</v>
      </c>
      <c r="H132" s="215" cm="1">
        <f t="array" ref="H132">IF(H97="-","-",
IF(ROUND(H97,8)=
ROUND((((SUMIFS(Calc_NetworkF_2[Citipower],Calc_NetworkF_2[[Cost item]:[Cost item]],$C132,Calc_NetworkF_2[[Customer type]:[Customer type]],$E132)+SUMIFS(Calc_Fixed_2[Citipower],Calc_Fixed_2[[Customer type]:[Customer type]],"All")+SUMIFS(Calc_Fixed_2[Citipower],Calc_Fixed_2[[Customer type]:[Customer type]],$E132))/DiPY)*(1+Calc_ROM_2[Citipower]))*(1+GST),8),0,1))</f>
        <v>0</v>
      </c>
      <c r="I132" s="215" cm="1">
        <f t="array" ref="I132">IF(I97="-","-",
IF(ROUND(I97,8)=
ROUND((((SUMIFS(Calc_NetworkF_2[Jemena],Calc_NetworkF_2[[Cost item]:[Cost item]],$C132,Calc_NetworkF_2[[Customer type]:[Customer type]],$E132)+SUMIFS(Calc_Fixed_2[Jemena],Calc_Fixed_2[[Customer type]:[Customer type]],"All")+SUMIFS(Calc_Fixed_2[Jemena],Calc_Fixed_2[[Customer type]:[Customer type]],$E132))/DiPY)*(1+Calc_ROM_2[Jemena]))*(1+GST),8),0,1))</f>
        <v>0</v>
      </c>
      <c r="J132" s="215" cm="1">
        <f t="array" ref="J132">IF(J97="-","-",
IF(ROUND(J97,8)=
ROUND((((SUMIFS(Calc_NetworkF_2[Powercor],Calc_NetworkF_2[[Cost item]:[Cost item]],$C132,Calc_NetworkF_2[[Customer type]:[Customer type]],$E132)+SUMIFS(Calc_Fixed_2[Powercor],Calc_Fixed_2[[Customer type]:[Customer type]],"All")+SUMIFS(Calc_Fixed_2[Powercor],Calc_Fixed_2[[Customer type]:[Customer type]],$E132))/DiPY)*(1+Calc_ROM_2[Powercor]))*(1+GST),8),0,1))</f>
        <v>0</v>
      </c>
      <c r="K132" s="215" cm="1">
        <f t="array" ref="K132">IF(K97="-","-",
IF(ROUND(K97,8)=
ROUND((((SUMIFS(Calc_NetworkF_2[United Energy],Calc_NetworkF_2[[Cost item]:[Cost item]],$C132,Calc_NetworkF_2[[Customer type]:[Customer type]],$E132)+SUMIFS(Calc_Fixed_2[United Energy],Calc_Fixed_2[[Customer type]:[Customer type]],"All")+SUMIFS(Calc_Fixed_2[United Energy],Calc_Fixed_2[[Customer type]:[Customer type]],$E132))/DiPY)*(1+Calc_ROM_2[United Energy]))*(1+GST),8),0,1))</f>
        <v>0</v>
      </c>
      <c r="M132" s="18" t="s">
        <v>72</v>
      </c>
      <c r="N132" s="18" t="s">
        <v>65</v>
      </c>
      <c r="O132" s="18" t="s">
        <v>67</v>
      </c>
      <c r="Q132" s="215" cm="1">
        <f t="array" ref="Q132">IF(Q97="-","-",
IF(ROUND(Q97,8)=
ROUND((((SUMIFS(Calc_NetworkF_2[Ausnet],Calc_NetworkF_2[[Cost item]:[Cost item]],$M132,Calc_NetworkF_2[[Customer type]:[Customer type]],$O132)+SUMIFS(Calc_Fixed_2[Ausnet],Calc_Fixed_2[[Customer type]:[Customer type]],"All")+SUMIFS(Calc_Fixed_2[Ausnet],Calc_Fixed_2[[Customer type]:[Customer type]],$O132))/DiPY)*(1+Calc_ROM_2[Ausnet]))*(1+GST),8),0,1))</f>
        <v>0</v>
      </c>
      <c r="R132" s="215" cm="1">
        <f t="array" ref="R132">IF(R97="-","-",
IF(ROUND(R97,8)=
ROUND((((SUMIFS(Calc_NetworkF_2[Citipower],Calc_NetworkF_2[[Cost item]:[Cost item]],$M132,Calc_NetworkF_2[[Customer type]:[Customer type]],$O132)+SUMIFS(Calc_Fixed_2[Citipower],Calc_Fixed_2[[Customer type]:[Customer type]],"All")+SUMIFS(Calc_Fixed_2[Citipower],Calc_Fixed_2[[Customer type]:[Customer type]],$O132))/DiPY)*(1+Calc_ROM_2[Citipower]))*(1+GST),8),0,1))</f>
        <v>0</v>
      </c>
      <c r="S132" s="215" cm="1">
        <f t="array" ref="S132">IF(S97="-","-",
IF(ROUND(S97,8)=
ROUND((((SUMIFS(Calc_NetworkF_2[Jemena],Calc_NetworkF_2[[Cost item]:[Cost item]],$M132,Calc_NetworkF_2[[Customer type]:[Customer type]],$O132)+SUMIFS(Calc_Fixed_2[Jemena],Calc_Fixed_2[[Customer type]:[Customer type]],"All")+SUMIFS(Calc_Fixed_2[Jemena],Calc_Fixed_2[[Customer type]:[Customer type]],$O132))/DiPY)*(1+Calc_ROM_2[Jemena]))*(1+GST),8),0,1))</f>
        <v>0</v>
      </c>
      <c r="T132" s="215" cm="1">
        <f t="array" ref="T132">IF(T97="-","-",
IF(ROUND(T97,8)=
ROUND((((SUMIFS(Calc_NetworkF_2[Powercor],Calc_NetworkF_2[[Cost item]:[Cost item]],$M132,Calc_NetworkF_2[[Customer type]:[Customer type]],$O132)+SUMIFS(Calc_Fixed_2[Powercor],Calc_Fixed_2[[Customer type]:[Customer type]],"All")+SUMIFS(Calc_Fixed_2[Powercor],Calc_Fixed_2[[Customer type]:[Customer type]],$O132))/DiPY)*(1+Calc_ROM_2[Powercor]))*(1+GST),8),0,1))</f>
        <v>0</v>
      </c>
      <c r="U132" s="215" cm="1">
        <f t="array" ref="U132">IF(U97="-","-",
IF(ROUND(U97,8)=
ROUND((((SUMIFS(Calc_NetworkF_2[United Energy],Calc_NetworkF_2[[Cost item]:[Cost item]],$M132,Calc_NetworkF_2[[Customer type]:[Customer type]],$O132)+SUMIFS(Calc_Fixed_2[United Energy],Calc_Fixed_2[[Customer type]:[Customer type]],"All")+SUMIFS(Calc_Fixed_2[United Energy],Calc_Fixed_2[[Customer type]:[Customer type]],$O132))/DiPY)*(1+Calc_ROM_2[United Energy]))*(1+GST),8),0,1))</f>
        <v>0</v>
      </c>
    </row>
    <row r="133" spans="3:21" ht="15.75" hidden="1" outlineLevel="2" x14ac:dyDescent="0.25">
      <c r="C133" s="18" t="s">
        <v>73</v>
      </c>
      <c r="D133" s="18" t="s">
        <v>69</v>
      </c>
      <c r="E133" s="18" t="s">
        <v>66</v>
      </c>
      <c r="G133" s="215" cm="1">
        <f t="array" ref="G133">IF(G98="-","-",
IF(ROUND(G98,8)=ROUND(
((SUMIFS(Calc_Variable_2[Ausnet],Calc_Variable_2[[Customer type]:[Customer type]],"All")+
SUMIFS(Calc_Variable_2[Ausnet],Calc_Variable_2[[Customer type]:[Customer type]],OP_Rates!$E133)+
SUMIFS(Calc_NetworkV_2[Ausnet],Calc_NetworkV_2[[Customer type]:[Customer type]],OP_Rates!$E133,Calc_NetworkV_2[[Cost item]:[Cost item]],OP_Rates!$C133))*(1+Calc_ROM_2[Ausnet]))*(1+GST),8),0,1))</f>
        <v>0</v>
      </c>
      <c r="H133" s="215" cm="1">
        <f t="array" ref="H133">IF(H98="-","-",
IF(ROUND(H98,8)=ROUND(
((SUMIFS(Calc_Variable_2[Citipower],Calc_Variable_2[[Customer type]:[Customer type]],"All")+
SUMIFS(Calc_Variable_2[Citipower],Calc_Variable_2[[Customer type]:[Customer type]],OP_Rates!$E133)+
SUMIFS(Calc_NetworkV_2[Citipower],Calc_NetworkV_2[[Customer type]:[Customer type]],OP_Rates!$E133,Calc_NetworkV_2[[Cost item]:[Cost item]],OP_Rates!$C133))*(1+Calc_ROM_2[Citipower]))*(1+GST),8),0,1))</f>
        <v>0</v>
      </c>
      <c r="I133" s="215" cm="1">
        <f t="array" ref="I133">IF(I98="-","-",
IF(ROUND(I98,8)=ROUND(
((SUMIFS(Calc_Variable_2[Jemena],Calc_Variable_2[[Customer type]:[Customer type]],"All")+
SUMIFS(Calc_Variable_2[Jemena],Calc_Variable_2[[Customer type]:[Customer type]],OP_Rates!$E133)+
SUMIFS(Calc_NetworkV_2[Jemena],Calc_NetworkV_2[[Customer type]:[Customer type]],OP_Rates!$E133,Calc_NetworkV_2[[Cost item]:[Cost item]],OP_Rates!$C133))*(1+Calc_ROM_2[Jemena]))*(1+GST),8),0,1))</f>
        <v>0</v>
      </c>
      <c r="J133" s="215" cm="1">
        <f t="array" ref="J133">IF(J98="-","-",
IF(ROUND(J98,8)=ROUND(
((SUMIFS(Calc_Variable_2[Powercor],Calc_Variable_2[[Customer type]:[Customer type]],"All")+
SUMIFS(Calc_Variable_2[Powercor],Calc_Variable_2[[Customer type]:[Customer type]],OP_Rates!$E133)+
SUMIFS(Calc_NetworkV_2[Powercor],Calc_NetworkV_2[[Customer type]:[Customer type]],OP_Rates!$E133,Calc_NetworkV_2[[Cost item]:[Cost item]],OP_Rates!$C133))*(1+Calc_ROM_2[Powercor]))*(1+GST),8),0,1))</f>
        <v>0</v>
      </c>
      <c r="K133" s="215" cm="1">
        <f t="array" ref="K133">IF(K98="-","-",
IF(ROUND(K98,8)=ROUND(
((SUMIFS(Calc_Variable_2[United Energy],Calc_Variable_2[[Customer type]:[Customer type]],"All")+
SUMIFS(Calc_Variable_2[United Energy],Calc_Variable_2[[Customer type]:[Customer type]],OP_Rates!$E133)+
SUMIFS(Calc_NetworkV_2[United Energy],Calc_NetworkV_2[[Customer type]:[Customer type]],OP_Rates!$E133,Calc_NetworkV_2[[Cost item]:[Cost item]],OP_Rates!$C133))*(1+Calc_ROM_2[United Energy]))*(1+GST),8),0,1))</f>
        <v>0</v>
      </c>
      <c r="M133" s="18" t="s">
        <v>73</v>
      </c>
      <c r="N133" s="18" t="s">
        <v>69</v>
      </c>
      <c r="O133" s="18" t="s">
        <v>67</v>
      </c>
      <c r="Q133" s="215" cm="1">
        <f t="array" ref="Q133">IF(Q98="-","-",
IF(ROUND(Q98,8)=ROUND(
((SUMIFS(Calc_Variable_2[Ausnet],Calc_Variable_2[[Customer type]:[Customer type]],"All")+SUMIFS(Calc_Variable_2[Ausnet],Calc_Variable_2[[Customer type]:[Customer type]],OP_Rates!$O133)+
SUMIFS(Calc_NetworkV_2[Ausnet],Calc_NetworkV_2[[Customer type]:[Customer type]],OP_Rates!$O133,Calc_NetworkV_2[[Cost item]:[Cost item]],OP_Rates!$M133))*(1+Calc_ROM_2[Ausnet]))*(1+GST),8),0,1))</f>
        <v>0</v>
      </c>
      <c r="R133" s="215" cm="1">
        <f t="array" ref="R133">IF(R98="-","-",
IF(ROUND(R98,8)=ROUND(
((SUMIFS(Calc_Variable_2[Citipower],Calc_Variable_2[[Customer type]:[Customer type]],"All")+SUMIFS(Calc_Variable_2[Citipower],Calc_Variable_2[[Customer type]:[Customer type]],OP_Rates!$O133)+
SUMIFS(Calc_NetworkV_2[Citipower],Calc_NetworkV_2[[Customer type]:[Customer type]],OP_Rates!$O133,Calc_NetworkV_2[[Cost item]:[Cost item]],OP_Rates!$M133))*(1+Calc_ROM_2[Citipower]))*(1+GST),8),0,1))</f>
        <v>0</v>
      </c>
      <c r="S133" s="215" cm="1">
        <f t="array" ref="S133">IF(S98="-","-",
IF(ROUND(S98,8)=ROUND(
((SUMIFS(Calc_Variable_2[Jemena],Calc_Variable_2[[Customer type]:[Customer type]],"All")+SUMIFS(Calc_Variable_2[Jemena],Calc_Variable_2[[Customer type]:[Customer type]],OP_Rates!$O133)+
SUMIFS(Calc_NetworkV_2[Jemena],Calc_NetworkV_2[[Customer type]:[Customer type]],OP_Rates!$O133,Calc_NetworkV_2[[Cost item]:[Cost item]],OP_Rates!$M133))*(1+Calc_ROM_2[Jemena]))*(1+GST),8),0,1))</f>
        <v>0</v>
      </c>
      <c r="T133" s="215" cm="1">
        <f t="array" ref="T133">IF(T98="-","-",
IF(ROUND(T98,8)=ROUND(
((SUMIFS(Calc_Variable_2[Powercor],Calc_Variable_2[[Customer type]:[Customer type]],"All")+SUMIFS(Calc_Variable_2[Powercor],Calc_Variable_2[[Customer type]:[Customer type]],OP_Rates!$O133)+
SUMIFS(Calc_NetworkV_2[Powercor],Calc_NetworkV_2[[Customer type]:[Customer type]],OP_Rates!$O133,Calc_NetworkV_2[[Cost item]:[Cost item]],OP_Rates!$M133))*(1+Calc_ROM_2[Powercor]))*(1+GST),8),0,1))</f>
        <v>0</v>
      </c>
      <c r="U133" s="215" cm="1">
        <f t="array" ref="U133">IF(U98="-","-",
IF(ROUND(U98,8)=ROUND(
((SUMIFS(Calc_Variable_2[United Energy],Calc_Variable_2[[Customer type]:[Customer type]],"All")+SUMIFS(Calc_Variable_2[United Energy],Calc_Variable_2[[Customer type]:[Customer type]],OP_Rates!$O133)+
SUMIFS(Calc_NetworkV_2[United Energy],Calc_NetworkV_2[[Customer type]:[Customer type]],OP_Rates!$O133,Calc_NetworkV_2[[Cost item]:[Cost item]],OP_Rates!$M133))*(1+Calc_ROM_2[United Energy]))*(1+GST),8),0,1))</f>
        <v>0</v>
      </c>
    </row>
    <row r="134" spans="3:21" ht="15.75" hidden="1" outlineLevel="2" x14ac:dyDescent="0.25">
      <c r="C134" s="18" t="s">
        <v>74</v>
      </c>
      <c r="D134" s="18" t="s">
        <v>69</v>
      </c>
      <c r="E134" s="18" t="s">
        <v>66</v>
      </c>
      <c r="G134" s="215" cm="1">
        <f t="array" ref="G134">IF(G99="-","-",
IF(ROUND(G99,8)=ROUND(
((SUMIFS(Calc_Variable_2[Ausnet],Calc_Variable_2[[Customer type]:[Customer type]],"All")+
SUMIFS(Calc_Variable_2[Ausnet],Calc_Variable_2[[Customer type]:[Customer type]],OP_Rates!$E134)+
SUMIFS(Calc_NetworkV_2[Ausnet],Calc_NetworkV_2[[Customer type]:[Customer type]],OP_Rates!$E134,Calc_NetworkV_2[[Cost item]:[Cost item]],OP_Rates!$C134))*(1+Calc_ROM_2[Ausnet]))*(1+GST),8),0,1))</f>
        <v>0</v>
      </c>
      <c r="H134" s="215" cm="1">
        <f t="array" ref="H134">IF(H99="-","-",
IF(ROUND(H99,8)=ROUND(
((SUMIFS(Calc_Variable_2[Citipower],Calc_Variable_2[[Customer type]:[Customer type]],"All")+
SUMIFS(Calc_Variable_2[Citipower],Calc_Variable_2[[Customer type]:[Customer type]],OP_Rates!$E134)+
SUMIFS(Calc_NetworkV_2[Citipower],Calc_NetworkV_2[[Customer type]:[Customer type]],OP_Rates!$E134,Calc_NetworkV_2[[Cost item]:[Cost item]],OP_Rates!$C134))*(1+Calc_ROM_2[Citipower]))*(1+GST),8),0,1))</f>
        <v>0</v>
      </c>
      <c r="I134" s="215" cm="1">
        <f t="array" ref="I134">IF(I99="-","-",
IF(ROUND(I99,8)=ROUND(
((SUMIFS(Calc_Variable_2[Jemena],Calc_Variable_2[[Customer type]:[Customer type]],"All")+
SUMIFS(Calc_Variable_2[Jemena],Calc_Variable_2[[Customer type]:[Customer type]],OP_Rates!$E134)+
SUMIFS(Calc_NetworkV_2[Jemena],Calc_NetworkV_2[[Customer type]:[Customer type]],OP_Rates!$E134,Calc_NetworkV_2[[Cost item]:[Cost item]],OP_Rates!$C134))*(1+Calc_ROM_2[Jemena]))*(1+GST),8),0,1))</f>
        <v>0</v>
      </c>
      <c r="J134" s="215" cm="1">
        <f t="array" ref="J134">IF(J99="-","-",
IF(ROUND(J99,8)=ROUND(
((SUMIFS(Calc_Variable_2[Powercor],Calc_Variable_2[[Customer type]:[Customer type]],"All")+
SUMIFS(Calc_Variable_2[Powercor],Calc_Variable_2[[Customer type]:[Customer type]],OP_Rates!$E134)+
SUMIFS(Calc_NetworkV_2[Powercor],Calc_NetworkV_2[[Customer type]:[Customer type]],OP_Rates!$E134,Calc_NetworkV_2[[Cost item]:[Cost item]],OP_Rates!$C134))*(1+Calc_ROM_2[Powercor]))*(1+GST),8),0,1))</f>
        <v>0</v>
      </c>
      <c r="K134" s="215" cm="1">
        <f t="array" ref="K134">IF(K99="-","-",
IF(ROUND(K99,8)=ROUND(
((SUMIFS(Calc_Variable_2[United Energy],Calc_Variable_2[[Customer type]:[Customer type]],"All")+
SUMIFS(Calc_Variable_2[United Energy],Calc_Variable_2[[Customer type]:[Customer type]],OP_Rates!$E134)+
SUMIFS(Calc_NetworkV_2[United Energy],Calc_NetworkV_2[[Customer type]:[Customer type]],OP_Rates!$E134,Calc_NetworkV_2[[Cost item]:[Cost item]],OP_Rates!$C134))*(1+Calc_ROM_2[United Energy]))*(1+GST),8),0,1))</f>
        <v>0</v>
      </c>
      <c r="M134" s="18" t="s">
        <v>74</v>
      </c>
      <c r="N134" s="18" t="s">
        <v>69</v>
      </c>
      <c r="O134" s="18" t="s">
        <v>67</v>
      </c>
      <c r="Q134" s="215" cm="1">
        <f t="array" ref="Q134">IF(Q99="-","-",
IF(ROUND(Q99,8)=ROUND(
((SUMIFS(Calc_Variable_2[Ausnet],Calc_Variable_2[[Customer type]:[Customer type]],"All")+SUMIFS(Calc_Variable_2[Ausnet],Calc_Variable_2[[Customer type]:[Customer type]],OP_Rates!$O134)+
SUMIFS(Calc_NetworkV_2[Ausnet],Calc_NetworkV_2[[Customer type]:[Customer type]],OP_Rates!$O134,Calc_NetworkV_2[[Cost item]:[Cost item]],OP_Rates!$M134))*(1+Calc_ROM_2[Ausnet]))*(1+GST),8),0,1))</f>
        <v>0</v>
      </c>
      <c r="R134" s="215" cm="1">
        <f t="array" ref="R134">IF(R99="-","-",
IF(ROUND(R99,8)=ROUND(
((SUMIFS(Calc_Variable_2[Citipower],Calc_Variable_2[[Customer type]:[Customer type]],"All")+SUMIFS(Calc_Variable_2[Citipower],Calc_Variable_2[[Customer type]:[Customer type]],OP_Rates!$O134)+
SUMIFS(Calc_NetworkV_2[Citipower],Calc_NetworkV_2[[Customer type]:[Customer type]],OP_Rates!$O134,Calc_NetworkV_2[[Cost item]:[Cost item]],OP_Rates!$M134))*(1+Calc_ROM_2[Citipower]))*(1+GST),8),0,1))</f>
        <v>0</v>
      </c>
      <c r="S134" s="215" cm="1">
        <f t="array" ref="S134">IF(S99="-","-",
IF(ROUND(S99,8)=ROUND(
((SUMIFS(Calc_Variable_2[Jemena],Calc_Variable_2[[Customer type]:[Customer type]],"All")+SUMIFS(Calc_Variable_2[Jemena],Calc_Variable_2[[Customer type]:[Customer type]],OP_Rates!$O134)+
SUMIFS(Calc_NetworkV_2[Jemena],Calc_NetworkV_2[[Customer type]:[Customer type]],OP_Rates!$O134,Calc_NetworkV_2[[Cost item]:[Cost item]],OP_Rates!$M134))*(1+Calc_ROM_2[Jemena]))*(1+GST),8),0,1))</f>
        <v>0</v>
      </c>
      <c r="T134" s="215" cm="1">
        <f t="array" ref="T134">IF(T99="-","-",
IF(ROUND(T99,8)=ROUND(
((SUMIFS(Calc_Variable_2[Powercor],Calc_Variable_2[[Customer type]:[Customer type]],"All")+SUMIFS(Calc_Variable_2[Powercor],Calc_Variable_2[[Customer type]:[Customer type]],OP_Rates!$O134)+
SUMIFS(Calc_NetworkV_2[Powercor],Calc_NetworkV_2[[Customer type]:[Customer type]],OP_Rates!$O134,Calc_NetworkV_2[[Cost item]:[Cost item]],OP_Rates!$M134))*(1+Calc_ROM_2[Powercor]))*(1+GST),8),0,1))</f>
        <v>0</v>
      </c>
      <c r="U134" s="215" cm="1">
        <f t="array" ref="U134">IF(U99="-","-",
IF(ROUND(U99,8)=ROUND(
((SUMIFS(Calc_Variable_2[United Energy],Calc_Variable_2[[Customer type]:[Customer type]],"All")+SUMIFS(Calc_Variable_2[United Energy],Calc_Variable_2[[Customer type]:[Customer type]],OP_Rates!$O134)+
SUMIFS(Calc_NetworkV_2[United Energy],Calc_NetworkV_2[[Customer type]:[Customer type]],OP_Rates!$O134,Calc_NetworkV_2[[Cost item]:[Cost item]],OP_Rates!$M134))*(1+Calc_ROM_2[United Energy]))*(1+GST),8),0,1))</f>
        <v>0</v>
      </c>
    </row>
    <row r="135" spans="3:21" ht="15.75" hidden="1" outlineLevel="2" x14ac:dyDescent="0.25">
      <c r="C135" s="18" t="s">
        <v>75</v>
      </c>
      <c r="D135" s="18" t="s">
        <v>69</v>
      </c>
      <c r="E135" s="18" t="s">
        <v>66</v>
      </c>
      <c r="G135" s="215" cm="1">
        <f t="array" ref="G135">IF(G100="-","-",
IF(ROUND(G100,8)=ROUND(
((SUMIFS(Calc_Variable_2[Ausnet],Calc_Variable_2[[Customer type]:[Customer type]],"All")+
SUMIFS(Calc_Variable_2[Ausnet],Calc_Variable_2[[Customer type]:[Customer type]],OP_Rates!$E135)+
SUMIFS(Calc_NetworkV_2[Ausnet],Calc_NetworkV_2[[Customer type]:[Customer type]],OP_Rates!$E135,Calc_NetworkV_2[[Cost item]:[Cost item]],OP_Rates!$C135))*(1+Calc_ROM_2[Ausnet]))*(1+GST),8),0,1))</f>
        <v>0</v>
      </c>
      <c r="H135" s="215" cm="1">
        <f t="array" ref="H135">IF(H100="-","-",
IF(ROUND(H100,8)=ROUND(
((SUMIFS(Calc_Variable_2[Citipower],Calc_Variable_2[[Customer type]:[Customer type]],"All")+
SUMIFS(Calc_Variable_2[Citipower],Calc_Variable_2[[Customer type]:[Customer type]],OP_Rates!$E135)+
SUMIFS(Calc_NetworkV_2[Citipower],Calc_NetworkV_2[[Customer type]:[Customer type]],OP_Rates!$E135,Calc_NetworkV_2[[Cost item]:[Cost item]],OP_Rates!$C135))*(1+Calc_ROM_2[Citipower]))*(1+GST),8),0,1))</f>
        <v>0</v>
      </c>
      <c r="I135" s="215" cm="1">
        <f t="array" ref="I135">IF(I100="-","-",
IF(ROUND(I100,8)=ROUND(
((SUMIFS(Calc_Variable_2[Jemena],Calc_Variable_2[[Customer type]:[Customer type]],"All")+
SUMIFS(Calc_Variable_2[Jemena],Calc_Variable_2[[Customer type]:[Customer type]],OP_Rates!$E135)+
SUMIFS(Calc_NetworkV_2[Jemena],Calc_NetworkV_2[[Customer type]:[Customer type]],OP_Rates!$E135,Calc_NetworkV_2[[Cost item]:[Cost item]],OP_Rates!$C135))*(1+Calc_ROM_2[Jemena]))*(1+GST),8),0,1))</f>
        <v>0</v>
      </c>
      <c r="J135" s="215" cm="1">
        <f t="array" ref="J135">IF(J100="-","-",
IF(ROUND(J100,8)=ROUND(
((SUMIFS(Calc_Variable_2[Powercor],Calc_Variable_2[[Customer type]:[Customer type]],"All")+
SUMIFS(Calc_Variable_2[Powercor],Calc_Variable_2[[Customer type]:[Customer type]],OP_Rates!$E135)+
SUMIFS(Calc_NetworkV_2[Powercor],Calc_NetworkV_2[[Customer type]:[Customer type]],OP_Rates!$E135,Calc_NetworkV_2[[Cost item]:[Cost item]],OP_Rates!$C135))*(1+Calc_ROM_2[Powercor]))*(1+GST),8),0,1))</f>
        <v>0</v>
      </c>
      <c r="K135" s="215" cm="1">
        <f t="array" ref="K135">IF(K100="-","-",
IF(ROUND(K100,8)=ROUND(
((SUMIFS(Calc_Variable_2[United Energy],Calc_Variable_2[[Customer type]:[Customer type]],"All")+
SUMIFS(Calc_Variable_2[United Energy],Calc_Variable_2[[Customer type]:[Customer type]],OP_Rates!$E135)+
SUMIFS(Calc_NetworkV_2[United Energy],Calc_NetworkV_2[[Customer type]:[Customer type]],OP_Rates!$E135,Calc_NetworkV_2[[Cost item]:[Cost item]],OP_Rates!$C135))*(1+Calc_ROM_2[United Energy]))*(1+GST),8),0,1))</f>
        <v>0</v>
      </c>
      <c r="M135" s="18"/>
      <c r="N135" s="18"/>
      <c r="O135" s="18"/>
      <c r="Q135" s="215"/>
      <c r="R135" s="215"/>
      <c r="S135" s="215"/>
      <c r="T135" s="215"/>
      <c r="U135" s="215"/>
    </row>
    <row r="136" spans="3:21" hidden="1" outlineLevel="2" x14ac:dyDescent="0.25"/>
    <row r="137" spans="3:21" ht="15.75" hidden="1" outlineLevel="2" x14ac:dyDescent="0.25">
      <c r="C137" s="24" t="str">
        <f>C$102&amp;" - checks"</f>
        <v>Residential True Up - checks</v>
      </c>
      <c r="M137" s="24" t="str">
        <f>M$102&amp;" - checks"</f>
        <v>Small business True Up - checks</v>
      </c>
    </row>
    <row r="138" spans="3:21" ht="15.75" hidden="1" outlineLevel="2" x14ac:dyDescent="0.25">
      <c r="C138" s="31" t="s">
        <v>55</v>
      </c>
      <c r="D138" s="31" t="s">
        <v>56</v>
      </c>
      <c r="E138" s="31" t="s">
        <v>57</v>
      </c>
      <c r="F138" s="31" t="s">
        <v>48</v>
      </c>
      <c r="G138" s="35" t="s">
        <v>59</v>
      </c>
      <c r="H138" s="35" t="s">
        <v>60</v>
      </c>
      <c r="I138" s="35" t="s">
        <v>61</v>
      </c>
      <c r="J138" s="35" t="s">
        <v>62</v>
      </c>
      <c r="K138" s="35" t="s">
        <v>63</v>
      </c>
      <c r="M138" s="31" t="s">
        <v>55</v>
      </c>
      <c r="N138" s="31" t="s">
        <v>56</v>
      </c>
      <c r="O138" s="31" t="s">
        <v>57</v>
      </c>
      <c r="P138" s="31" t="s">
        <v>48</v>
      </c>
      <c r="Q138" s="35" t="s">
        <v>59</v>
      </c>
      <c r="R138" s="35" t="s">
        <v>60</v>
      </c>
      <c r="S138" s="35" t="s">
        <v>61</v>
      </c>
      <c r="T138" s="35" t="s">
        <v>62</v>
      </c>
      <c r="U138" s="35" t="s">
        <v>63</v>
      </c>
    </row>
    <row r="139" spans="3:21" ht="15.75" hidden="1" outlineLevel="2" x14ac:dyDescent="0.25">
      <c r="C139" s="42" t="s">
        <v>80</v>
      </c>
      <c r="D139" s="42" t="s">
        <v>65</v>
      </c>
      <c r="E139" s="42" t="s">
        <v>66</v>
      </c>
      <c r="F139" s="42" t="s">
        <v>81</v>
      </c>
      <c r="G139" s="224" t="str" cm="1">
        <f t="array" ref="G139">IF(G104="-","-",
IF(ROUND(G104,8)=
IF($F139="Network",
IF($C139&lt;&gt;"Controlled load",
ROUND(INDEX(Calc_TUR_Net_2[[Ausnet]:[United Energy]],MATCH(1,(Calc_TUR_Net_2[[Customer type]:[Customer type]]=OP_Rates!$E139)*(Calc_TUR_Net_2[[Rate type]:[Rate type]]=OP_Rates!$C139),0),MATCH(OP_Rates!G$65,Calc_TUR_Net_2[[#Headers],[Ausnet]:[United Energy]],0)),8),
ROUND(INDEX(Calc_TUR_NetCL_2[[Ausnet]:[United Energy]],MATCH(OP_Rates!$E139,Calc_TUR_Net_2[[Customer type]:[Customer type]],0),MATCH(OP_Rates!G$65,Calc_TUR_Net_2[[#Headers],[Ausnet]:[United Energy]],0)),8)),
IF($F139="Environmental",
ROUND(SUMIFS(Calc_TUR_ENV_2[Ausnet],Calc_TUR_ENV_2[[Customer type]:[Customer type]],OP_Rates!$E139,Calc_TUR_ENV_2[[Rate type]:[Rate type]],OP_Rates!$C139),8))),0,1))</f>
        <v>-</v>
      </c>
      <c r="H139" s="224" t="str" cm="1">
        <f t="array" ref="H139">IF(H104="-","-",
IF(ROUND(H104,8)=
IF($F139="Network",
IF($C139&lt;&gt;"Controlled load",
ROUND(INDEX(Calc_TUR_Net_2[[Ausnet]:[United Energy]],MATCH(1,(Calc_TUR_Net_2[[Customer type]:[Customer type]]=OP_Rates!$E139)*(Calc_TUR_Net_2[[Rate type]:[Rate type]]=OP_Rates!$C139),0),MATCH(OP_Rates!H$65,Calc_TUR_Net_2[[#Headers],[Ausnet]:[United Energy]],0)),8),
ROUND(INDEX(Calc_TUR_NetCL_2[[Ausnet]:[United Energy]],MATCH(OP_Rates!$E139,Calc_TUR_Net_2[[Customer type]:[Customer type]],0),MATCH(OP_Rates!H$65,Calc_TUR_Net_2[[#Headers],[Ausnet]:[United Energy]],0)),8)),
IF($F139="Environmental",
ROUND(SUMIFS(Calc_TUR_ENV_2[Citipower],Calc_TUR_ENV_2[[Customer type]:[Customer type]],OP_Rates!$E139,Calc_TUR_ENV_2[[Rate type]:[Rate type]],OP_Rates!$C139),8))),0,1))</f>
        <v>-</v>
      </c>
      <c r="I139" s="224" t="str" cm="1">
        <f t="array" ref="I139">IF(I104="-","-",
IF(ROUND(I104,8)=
IF($F139="Network",
IF($C139&lt;&gt;"Controlled load",
ROUND(INDEX(Calc_TUR_Net_2[[Ausnet]:[United Energy]],MATCH(1,(Calc_TUR_Net_2[[Customer type]:[Customer type]]=OP_Rates!$E139)*(Calc_TUR_Net_2[[Rate type]:[Rate type]]=OP_Rates!$C139),0),MATCH(OP_Rates!I$65,Calc_TUR_Net_2[[#Headers],[Ausnet]:[United Energy]],0)),8),
ROUND(INDEX(Calc_TUR_NetCL_2[[Ausnet]:[United Energy]],MATCH(OP_Rates!$E139,Calc_TUR_Net_2[[Customer type]:[Customer type]],0),MATCH(OP_Rates!I$65,Calc_TUR_Net_2[[#Headers],[Ausnet]:[United Energy]],0)),8)),
IF($F139="Environmental",
ROUND(SUMIFS(Calc_TUR_ENV_2[Jemena],Calc_TUR_ENV_2[[Customer type]:[Customer type]],OP_Rates!$E139,Calc_TUR_ENV_2[[Rate type]:[Rate type]],OP_Rates!$C139),8))),0,1))</f>
        <v>-</v>
      </c>
      <c r="J139" s="224" t="str" cm="1">
        <f t="array" ref="J139">IF(J104="-","-",
IF(ROUND(J104,8)=
IF($F139="Network",
IF($C139&lt;&gt;"Controlled load",
ROUND(INDEX(Calc_TUR_Net_2[[Ausnet]:[United Energy]],MATCH(1,(Calc_TUR_Net_2[[Customer type]:[Customer type]]=OP_Rates!$E139)*(Calc_TUR_Net_2[[Rate type]:[Rate type]]=OP_Rates!$C139),0),MATCH(OP_Rates!J$65,Calc_TUR_Net_2[[#Headers],[Ausnet]:[United Energy]],0)),8),
ROUND(INDEX(Calc_TUR_NetCL_2[[Ausnet]:[United Energy]],MATCH(OP_Rates!$E139,Calc_TUR_Net_2[[Customer type]:[Customer type]],0),MATCH(OP_Rates!J$65,Calc_TUR_Net_2[[#Headers],[Ausnet]:[United Energy]],0)),8)),
IF($F139="Environmental",
ROUND(SUMIFS(Calc_TUR_ENV_2[Powercor],Calc_TUR_ENV_2[[Customer type]:[Customer type]],OP_Rates!$E139,Calc_TUR_ENV_2[[Rate type]:[Rate type]],OP_Rates!$C139),8))),0,1))</f>
        <v>-</v>
      </c>
      <c r="K139" s="224" t="str" cm="1">
        <f t="array" ref="K139">IF(K104="-","-",
IF(ROUND(K104,8)=
IF($F139="Network",
IF($C139&lt;&gt;"Controlled load",
ROUND(INDEX(Calc_TUR_Net_2[[Ausnet]:[United Energy]],MATCH(1,(Calc_TUR_Net_2[[Customer type]:[Customer type]]=OP_Rates!$E139)*(Calc_TUR_Net_2[[Rate type]:[Rate type]]=OP_Rates!$C139),0),MATCH(OP_Rates!K$65,Calc_TUR_Net_2[[#Headers],[Ausnet]:[United Energy]],0)),8),
ROUND(INDEX(Calc_TUR_NetCL_2[[Ausnet]:[United Energy]],MATCH(OP_Rates!$E139,Calc_TUR_Net_2[[Customer type]:[Customer type]],0),MATCH(OP_Rates!K$65,Calc_TUR_Net_2[[#Headers],[Ausnet]:[United Energy]],0)),8)),
IF($F139="Environmental",
ROUND(SUMIFS(Calc_TUR_ENV_2[United Energy],Calc_TUR_ENV_2[[Customer type]:[Customer type]],OP_Rates!$E139,Calc_TUR_ENV_2[[Rate type]:[Rate type]],OP_Rates!$C139),8))),0,1))</f>
        <v>-</v>
      </c>
      <c r="M139" s="42" t="s">
        <v>80</v>
      </c>
      <c r="N139" s="42" t="s">
        <v>65</v>
      </c>
      <c r="O139" s="42" t="s">
        <v>67</v>
      </c>
      <c r="P139" s="42" t="s">
        <v>81</v>
      </c>
      <c r="Q139" s="224" t="str" cm="1">
        <f t="array" ref="Q139">IF(Q104="-","-",
IF(ROUND(Q104,8)=
IF($P139="Network",
ROUND(INDEX(Calc_TUR_Net_2[[Ausnet]:[United Energy]],MATCH(1,(Calc_TUR_Net_2[[Customer type]:[Customer type]]=OP_Rates!$O139)*(Calc_TUR_Net_2[[Rate type]:[Rate type]]=OP_Rates!$M139),0),MATCH(OP_Rates!Q$65,Calc_TUR_Net_2[[#Headers],[Ausnet]:[United Energy]],0)),8),
IF($P139="Environmental",
ROUND(SUMIFS(Calc_TUR_ENV_2[Ausnet],Calc_TUR_ENV_2[[Customer type]:[Customer type]],OP_Rates!$O139,Calc_TUR_ENV_2[[Rate type]:[Rate type]],OP_Rates!$M139),8))),0,1))</f>
        <v>-</v>
      </c>
      <c r="R139" s="224" t="str" cm="1">
        <f t="array" ref="R139">IF(R104="-","-",
IF(ROUND(R104,8)=
IF($P139="Network",
ROUND(INDEX(Calc_TUR_Net_2[[Ausnet]:[United Energy]],MATCH(1,(Calc_TUR_Net_2[[Customer type]:[Customer type]]=OP_Rates!$O139)*(Calc_TUR_Net_2[[Rate type]:[Rate type]]=OP_Rates!$M139),0),MATCH(OP_Rates!R$65,Calc_TUR_Net_2[[#Headers],[Ausnet]:[United Energy]],0)),8),
IF($P139="Environmental",
ROUND(SUMIFS(Calc_TUR_ENV_2[Citipower],Calc_TUR_ENV_2[[Customer type]:[Customer type]],OP_Rates!$O139,Calc_TUR_ENV_2[[Rate type]:[Rate type]],OP_Rates!$M139),8))),0,1))</f>
        <v>-</v>
      </c>
      <c r="S139" s="224" t="str" cm="1">
        <f t="array" ref="S139">IF(S104="-","-",
IF(ROUND(S104,8)=
IF($P139="Network",
ROUND(INDEX(Calc_TUR_Net_2[[Ausnet]:[United Energy]],MATCH(1,(Calc_TUR_Net_2[[Customer type]:[Customer type]]=OP_Rates!$O139)*(Calc_TUR_Net_2[[Rate type]:[Rate type]]=OP_Rates!$M139),0),MATCH(OP_Rates!S$65,Calc_TUR_Net_2[[#Headers],[Ausnet]:[United Energy]],0)),8),
IF($P139="Environmental",
ROUND(SUMIFS(Calc_TUR_ENV_2[Jemena],Calc_TUR_ENV_2[[Customer type]:[Customer type]],OP_Rates!$O139,Calc_TUR_ENV_2[[Rate type]:[Rate type]],OP_Rates!$M139),8))),0,1))</f>
        <v>-</v>
      </c>
      <c r="T139" s="224" t="str" cm="1">
        <f t="array" ref="T139">IF(T104="-","-",
IF(ROUND(T104,8)=
IF($P139="Network",
ROUND(INDEX(Calc_TUR_Net_2[[Ausnet]:[United Energy]],MATCH(1,(Calc_TUR_Net_2[[Customer type]:[Customer type]]=OP_Rates!$O139)*(Calc_TUR_Net_2[[Rate type]:[Rate type]]=OP_Rates!$M139),0),MATCH(OP_Rates!T$65,Calc_TUR_Net_2[[#Headers],[Ausnet]:[United Energy]],0)),8),
IF($P139="Environmental",
ROUND(SUMIFS(Calc_TUR_ENV_2[Powercor],Calc_TUR_ENV_2[[Customer type]:[Customer type]],OP_Rates!$O139,Calc_TUR_ENV_2[[Rate type]:[Rate type]],OP_Rates!$M139),8))),0,1))</f>
        <v>-</v>
      </c>
      <c r="U139" s="224" t="str" cm="1">
        <f t="array" ref="U139">IF(U104="-","-",
IF(ROUND(U104,8)=
IF($P139="Network",
ROUND(INDEX(Calc_TUR_Net_2[[Ausnet]:[United Energy]],MATCH(1,(Calc_TUR_Net_2[[Customer type]:[Customer type]]=OP_Rates!$O139)*(Calc_TUR_Net_2[[Rate type]:[Rate type]]=OP_Rates!$M139),0),MATCH(OP_Rates!U$65,Calc_TUR_Net_2[[#Headers],[Ausnet]:[United Energy]],0)),8),
IF($P139="Environmental",
ROUND(SUMIFS(Calc_TUR_ENV_2[United Energy],Calc_TUR_ENV_2[[Customer type]:[Customer type]],OP_Rates!$O139,Calc_TUR_ENV_2[[Rate type]:[Rate type]],OP_Rates!$M139),8))),0,1))</f>
        <v>-</v>
      </c>
    </row>
    <row r="140" spans="3:21" ht="15.75" hidden="1" outlineLevel="2" x14ac:dyDescent="0.25">
      <c r="C140" s="42" t="s">
        <v>82</v>
      </c>
      <c r="D140" s="42" t="s">
        <v>65</v>
      </c>
      <c r="E140" s="42" t="s">
        <v>66</v>
      </c>
      <c r="F140" s="42" t="s">
        <v>81</v>
      </c>
      <c r="G140" s="224" t="str" cm="1">
        <f t="array" ref="G140">IF(G105="-","-",
IF(ROUND(G105,8)=
IF($F140="Network",
IF($C140&lt;&gt;"Controlled load",
ROUND(INDEX(Calc_TUR_Net_2[[Ausnet]:[United Energy]],MATCH(1,(Calc_TUR_Net_2[[Customer type]:[Customer type]]=OP_Rates!$E140)*(Calc_TUR_Net_2[[Rate type]:[Rate type]]=OP_Rates!$C140),0),MATCH(OP_Rates!G$65,Calc_TUR_Net_2[[#Headers],[Ausnet]:[United Energy]],0)),8),
ROUND(INDEX(Calc_TUR_NetCL_2[[Ausnet]:[United Energy]],MATCH(OP_Rates!$E140,Calc_TUR_Net_2[[Customer type]:[Customer type]],0),MATCH(OP_Rates!G$65,Calc_TUR_Net_2[[#Headers],[Ausnet]:[United Energy]],0)),8)),
IF($F140="Environmental",
ROUND(SUMIFS(Calc_TUR_ENV_2[Ausnet],Calc_TUR_ENV_2[[Customer type]:[Customer type]],OP_Rates!$E140,Calc_TUR_ENV_2[[Rate type]:[Rate type]],OP_Rates!$C140),8))),0,1))</f>
        <v>-</v>
      </c>
      <c r="H140" s="224" t="str" cm="1">
        <f t="array" ref="H140">IF(H105="-","-",
IF(ROUND(H105,8)=
IF($F140="Network",
IF($C140&lt;&gt;"Controlled load",
ROUND(INDEX(Calc_TUR_Net_2[[Ausnet]:[United Energy]],MATCH(1,(Calc_TUR_Net_2[[Customer type]:[Customer type]]=OP_Rates!$E140)*(Calc_TUR_Net_2[[Rate type]:[Rate type]]=OP_Rates!$C140),0),MATCH(OP_Rates!H$65,Calc_TUR_Net_2[[#Headers],[Ausnet]:[United Energy]],0)),8),
ROUND(INDEX(Calc_TUR_NetCL_2[[Ausnet]:[United Energy]],MATCH(OP_Rates!$E140,Calc_TUR_Net_2[[Customer type]:[Customer type]],0),MATCH(OP_Rates!H$65,Calc_TUR_Net_2[[#Headers],[Ausnet]:[United Energy]],0)),8)),
IF($F140="Environmental",
ROUND(SUMIFS(Calc_TUR_ENV_2[Citipower],Calc_TUR_ENV_2[[Customer type]:[Customer type]],OP_Rates!$E140,Calc_TUR_ENV_2[[Rate type]:[Rate type]],OP_Rates!$C140),8))),0,1))</f>
        <v>-</v>
      </c>
      <c r="I140" s="224" t="str" cm="1">
        <f t="array" ref="I140">IF(I105="-","-",
IF(ROUND(I105,8)=
IF($F140="Network",
IF($C140&lt;&gt;"Controlled load",
ROUND(INDEX(Calc_TUR_Net_2[[Ausnet]:[United Energy]],MATCH(1,(Calc_TUR_Net_2[[Customer type]:[Customer type]]=OP_Rates!$E140)*(Calc_TUR_Net_2[[Rate type]:[Rate type]]=OP_Rates!$C140),0),MATCH(OP_Rates!I$65,Calc_TUR_Net_2[[#Headers],[Ausnet]:[United Energy]],0)),8),
ROUND(INDEX(Calc_TUR_NetCL_2[[Ausnet]:[United Energy]],MATCH(OP_Rates!$E140,Calc_TUR_Net_2[[Customer type]:[Customer type]],0),MATCH(OP_Rates!I$65,Calc_TUR_Net_2[[#Headers],[Ausnet]:[United Energy]],0)),8)),
IF($F140="Environmental",
ROUND(SUMIFS(Calc_TUR_ENV_2[Jemena],Calc_TUR_ENV_2[[Customer type]:[Customer type]],OP_Rates!$E140,Calc_TUR_ENV_2[[Rate type]:[Rate type]],OP_Rates!$C140),8))),0,1))</f>
        <v>-</v>
      </c>
      <c r="J140" s="224" t="str" cm="1">
        <f t="array" ref="J140">IF(J105="-","-",
IF(ROUND(J105,8)=
IF($F140="Network",
IF($C140&lt;&gt;"Controlled load",
ROUND(INDEX(Calc_TUR_Net_2[[Ausnet]:[United Energy]],MATCH(1,(Calc_TUR_Net_2[[Customer type]:[Customer type]]=OP_Rates!$E140)*(Calc_TUR_Net_2[[Rate type]:[Rate type]]=OP_Rates!$C140),0),MATCH(OP_Rates!J$65,Calc_TUR_Net_2[[#Headers],[Ausnet]:[United Energy]],0)),8),
ROUND(INDEX(Calc_TUR_NetCL_2[[Ausnet]:[United Energy]],MATCH(OP_Rates!$E140,Calc_TUR_Net_2[[Customer type]:[Customer type]],0),MATCH(OP_Rates!J$65,Calc_TUR_Net_2[[#Headers],[Ausnet]:[United Energy]],0)),8)),
IF($F140="Environmental",
ROUND(SUMIFS(Calc_TUR_ENV_2[Powercor],Calc_TUR_ENV_2[[Customer type]:[Customer type]],OP_Rates!$E140,Calc_TUR_ENV_2[[Rate type]:[Rate type]],OP_Rates!$C140),8))),0,1))</f>
        <v>-</v>
      </c>
      <c r="K140" s="224" t="str" cm="1">
        <f t="array" ref="K140">IF(K105="-","-",
IF(ROUND(K105,8)=
IF($F140="Network",
IF($C140&lt;&gt;"Controlled load",
ROUND(INDEX(Calc_TUR_Net_2[[Ausnet]:[United Energy]],MATCH(1,(Calc_TUR_Net_2[[Customer type]:[Customer type]]=OP_Rates!$E140)*(Calc_TUR_Net_2[[Rate type]:[Rate type]]=OP_Rates!$C140),0),MATCH(OP_Rates!K$65,Calc_TUR_Net_2[[#Headers],[Ausnet]:[United Energy]],0)),8),
ROUND(INDEX(Calc_TUR_NetCL_2[[Ausnet]:[United Energy]],MATCH(OP_Rates!$E140,Calc_TUR_Net_2[[Customer type]:[Customer type]],0),MATCH(OP_Rates!K$65,Calc_TUR_Net_2[[#Headers],[Ausnet]:[United Energy]],0)),8)),
IF($F140="Environmental",
ROUND(SUMIFS(Calc_TUR_ENV_2[United Energy],Calc_TUR_ENV_2[[Customer type]:[Customer type]],OP_Rates!$E140,Calc_TUR_ENV_2[[Rate type]:[Rate type]],OP_Rates!$C140),8))),0,1))</f>
        <v>-</v>
      </c>
      <c r="M140" s="42" t="s">
        <v>82</v>
      </c>
      <c r="N140" s="42" t="s">
        <v>65</v>
      </c>
      <c r="O140" s="42" t="s">
        <v>67</v>
      </c>
      <c r="P140" s="42" t="s">
        <v>81</v>
      </c>
      <c r="Q140" s="224" t="str" cm="1">
        <f t="array" ref="Q140">IF(Q105="-","-",
IF(ROUND(Q105,8)=
IF($P140="Network",
ROUND(INDEX(Calc_TUR_Net_2[[Ausnet]:[United Energy]],MATCH(1,(Calc_TUR_Net_2[[Customer type]:[Customer type]]=OP_Rates!$O140)*(Calc_TUR_Net_2[[Rate type]:[Rate type]]=OP_Rates!$M140),0),MATCH(OP_Rates!Q$65,Calc_TUR_Net_2[[#Headers],[Ausnet]:[United Energy]],0)),8),
IF($P140="Environmental",
ROUND(SUMIFS(Calc_TUR_ENV_2[Ausnet],Calc_TUR_ENV_2[[Customer type]:[Customer type]],OP_Rates!$O140,Calc_TUR_ENV_2[[Rate type]:[Rate type]],OP_Rates!$M140),8))),0,1))</f>
        <v>-</v>
      </c>
      <c r="R140" s="224" t="str" cm="1">
        <f t="array" ref="R140">IF(R105="-","-",
IF(ROUND(R105,8)=
IF($P140="Network",
ROUND(INDEX(Calc_TUR_Net_2[[Ausnet]:[United Energy]],MATCH(1,(Calc_TUR_Net_2[[Customer type]:[Customer type]]=OP_Rates!$O140)*(Calc_TUR_Net_2[[Rate type]:[Rate type]]=OP_Rates!$M140),0),MATCH(OP_Rates!R$65,Calc_TUR_Net_2[[#Headers],[Ausnet]:[United Energy]],0)),8),
IF($P140="Environmental",
ROUND(SUMIFS(Calc_TUR_ENV_2[Citipower],Calc_TUR_ENV_2[[Customer type]:[Customer type]],OP_Rates!$O140,Calc_TUR_ENV_2[[Rate type]:[Rate type]],OP_Rates!$M140),8))),0,1))</f>
        <v>-</v>
      </c>
      <c r="S140" s="224" t="str" cm="1">
        <f t="array" ref="S140">IF(S105="-","-",
IF(ROUND(S105,8)=
IF($P140="Network",
ROUND(INDEX(Calc_TUR_Net_2[[Ausnet]:[United Energy]],MATCH(1,(Calc_TUR_Net_2[[Customer type]:[Customer type]]=OP_Rates!$O140)*(Calc_TUR_Net_2[[Rate type]:[Rate type]]=OP_Rates!$M140),0),MATCH(OP_Rates!S$65,Calc_TUR_Net_2[[#Headers],[Ausnet]:[United Energy]],0)),8),
IF($P140="Environmental",
ROUND(SUMIFS(Calc_TUR_ENV_2[Jemena],Calc_TUR_ENV_2[[Customer type]:[Customer type]],OP_Rates!$O140,Calc_TUR_ENV_2[[Rate type]:[Rate type]],OP_Rates!$M140),8))),0,1))</f>
        <v>-</v>
      </c>
      <c r="T140" s="224" t="str" cm="1">
        <f t="array" ref="T140">IF(T105="-","-",
IF(ROUND(T105,8)=
IF($P140="Network",
ROUND(INDEX(Calc_TUR_Net_2[[Ausnet]:[United Energy]],MATCH(1,(Calc_TUR_Net_2[[Customer type]:[Customer type]]=OP_Rates!$O140)*(Calc_TUR_Net_2[[Rate type]:[Rate type]]=OP_Rates!$M140),0),MATCH(OP_Rates!T$65,Calc_TUR_Net_2[[#Headers],[Ausnet]:[United Energy]],0)),8),
IF($P140="Environmental",
ROUND(SUMIFS(Calc_TUR_ENV_2[Powercor],Calc_TUR_ENV_2[[Customer type]:[Customer type]],OP_Rates!$O140,Calc_TUR_ENV_2[[Rate type]:[Rate type]],OP_Rates!$M140),8))),0,1))</f>
        <v>-</v>
      </c>
      <c r="U140" s="224" t="str" cm="1">
        <f t="array" ref="U140">IF(U105="-","-",
IF(ROUND(U105,8)=
IF($P140="Network",
ROUND(INDEX(Calc_TUR_Net_2[[Ausnet]:[United Energy]],MATCH(1,(Calc_TUR_Net_2[[Customer type]:[Customer type]]=OP_Rates!$O140)*(Calc_TUR_Net_2[[Rate type]:[Rate type]]=OP_Rates!$M140),0),MATCH(OP_Rates!U$65,Calc_TUR_Net_2[[#Headers],[Ausnet]:[United Energy]],0)),8),
IF($P140="Environmental",
ROUND(SUMIFS(Calc_TUR_ENV_2[United Energy],Calc_TUR_ENV_2[[Customer type]:[Customer type]],OP_Rates!$O140,Calc_TUR_ENV_2[[Rate type]:[Rate type]],OP_Rates!$M140),8))),0,1))</f>
        <v>-</v>
      </c>
    </row>
    <row r="141" spans="3:21" ht="15.75" hidden="1" outlineLevel="2" x14ac:dyDescent="0.25">
      <c r="C141" s="42" t="s">
        <v>75</v>
      </c>
      <c r="D141" s="42" t="s">
        <v>69</v>
      </c>
      <c r="E141" s="42" t="s">
        <v>66</v>
      </c>
      <c r="F141" s="42" t="s">
        <v>81</v>
      </c>
      <c r="G141" s="224" t="str" cm="1">
        <f t="array" ref="G141">IF(G106="-","-",
IF(ROUND(G106,8)=
IF($F141="Network",
IF($C141&lt;&gt;"Controlled load",
ROUND(INDEX(Calc_TUR_Net_2[[Ausnet]:[United Energy]],MATCH(1,(Calc_TUR_Net_2[[Customer type]:[Customer type]]=OP_Rates!$E141)*(Calc_TUR_Net_2[[Rate type]:[Rate type]]=OP_Rates!$C141),0),MATCH(OP_Rates!G$65,Calc_TUR_Net_2[[#Headers],[Ausnet]:[United Energy]],0)),8),
ROUND(INDEX(Calc_TUR_NetCL_2[[Ausnet]:[United Energy]],MATCH(OP_Rates!$E141,Calc_TUR_Net_2[[Customer type]:[Customer type]],0),MATCH(OP_Rates!G$65,Calc_TUR_Net_2[[#Headers],[Ausnet]:[United Energy]],0)),8)),
IF($F141="Environmental",
ROUND(SUMIFS(Calc_TUR_ENV_2[Ausnet],Calc_TUR_ENV_2[[Customer type]:[Customer type]],OP_Rates!$E141,Calc_TUR_ENV_2[[Rate type]:[Rate type]],OP_Rates!$C141),8))),0,1))</f>
        <v>-</v>
      </c>
      <c r="H141" s="224" t="str" cm="1">
        <f t="array" ref="H141">IF(H106="-","-",
IF(ROUND(H106,8)=
IF($F141="Network",
IF($C141&lt;&gt;"Controlled load",
ROUND(INDEX(Calc_TUR_Net_2[[Ausnet]:[United Energy]],MATCH(1,(Calc_TUR_Net_2[[Customer type]:[Customer type]]=OP_Rates!$E141)*(Calc_TUR_Net_2[[Rate type]:[Rate type]]=OP_Rates!$C141),0),MATCH(OP_Rates!H$65,Calc_TUR_Net_2[[#Headers],[Ausnet]:[United Energy]],0)),8),
ROUND(INDEX(Calc_TUR_NetCL_2[[Ausnet]:[United Energy]],MATCH(OP_Rates!$E141,Calc_TUR_Net_2[[Customer type]:[Customer type]],0),MATCH(OP_Rates!H$65,Calc_TUR_Net_2[[#Headers],[Ausnet]:[United Energy]],0)),8)),
IF($F141="Environmental",
ROUND(SUMIFS(Calc_TUR_ENV_2[Citipower],Calc_TUR_ENV_2[[Customer type]:[Customer type]],OP_Rates!$E141,Calc_TUR_ENV_2[[Rate type]:[Rate type]],OP_Rates!$C141),8))),0,1))</f>
        <v>-</v>
      </c>
      <c r="I141" s="224" t="str" cm="1">
        <f t="array" ref="I141">IF(I106="-","-",
IF(ROUND(I106,8)=
IF($F141="Network",
IF($C141&lt;&gt;"Controlled load",
ROUND(INDEX(Calc_TUR_Net_2[[Ausnet]:[United Energy]],MATCH(1,(Calc_TUR_Net_2[[Customer type]:[Customer type]]=OP_Rates!$E141)*(Calc_TUR_Net_2[[Rate type]:[Rate type]]=OP_Rates!$C141),0),MATCH(OP_Rates!I$65,Calc_TUR_Net_2[[#Headers],[Ausnet]:[United Energy]],0)),8),
ROUND(INDEX(Calc_TUR_NetCL_2[[Ausnet]:[United Energy]],MATCH(OP_Rates!$E141,Calc_TUR_Net_2[[Customer type]:[Customer type]],0),MATCH(OP_Rates!I$65,Calc_TUR_Net_2[[#Headers],[Ausnet]:[United Energy]],0)),8)),
IF($F141="Environmental",
ROUND(SUMIFS(Calc_TUR_ENV_2[Jemena],Calc_TUR_ENV_2[[Customer type]:[Customer type]],OP_Rates!$E141,Calc_TUR_ENV_2[[Rate type]:[Rate type]],OP_Rates!$C141),8))),0,1))</f>
        <v>-</v>
      </c>
      <c r="J141" s="224" t="str" cm="1">
        <f t="array" ref="J141">IF(J106="-","-",
IF(ROUND(J106,8)=
IF($F141="Network",
IF($C141&lt;&gt;"Controlled load",
ROUND(INDEX(Calc_TUR_Net_2[[Ausnet]:[United Energy]],MATCH(1,(Calc_TUR_Net_2[[Customer type]:[Customer type]]=OP_Rates!$E141)*(Calc_TUR_Net_2[[Rate type]:[Rate type]]=OP_Rates!$C141),0),MATCH(OP_Rates!J$65,Calc_TUR_Net_2[[#Headers],[Ausnet]:[United Energy]],0)),8),
ROUND(INDEX(Calc_TUR_NetCL_2[[Ausnet]:[United Energy]],MATCH(OP_Rates!$E141,Calc_TUR_Net_2[[Customer type]:[Customer type]],0),MATCH(OP_Rates!J$65,Calc_TUR_Net_2[[#Headers],[Ausnet]:[United Energy]],0)),8)),
IF($F141="Environmental",
ROUND(SUMIFS(Calc_TUR_ENV_2[Powercor],Calc_TUR_ENV_2[[Customer type]:[Customer type]],OP_Rates!$E141,Calc_TUR_ENV_2[[Rate type]:[Rate type]],OP_Rates!$C141),8))),0,1))</f>
        <v>-</v>
      </c>
      <c r="K141" s="224" t="str" cm="1">
        <f t="array" ref="K141">IF(K106="-","-",
IF(ROUND(K106,8)=
IF($F141="Network",
IF($C141&lt;&gt;"Controlled load",
ROUND(INDEX(Calc_TUR_Net_2[[Ausnet]:[United Energy]],MATCH(1,(Calc_TUR_Net_2[[Customer type]:[Customer type]]=OP_Rates!$E141)*(Calc_TUR_Net_2[[Rate type]:[Rate type]]=OP_Rates!$C141),0),MATCH(OP_Rates!K$65,Calc_TUR_Net_2[[#Headers],[Ausnet]:[United Energy]],0)),8),
ROUND(INDEX(Calc_TUR_NetCL_2[[Ausnet]:[United Energy]],MATCH(OP_Rates!$E141,Calc_TUR_Net_2[[Customer type]:[Customer type]],0),MATCH(OP_Rates!K$65,Calc_TUR_Net_2[[#Headers],[Ausnet]:[United Energy]],0)),8)),
IF($F141="Environmental",
ROUND(SUMIFS(Calc_TUR_ENV_2[United Energy],Calc_TUR_ENV_2[[Customer type]:[Customer type]],OP_Rates!$E141,Calc_TUR_ENV_2[[Rate type]:[Rate type]],OP_Rates!$C141),8))),0,1))</f>
        <v>-</v>
      </c>
      <c r="M141" s="42" t="s">
        <v>75</v>
      </c>
      <c r="N141" s="42"/>
      <c r="O141" s="42"/>
      <c r="P141" s="42"/>
      <c r="Q141" s="224" t="str" cm="1">
        <f t="array" ref="Q141">IF(Q106="-","-",
IF(ROUND(Q106,8)=
IF($P141="Network",
ROUND(INDEX(Calc_TUR_Net_2[[Ausnet]:[United Energy]],MATCH(1,(Calc_TUR_Net_2[[Customer type]:[Customer type]]=OP_Rates!$O141)*(Calc_TUR_Net_2[[Rate type]:[Rate type]]=OP_Rates!$M141),0),MATCH(OP_Rates!Q$65,Calc_TUR_Net_2[[#Headers],[Ausnet]:[United Energy]],0)),8),
IF($P141="Environmental",
ROUND(SUMIFS(Calc_TUR_ENV_2[Ausnet],Calc_TUR_ENV_2[[Customer type]:[Customer type]],OP_Rates!$O141,Calc_TUR_ENV_2[[Rate type]:[Rate type]],OP_Rates!$M141),8))),0,1))</f>
        <v>-</v>
      </c>
      <c r="R141" s="224" t="str" cm="1">
        <f t="array" ref="R141">IF(R106="-","-",
IF(ROUND(R106,8)=
IF($P141="Network",
ROUND(INDEX(Calc_TUR_Net_2[[Ausnet]:[United Energy]],MATCH(1,(Calc_TUR_Net_2[[Customer type]:[Customer type]]=OP_Rates!$O141)*(Calc_TUR_Net_2[[Rate type]:[Rate type]]=OP_Rates!$M141),0),MATCH(OP_Rates!R$65,Calc_TUR_Net_2[[#Headers],[Ausnet]:[United Energy]],0)),8),
IF($P141="Environmental",
ROUND(SUMIFS(Calc_TUR_ENV_2[Citipower],Calc_TUR_ENV_2[[Customer type]:[Customer type]],OP_Rates!$O141,Calc_TUR_ENV_2[[Rate type]:[Rate type]],OP_Rates!$M141),8))),0,1))</f>
        <v>-</v>
      </c>
      <c r="S141" s="224" t="str" cm="1">
        <f t="array" ref="S141">IF(S106="-","-",
IF(ROUND(S106,8)=
IF($P141="Network",
ROUND(INDEX(Calc_TUR_Net_2[[Ausnet]:[United Energy]],MATCH(1,(Calc_TUR_Net_2[[Customer type]:[Customer type]]=OP_Rates!$O141)*(Calc_TUR_Net_2[[Rate type]:[Rate type]]=OP_Rates!$M141),0),MATCH(OP_Rates!S$65,Calc_TUR_Net_2[[#Headers],[Ausnet]:[United Energy]],0)),8),
IF($P141="Environmental",
ROUND(SUMIFS(Calc_TUR_ENV_2[Jemena],Calc_TUR_ENV_2[[Customer type]:[Customer type]],OP_Rates!$O141,Calc_TUR_ENV_2[[Rate type]:[Rate type]],OP_Rates!$M141),8))),0,1))</f>
        <v>-</v>
      </c>
      <c r="T141" s="224" t="str" cm="1">
        <f t="array" ref="T141">IF(T106="-","-",
IF(ROUND(T106,8)=
IF($P141="Network",
ROUND(INDEX(Calc_TUR_Net_2[[Ausnet]:[United Energy]],MATCH(1,(Calc_TUR_Net_2[[Customer type]:[Customer type]]=OP_Rates!$O141)*(Calc_TUR_Net_2[[Rate type]:[Rate type]]=OP_Rates!$M141),0),MATCH(OP_Rates!T$65,Calc_TUR_Net_2[[#Headers],[Ausnet]:[United Energy]],0)),8),
IF($P141="Environmental",
ROUND(SUMIFS(Calc_TUR_ENV_2[Powercor],Calc_TUR_ENV_2[[Customer type]:[Customer type]],OP_Rates!$O141,Calc_TUR_ENV_2[[Rate type]:[Rate type]],OP_Rates!$M141),8))),0,1))</f>
        <v>-</v>
      </c>
      <c r="U141" s="224" t="str" cm="1">
        <f t="array" ref="U141">IF(U106="-","-",
IF(ROUND(U106,8)=
IF($P141="Network",
ROUND(INDEX(Calc_TUR_Net_2[[Ausnet]:[United Energy]],MATCH(1,(Calc_TUR_Net_2[[Customer type]:[Customer type]]=OP_Rates!$O141)*(Calc_TUR_Net_2[[Rate type]:[Rate type]]=OP_Rates!$M141),0),MATCH(OP_Rates!U$65,Calc_TUR_Net_2[[#Headers],[Ausnet]:[United Energy]],0)),8),
IF($P141="Environmental",
ROUND(SUMIFS(Calc_TUR_ENV_2[United Energy],Calc_TUR_ENV_2[[Customer type]:[Customer type]],OP_Rates!$O141,Calc_TUR_ENV_2[[Rate type]:[Rate type]],OP_Rates!$M141),8))),0,1))</f>
        <v>-</v>
      </c>
    </row>
    <row r="142" spans="3:21" ht="15.75" hidden="1" outlineLevel="2" x14ac:dyDescent="0.25">
      <c r="C142" s="42" t="s">
        <v>68</v>
      </c>
      <c r="D142" s="42" t="s">
        <v>69</v>
      </c>
      <c r="E142" s="42" t="s">
        <v>66</v>
      </c>
      <c r="F142" s="42" t="s">
        <v>83</v>
      </c>
      <c r="G142" s="224" cm="1">
        <f t="array" ref="G142">IF(G107="-","-",
IF(ROUND(G107,8)=
IF($F142="Network",
IF($C142&lt;&gt;"Controlled load",
ROUND(INDEX(Calc_TUR_Net_2[[Ausnet]:[United Energy]],MATCH(1,(Calc_TUR_Net_2[[Customer type]:[Customer type]]=OP_Rates!$E142)*(Calc_TUR_Net_2[[Rate type]:[Rate type]]=OP_Rates!$C142),0),MATCH(OP_Rates!G$65,Calc_TUR_Net_2[[#Headers],[Ausnet]:[United Energy]],0)),8),
ROUND(INDEX(Calc_TUR_NetCL_2[[Ausnet]:[United Energy]],MATCH(OP_Rates!$E142,Calc_TUR_Net_2[[Customer type]:[Customer type]],0),MATCH(OP_Rates!G$65,Calc_TUR_Net_2[[#Headers],[Ausnet]:[United Energy]],0)),8)),
IF($F142="Environmental",
ROUND(SUMIFS(Calc_TUR_ENV_2[Ausnet],Calc_TUR_ENV_2[[Customer type]:[Customer type]],OP_Rates!$E142,Calc_TUR_ENV_2[[Rate type]:[Rate type]],OP_Rates!$C142),8))),0,1))</f>
        <v>0</v>
      </c>
      <c r="H142" s="224" cm="1">
        <f t="array" ref="H142">IF(H107="-","-",
IF(ROUND(H107,8)=
IF($F142="Network",
IF($C142&lt;&gt;"Controlled load",
ROUND(INDEX(Calc_TUR_Net_2[[Ausnet]:[United Energy]],MATCH(1,(Calc_TUR_Net_2[[Customer type]:[Customer type]]=OP_Rates!$E142)*(Calc_TUR_Net_2[[Rate type]:[Rate type]]=OP_Rates!$C142),0),MATCH(OP_Rates!H$65,Calc_TUR_Net_2[[#Headers],[Ausnet]:[United Energy]],0)),8),
ROUND(INDEX(Calc_TUR_NetCL_2[[Ausnet]:[United Energy]],MATCH(OP_Rates!$E142,Calc_TUR_Net_2[[Customer type]:[Customer type]],0),MATCH(OP_Rates!H$65,Calc_TUR_Net_2[[#Headers],[Ausnet]:[United Energy]],0)),8)),
IF($F142="Environmental",
ROUND(SUMIFS(Calc_TUR_ENV_2[Citipower],Calc_TUR_ENV_2[[Customer type]:[Customer type]],OP_Rates!$E142,Calc_TUR_ENV_2[[Rate type]:[Rate type]],OP_Rates!$C142),8))),0,1))</f>
        <v>0</v>
      </c>
      <c r="I142" s="224" cm="1">
        <f t="array" ref="I142">IF(I107="-","-",
IF(ROUND(I107,8)=
IF($F142="Network",
IF($C142&lt;&gt;"Controlled load",
ROUND(INDEX(Calc_TUR_Net_2[[Ausnet]:[United Energy]],MATCH(1,(Calc_TUR_Net_2[[Customer type]:[Customer type]]=OP_Rates!$E142)*(Calc_TUR_Net_2[[Rate type]:[Rate type]]=OP_Rates!$C142),0),MATCH(OP_Rates!I$65,Calc_TUR_Net_2[[#Headers],[Ausnet]:[United Energy]],0)),8),
ROUND(INDEX(Calc_TUR_NetCL_2[[Ausnet]:[United Energy]],MATCH(OP_Rates!$E142,Calc_TUR_Net_2[[Customer type]:[Customer type]],0),MATCH(OP_Rates!I$65,Calc_TUR_Net_2[[#Headers],[Ausnet]:[United Energy]],0)),8)),
IF($F142="Environmental",
ROUND(SUMIFS(Calc_TUR_ENV_2[Jemena],Calc_TUR_ENV_2[[Customer type]:[Customer type]],OP_Rates!$E142,Calc_TUR_ENV_2[[Rate type]:[Rate type]],OP_Rates!$C142),8))),0,1))</f>
        <v>0</v>
      </c>
      <c r="J142" s="224" cm="1">
        <f t="array" ref="J142">IF(J107="-","-",
IF(ROUND(J107,8)=
IF($F142="Network",
IF($C142&lt;&gt;"Controlled load",
ROUND(INDEX(Calc_TUR_Net_2[[Ausnet]:[United Energy]],MATCH(1,(Calc_TUR_Net_2[[Customer type]:[Customer type]]=OP_Rates!$E142)*(Calc_TUR_Net_2[[Rate type]:[Rate type]]=OP_Rates!$C142),0),MATCH(OP_Rates!J$65,Calc_TUR_Net_2[[#Headers],[Ausnet]:[United Energy]],0)),8),
ROUND(INDEX(Calc_TUR_NetCL_2[[Ausnet]:[United Energy]],MATCH(OP_Rates!$E142,Calc_TUR_Net_2[[Customer type]:[Customer type]],0),MATCH(OP_Rates!J$65,Calc_TUR_Net_2[[#Headers],[Ausnet]:[United Energy]],0)),8)),
IF($F142="Environmental",
ROUND(SUMIFS(Calc_TUR_ENV_2[Powercor],Calc_TUR_ENV_2[[Customer type]:[Customer type]],OP_Rates!$E142,Calc_TUR_ENV_2[[Rate type]:[Rate type]],OP_Rates!$C142),8))),0,1))</f>
        <v>0</v>
      </c>
      <c r="K142" s="224" cm="1">
        <f t="array" ref="K142">IF(K107="-","-",
IF(ROUND(K107,8)=
IF($F142="Network",
IF($C142&lt;&gt;"Controlled load",
ROUND(INDEX(Calc_TUR_Net_2[[Ausnet]:[United Energy]],MATCH(1,(Calc_TUR_Net_2[[Customer type]:[Customer type]]=OP_Rates!$E142)*(Calc_TUR_Net_2[[Rate type]:[Rate type]]=OP_Rates!$C142),0),MATCH(OP_Rates!K$65,Calc_TUR_Net_2[[#Headers],[Ausnet]:[United Energy]],0)),8),
ROUND(INDEX(Calc_TUR_NetCL_2[[Ausnet]:[United Energy]],MATCH(OP_Rates!$E142,Calc_TUR_Net_2[[Customer type]:[Customer type]],0),MATCH(OP_Rates!K$65,Calc_TUR_Net_2[[#Headers],[Ausnet]:[United Energy]],0)),8)),
IF($F142="Environmental",
ROUND(SUMIFS(Calc_TUR_ENV_2[United Energy],Calc_TUR_ENV_2[[Customer type]:[Customer type]],OP_Rates!$E142,Calc_TUR_ENV_2[[Rate type]:[Rate type]],OP_Rates!$C142),8))),0,1))</f>
        <v>0</v>
      </c>
      <c r="M142" s="42" t="s">
        <v>68</v>
      </c>
      <c r="N142" s="42" t="s">
        <v>69</v>
      </c>
      <c r="O142" s="42" t="s">
        <v>67</v>
      </c>
      <c r="P142" s="42" t="s">
        <v>83</v>
      </c>
      <c r="Q142" s="224" cm="1">
        <f t="array" ref="Q142">IF(Q107="-","-",
IF(ROUND(Q107,8)=
IF($P142="Network",
ROUND(INDEX(Calc_TUR_Net_2[[Ausnet]:[United Energy]],MATCH(1,(Calc_TUR_Net_2[[Customer type]:[Customer type]]=OP_Rates!$O142)*(Calc_TUR_Net_2[[Rate type]:[Rate type]]=OP_Rates!$M142),0),MATCH(OP_Rates!Q$65,Calc_TUR_Net_2[[#Headers],[Ausnet]:[United Energy]],0)),8),
IF($P142="Environmental",
ROUND(SUMIFS(Calc_TUR_ENV_2[Ausnet],Calc_TUR_ENV_2[[Customer type]:[Customer type]],OP_Rates!$O142,Calc_TUR_ENV_2[[Rate type]:[Rate type]],OP_Rates!$M142),8))),0,1))</f>
        <v>0</v>
      </c>
      <c r="R142" s="224" cm="1">
        <f t="array" ref="R142">IF(R107="-","-",
IF(ROUND(R107,8)=
IF($P142="Network",
ROUND(INDEX(Calc_TUR_Net_2[[Ausnet]:[United Energy]],MATCH(1,(Calc_TUR_Net_2[[Customer type]:[Customer type]]=OP_Rates!$O142)*(Calc_TUR_Net_2[[Rate type]:[Rate type]]=OP_Rates!$M142),0),MATCH(OP_Rates!R$65,Calc_TUR_Net_2[[#Headers],[Ausnet]:[United Energy]],0)),8),
IF($P142="Environmental",
ROUND(SUMIFS(Calc_TUR_ENV_2[Citipower],Calc_TUR_ENV_2[[Customer type]:[Customer type]],OP_Rates!$O142,Calc_TUR_ENV_2[[Rate type]:[Rate type]],OP_Rates!$M142),8))),0,1))</f>
        <v>0</v>
      </c>
      <c r="S142" s="224" cm="1">
        <f t="array" ref="S142">IF(S107="-","-",
IF(ROUND(S107,8)=
IF($P142="Network",
ROUND(INDEX(Calc_TUR_Net_2[[Ausnet]:[United Energy]],MATCH(1,(Calc_TUR_Net_2[[Customer type]:[Customer type]]=OP_Rates!$O142)*(Calc_TUR_Net_2[[Rate type]:[Rate type]]=OP_Rates!$M142),0),MATCH(OP_Rates!S$65,Calc_TUR_Net_2[[#Headers],[Ausnet]:[United Energy]],0)),8),
IF($P142="Environmental",
ROUND(SUMIFS(Calc_TUR_ENV_2[Jemena],Calc_TUR_ENV_2[[Customer type]:[Customer type]],OP_Rates!$O142,Calc_TUR_ENV_2[[Rate type]:[Rate type]],OP_Rates!$M142),8))),0,1))</f>
        <v>0</v>
      </c>
      <c r="T142" s="224" cm="1">
        <f t="array" ref="T142">IF(T107="-","-",
IF(ROUND(T107,8)=
IF($P142="Network",
ROUND(INDEX(Calc_TUR_Net_2[[Ausnet]:[United Energy]],MATCH(1,(Calc_TUR_Net_2[[Customer type]:[Customer type]]=OP_Rates!$O142)*(Calc_TUR_Net_2[[Rate type]:[Rate type]]=OP_Rates!$M142),0),MATCH(OP_Rates!T$65,Calc_TUR_Net_2[[#Headers],[Ausnet]:[United Energy]],0)),8),
IF($P142="Environmental",
ROUND(SUMIFS(Calc_TUR_ENV_2[Powercor],Calc_TUR_ENV_2[[Customer type]:[Customer type]],OP_Rates!$O142,Calc_TUR_ENV_2[[Rate type]:[Rate type]],OP_Rates!$M142),8))),0,1))</f>
        <v>0</v>
      </c>
      <c r="U142" s="224" cm="1">
        <f t="array" ref="U142">IF(U107="-","-",
IF(ROUND(U107,8)=
IF($P142="Network",
ROUND(INDEX(Calc_TUR_Net_2[[Ausnet]:[United Energy]],MATCH(1,(Calc_TUR_Net_2[[Customer type]:[Customer type]]=OP_Rates!$O142)*(Calc_TUR_Net_2[[Rate type]:[Rate type]]=OP_Rates!$M142),0),MATCH(OP_Rates!U$65,Calc_TUR_Net_2[[#Headers],[Ausnet]:[United Energy]],0)),8),
IF($P142="Environmental",
ROUND(SUMIFS(Calc_TUR_ENV_2[United Energy],Calc_TUR_ENV_2[[Customer type]:[Customer type]],OP_Rates!$O142,Calc_TUR_ENV_2[[Rate type]:[Rate type]],OP_Rates!$M142),8))),0,1))</f>
        <v>0</v>
      </c>
    </row>
    <row r="143" spans="3:21" ht="15.75" hidden="1" outlineLevel="2" x14ac:dyDescent="0.25">
      <c r="C143" s="42" t="s">
        <v>70</v>
      </c>
      <c r="D143" s="42" t="s">
        <v>69</v>
      </c>
      <c r="E143" s="42" t="s">
        <v>66</v>
      </c>
      <c r="F143" s="42" t="s">
        <v>83</v>
      </c>
      <c r="G143" s="224" cm="1">
        <f t="array" ref="G143">IF(G108="-","-",
IF(ROUND(G108,8)=
IF($F143="Network",
IF($C143&lt;&gt;"Controlled load",
ROUND(INDEX(Calc_TUR_Net_2[[Ausnet]:[United Energy]],MATCH(1,(Calc_TUR_Net_2[[Customer type]:[Customer type]]=OP_Rates!$E143)*(Calc_TUR_Net_2[[Rate type]:[Rate type]]=OP_Rates!$C143),0),MATCH(OP_Rates!G$65,Calc_TUR_Net_2[[#Headers],[Ausnet]:[United Energy]],0)),8),
ROUND(INDEX(Calc_TUR_NetCL_2[[Ausnet]:[United Energy]],MATCH(OP_Rates!$E143,Calc_TUR_Net_2[[Customer type]:[Customer type]],0),MATCH(OP_Rates!G$65,Calc_TUR_Net_2[[#Headers],[Ausnet]:[United Energy]],0)),8)),
IF($F143="Environmental",
ROUND(SUMIFS(Calc_TUR_ENV_2[Ausnet],Calc_TUR_ENV_2[[Customer type]:[Customer type]],OP_Rates!$E143,Calc_TUR_ENV_2[[Rate type]:[Rate type]],OP_Rates!$C143),8))),0,1))</f>
        <v>0</v>
      </c>
      <c r="H143" s="224" cm="1">
        <f t="array" ref="H143">IF(H108="-","-",
IF(ROUND(H108,8)=
IF($F143="Network",
IF($C143&lt;&gt;"Controlled load",
ROUND(INDEX(Calc_TUR_Net_2[[Ausnet]:[United Energy]],MATCH(1,(Calc_TUR_Net_2[[Customer type]:[Customer type]]=OP_Rates!$E143)*(Calc_TUR_Net_2[[Rate type]:[Rate type]]=OP_Rates!$C143),0),MATCH(OP_Rates!H$65,Calc_TUR_Net_2[[#Headers],[Ausnet]:[United Energy]],0)),8),
ROUND(INDEX(Calc_TUR_NetCL_2[[Ausnet]:[United Energy]],MATCH(OP_Rates!$E143,Calc_TUR_Net_2[[Customer type]:[Customer type]],0),MATCH(OP_Rates!H$65,Calc_TUR_Net_2[[#Headers],[Ausnet]:[United Energy]],0)),8)),
IF($F143="Environmental",
ROUND(SUMIFS(Calc_TUR_ENV_2[Citipower],Calc_TUR_ENV_2[[Customer type]:[Customer type]],OP_Rates!$E143,Calc_TUR_ENV_2[[Rate type]:[Rate type]],OP_Rates!$C143),8))),0,1))</f>
        <v>0</v>
      </c>
      <c r="I143" s="224" cm="1">
        <f t="array" ref="I143">IF(I108="-","-",
IF(ROUND(I108,8)=
IF($F143="Network",
IF($C143&lt;&gt;"Controlled load",
ROUND(INDEX(Calc_TUR_Net_2[[Ausnet]:[United Energy]],MATCH(1,(Calc_TUR_Net_2[[Customer type]:[Customer type]]=OP_Rates!$E143)*(Calc_TUR_Net_2[[Rate type]:[Rate type]]=OP_Rates!$C143),0),MATCH(OP_Rates!I$65,Calc_TUR_Net_2[[#Headers],[Ausnet]:[United Energy]],0)),8),
ROUND(INDEX(Calc_TUR_NetCL_2[[Ausnet]:[United Energy]],MATCH(OP_Rates!$E143,Calc_TUR_Net_2[[Customer type]:[Customer type]],0),MATCH(OP_Rates!I$65,Calc_TUR_Net_2[[#Headers],[Ausnet]:[United Energy]],0)),8)),
IF($F143="Environmental",
ROUND(SUMIFS(Calc_TUR_ENV_2[Jemena],Calc_TUR_ENV_2[[Customer type]:[Customer type]],OP_Rates!$E143,Calc_TUR_ENV_2[[Rate type]:[Rate type]],OP_Rates!$C143),8))),0,1))</f>
        <v>0</v>
      </c>
      <c r="J143" s="224" cm="1">
        <f t="array" ref="J143">IF(J108="-","-",
IF(ROUND(J108,8)=
IF($F143="Network",
IF($C143&lt;&gt;"Controlled load",
ROUND(INDEX(Calc_TUR_Net_2[[Ausnet]:[United Energy]],MATCH(1,(Calc_TUR_Net_2[[Customer type]:[Customer type]]=OP_Rates!$E143)*(Calc_TUR_Net_2[[Rate type]:[Rate type]]=OP_Rates!$C143),0),MATCH(OP_Rates!J$65,Calc_TUR_Net_2[[#Headers],[Ausnet]:[United Energy]],0)),8),
ROUND(INDEX(Calc_TUR_NetCL_2[[Ausnet]:[United Energy]],MATCH(OP_Rates!$E143,Calc_TUR_Net_2[[Customer type]:[Customer type]],0),MATCH(OP_Rates!J$65,Calc_TUR_Net_2[[#Headers],[Ausnet]:[United Energy]],0)),8)),
IF($F143="Environmental",
ROUND(SUMIFS(Calc_TUR_ENV_2[Powercor],Calc_TUR_ENV_2[[Customer type]:[Customer type]],OP_Rates!$E143,Calc_TUR_ENV_2[[Rate type]:[Rate type]],OP_Rates!$C143),8))),0,1))</f>
        <v>0</v>
      </c>
      <c r="K143" s="224" cm="1">
        <f t="array" ref="K143">IF(K108="-","-",
IF(ROUND(K108,8)=
IF($F143="Network",
IF($C143&lt;&gt;"Controlled load",
ROUND(INDEX(Calc_TUR_Net_2[[Ausnet]:[United Energy]],MATCH(1,(Calc_TUR_Net_2[[Customer type]:[Customer type]]=OP_Rates!$E143)*(Calc_TUR_Net_2[[Rate type]:[Rate type]]=OP_Rates!$C143),0),MATCH(OP_Rates!K$65,Calc_TUR_Net_2[[#Headers],[Ausnet]:[United Energy]],0)),8),
ROUND(INDEX(Calc_TUR_NetCL_2[[Ausnet]:[United Energy]],MATCH(OP_Rates!$E143,Calc_TUR_Net_2[[Customer type]:[Customer type]],0),MATCH(OP_Rates!K$65,Calc_TUR_Net_2[[#Headers],[Ausnet]:[United Energy]],0)),8)),
IF($F143="Environmental",
ROUND(SUMIFS(Calc_TUR_ENV_2[United Energy],Calc_TUR_ENV_2[[Customer type]:[Customer type]],OP_Rates!$E143,Calc_TUR_ENV_2[[Rate type]:[Rate type]],OP_Rates!$C143),8))),0,1))</f>
        <v>0</v>
      </c>
      <c r="M143" s="42" t="s">
        <v>70</v>
      </c>
      <c r="N143" s="42" t="s">
        <v>69</v>
      </c>
      <c r="O143" s="42" t="s">
        <v>67</v>
      </c>
      <c r="P143" s="42" t="s">
        <v>83</v>
      </c>
      <c r="Q143" s="224" cm="1">
        <f t="array" ref="Q143">IF(Q108="-","-",
IF(ROUND(Q108,8)=
IF($P143="Network",
ROUND(INDEX(Calc_TUR_Net_2[[Ausnet]:[United Energy]],MATCH(1,(Calc_TUR_Net_2[[Customer type]:[Customer type]]=OP_Rates!$O143)*(Calc_TUR_Net_2[[Rate type]:[Rate type]]=OP_Rates!$M143),0),MATCH(OP_Rates!Q$65,Calc_TUR_Net_2[[#Headers],[Ausnet]:[United Energy]],0)),8),
IF($P143="Environmental",
ROUND(SUMIFS(Calc_TUR_ENV_2[Ausnet],Calc_TUR_ENV_2[[Customer type]:[Customer type]],OP_Rates!$O143,Calc_TUR_ENV_2[[Rate type]:[Rate type]],OP_Rates!$M143),8))),0,1))</f>
        <v>0</v>
      </c>
      <c r="R143" s="224" cm="1">
        <f t="array" ref="R143">IF(R108="-","-",
IF(ROUND(R108,8)=
IF($P143="Network",
ROUND(INDEX(Calc_TUR_Net_2[[Ausnet]:[United Energy]],MATCH(1,(Calc_TUR_Net_2[[Customer type]:[Customer type]]=OP_Rates!$O143)*(Calc_TUR_Net_2[[Rate type]:[Rate type]]=OP_Rates!$M143),0),MATCH(OP_Rates!R$65,Calc_TUR_Net_2[[#Headers],[Ausnet]:[United Energy]],0)),8),
IF($P143="Environmental",
ROUND(SUMIFS(Calc_TUR_ENV_2[Citipower],Calc_TUR_ENV_2[[Customer type]:[Customer type]],OP_Rates!$O143,Calc_TUR_ENV_2[[Rate type]:[Rate type]],OP_Rates!$M143),8))),0,1))</f>
        <v>0</v>
      </c>
      <c r="S143" s="224" cm="1">
        <f t="array" ref="S143">IF(S108="-","-",
IF(ROUND(S108,8)=
IF($P143="Network",
ROUND(INDEX(Calc_TUR_Net_2[[Ausnet]:[United Energy]],MATCH(1,(Calc_TUR_Net_2[[Customer type]:[Customer type]]=OP_Rates!$O143)*(Calc_TUR_Net_2[[Rate type]:[Rate type]]=OP_Rates!$M143),0),MATCH(OP_Rates!S$65,Calc_TUR_Net_2[[#Headers],[Ausnet]:[United Energy]],0)),8),
IF($P143="Environmental",
ROUND(SUMIFS(Calc_TUR_ENV_2[Jemena],Calc_TUR_ENV_2[[Customer type]:[Customer type]],OP_Rates!$O143,Calc_TUR_ENV_2[[Rate type]:[Rate type]],OP_Rates!$M143),8))),0,1))</f>
        <v>0</v>
      </c>
      <c r="T143" s="224" cm="1">
        <f t="array" ref="T143">IF(T108="-","-",
IF(ROUND(T108,8)=
IF($P143="Network",
ROUND(INDEX(Calc_TUR_Net_2[[Ausnet]:[United Energy]],MATCH(1,(Calc_TUR_Net_2[[Customer type]:[Customer type]]=OP_Rates!$O143)*(Calc_TUR_Net_2[[Rate type]:[Rate type]]=OP_Rates!$M143),0),MATCH(OP_Rates!T$65,Calc_TUR_Net_2[[#Headers],[Ausnet]:[United Energy]],0)),8),
IF($P143="Environmental",
ROUND(SUMIFS(Calc_TUR_ENV_2[Powercor],Calc_TUR_ENV_2[[Customer type]:[Customer type]],OP_Rates!$O143,Calc_TUR_ENV_2[[Rate type]:[Rate type]],OP_Rates!$M143),8))),0,1))</f>
        <v>0</v>
      </c>
      <c r="U143" s="224" cm="1">
        <f t="array" ref="U143">IF(U108="-","-",
IF(ROUND(U108,8)=
IF($P143="Network",
ROUND(INDEX(Calc_TUR_Net_2[[Ausnet]:[United Energy]],MATCH(1,(Calc_TUR_Net_2[[Customer type]:[Customer type]]=OP_Rates!$O143)*(Calc_TUR_Net_2[[Rate type]:[Rate type]]=OP_Rates!$M143),0),MATCH(OP_Rates!U$65,Calc_TUR_Net_2[[#Headers],[Ausnet]:[United Energy]],0)),8),
IF($P143="Environmental",
ROUND(SUMIFS(Calc_TUR_ENV_2[United Energy],Calc_TUR_ENV_2[[Customer type]:[Customer type]],OP_Rates!$O143,Calc_TUR_ENV_2[[Rate type]:[Rate type]],OP_Rates!$M143),8))),0,1))</f>
        <v>0</v>
      </c>
    </row>
    <row r="144" spans="3:21" ht="15.75" hidden="1" outlineLevel="2" x14ac:dyDescent="0.25">
      <c r="C144" s="42" t="s">
        <v>71</v>
      </c>
      <c r="D144" s="42" t="s">
        <v>69</v>
      </c>
      <c r="E144" s="42" t="s">
        <v>66</v>
      </c>
      <c r="F144" s="42" t="s">
        <v>83</v>
      </c>
      <c r="G144" s="224" cm="1">
        <f t="array" ref="G144">IF(G109="-","-",
IF(ROUND(G109,8)=
IF($F144="Network",
IF($C144&lt;&gt;"Controlled load",
ROUND(INDEX(Calc_TUR_Net_2[[Ausnet]:[United Energy]],MATCH(1,(Calc_TUR_Net_2[[Customer type]:[Customer type]]=OP_Rates!$E144)*(Calc_TUR_Net_2[[Rate type]:[Rate type]]=OP_Rates!$C144),0),MATCH(OP_Rates!G$65,Calc_TUR_Net_2[[#Headers],[Ausnet]:[United Energy]],0)),8),
ROUND(INDEX(Calc_TUR_NetCL_2[[Ausnet]:[United Energy]],MATCH(OP_Rates!$E144,Calc_TUR_Net_2[[Customer type]:[Customer type]],0),MATCH(OP_Rates!G$65,Calc_TUR_Net_2[[#Headers],[Ausnet]:[United Energy]],0)),8)),
IF($F144="Environmental",
ROUND(SUMIFS(Calc_TUR_ENV_2[Ausnet],Calc_TUR_ENV_2[[Customer type]:[Customer type]],OP_Rates!$E144,Calc_TUR_ENV_2[[Rate type]:[Rate type]],OP_Rates!$C144),8))),0,1))</f>
        <v>0</v>
      </c>
      <c r="H144" s="224" cm="1">
        <f t="array" ref="H144">IF(H109="-","-",
IF(ROUND(H109,8)=
IF($F144="Network",
IF($C144&lt;&gt;"Controlled load",
ROUND(INDEX(Calc_TUR_Net_2[[Ausnet]:[United Energy]],MATCH(1,(Calc_TUR_Net_2[[Customer type]:[Customer type]]=OP_Rates!$E144)*(Calc_TUR_Net_2[[Rate type]:[Rate type]]=OP_Rates!$C144),0),MATCH(OP_Rates!H$65,Calc_TUR_Net_2[[#Headers],[Ausnet]:[United Energy]],0)),8),
ROUND(INDEX(Calc_TUR_NetCL_2[[Ausnet]:[United Energy]],MATCH(OP_Rates!$E144,Calc_TUR_Net_2[[Customer type]:[Customer type]],0),MATCH(OP_Rates!H$65,Calc_TUR_Net_2[[#Headers],[Ausnet]:[United Energy]],0)),8)),
IF($F144="Environmental",
ROUND(SUMIFS(Calc_TUR_ENV_2[Citipower],Calc_TUR_ENV_2[[Customer type]:[Customer type]],OP_Rates!$E144,Calc_TUR_ENV_2[[Rate type]:[Rate type]],OP_Rates!$C144),8))),0,1))</f>
        <v>0</v>
      </c>
      <c r="I144" s="224" cm="1">
        <f t="array" ref="I144">IF(I109="-","-",
IF(ROUND(I109,8)=
IF($F144="Network",
IF($C144&lt;&gt;"Controlled load",
ROUND(INDEX(Calc_TUR_Net_2[[Ausnet]:[United Energy]],MATCH(1,(Calc_TUR_Net_2[[Customer type]:[Customer type]]=OP_Rates!$E144)*(Calc_TUR_Net_2[[Rate type]:[Rate type]]=OP_Rates!$C144),0),MATCH(OP_Rates!I$65,Calc_TUR_Net_2[[#Headers],[Ausnet]:[United Energy]],0)),8),
ROUND(INDEX(Calc_TUR_NetCL_2[[Ausnet]:[United Energy]],MATCH(OP_Rates!$E144,Calc_TUR_Net_2[[Customer type]:[Customer type]],0),MATCH(OP_Rates!I$65,Calc_TUR_Net_2[[#Headers],[Ausnet]:[United Energy]],0)),8)),
IF($F144="Environmental",
ROUND(SUMIFS(Calc_TUR_ENV_2[Jemena],Calc_TUR_ENV_2[[Customer type]:[Customer type]],OP_Rates!$E144,Calc_TUR_ENV_2[[Rate type]:[Rate type]],OP_Rates!$C144),8))),0,1))</f>
        <v>0</v>
      </c>
      <c r="J144" s="224" cm="1">
        <f t="array" ref="J144">IF(J109="-","-",
IF(ROUND(J109,8)=
IF($F144="Network",
IF($C144&lt;&gt;"Controlled load",
ROUND(INDEX(Calc_TUR_Net_2[[Ausnet]:[United Energy]],MATCH(1,(Calc_TUR_Net_2[[Customer type]:[Customer type]]=OP_Rates!$E144)*(Calc_TUR_Net_2[[Rate type]:[Rate type]]=OP_Rates!$C144),0),MATCH(OP_Rates!J$65,Calc_TUR_Net_2[[#Headers],[Ausnet]:[United Energy]],0)),8),
ROUND(INDEX(Calc_TUR_NetCL_2[[Ausnet]:[United Energy]],MATCH(OP_Rates!$E144,Calc_TUR_Net_2[[Customer type]:[Customer type]],0),MATCH(OP_Rates!J$65,Calc_TUR_Net_2[[#Headers],[Ausnet]:[United Energy]],0)),8)),
IF($F144="Environmental",
ROUND(SUMIFS(Calc_TUR_ENV_2[Powercor],Calc_TUR_ENV_2[[Customer type]:[Customer type]],OP_Rates!$E144,Calc_TUR_ENV_2[[Rate type]:[Rate type]],OP_Rates!$C144),8))),0,1))</f>
        <v>0</v>
      </c>
      <c r="K144" s="224" cm="1">
        <f t="array" ref="K144">IF(K109="-","-",
IF(ROUND(K109,8)=
IF($F144="Network",
IF($C144&lt;&gt;"Controlled load",
ROUND(INDEX(Calc_TUR_Net_2[[Ausnet]:[United Energy]],MATCH(1,(Calc_TUR_Net_2[[Customer type]:[Customer type]]=OP_Rates!$E144)*(Calc_TUR_Net_2[[Rate type]:[Rate type]]=OP_Rates!$C144),0),MATCH(OP_Rates!K$65,Calc_TUR_Net_2[[#Headers],[Ausnet]:[United Energy]],0)),8),
ROUND(INDEX(Calc_TUR_NetCL_2[[Ausnet]:[United Energy]],MATCH(OP_Rates!$E144,Calc_TUR_Net_2[[Customer type]:[Customer type]],0),MATCH(OP_Rates!K$65,Calc_TUR_Net_2[[#Headers],[Ausnet]:[United Energy]],0)),8)),
IF($F144="Environmental",
ROUND(SUMIFS(Calc_TUR_ENV_2[United Energy],Calc_TUR_ENV_2[[Customer type]:[Customer type]],OP_Rates!$E144,Calc_TUR_ENV_2[[Rate type]:[Rate type]],OP_Rates!$C144),8))),0,1))</f>
        <v>0</v>
      </c>
      <c r="M144" s="42" t="s">
        <v>71</v>
      </c>
      <c r="N144" s="42" t="s">
        <v>69</v>
      </c>
      <c r="O144" s="42" t="s">
        <v>67</v>
      </c>
      <c r="P144" s="42" t="s">
        <v>83</v>
      </c>
      <c r="Q144" s="224" cm="1">
        <f t="array" ref="Q144">IF(Q109="-","-",
IF(ROUND(Q109,8)=
IF($P144="Network",
ROUND(INDEX(Calc_TUR_Net_2[[Ausnet]:[United Energy]],MATCH(1,(Calc_TUR_Net_2[[Customer type]:[Customer type]]=OP_Rates!$O144)*(Calc_TUR_Net_2[[Rate type]:[Rate type]]=OP_Rates!$M144),0),MATCH(OP_Rates!Q$65,Calc_TUR_Net_2[[#Headers],[Ausnet]:[United Energy]],0)),8),
IF($P144="Environmental",
ROUND(SUMIFS(Calc_TUR_ENV_2[Ausnet],Calc_TUR_ENV_2[[Customer type]:[Customer type]],OP_Rates!$O144,Calc_TUR_ENV_2[[Rate type]:[Rate type]],OP_Rates!$M144),8))),0,1))</f>
        <v>0</v>
      </c>
      <c r="R144" s="224" cm="1">
        <f t="array" ref="R144">IF(R109="-","-",
IF(ROUND(R109,8)=
IF($P144="Network",
ROUND(INDEX(Calc_TUR_Net_2[[Ausnet]:[United Energy]],MATCH(1,(Calc_TUR_Net_2[[Customer type]:[Customer type]]=OP_Rates!$O144)*(Calc_TUR_Net_2[[Rate type]:[Rate type]]=OP_Rates!$M144),0),MATCH(OP_Rates!R$65,Calc_TUR_Net_2[[#Headers],[Ausnet]:[United Energy]],0)),8),
IF($P144="Environmental",
ROUND(SUMIFS(Calc_TUR_ENV_2[Citipower],Calc_TUR_ENV_2[[Customer type]:[Customer type]],OP_Rates!$O144,Calc_TUR_ENV_2[[Rate type]:[Rate type]],OP_Rates!$M144),8))),0,1))</f>
        <v>0</v>
      </c>
      <c r="S144" s="224" cm="1">
        <f t="array" ref="S144">IF(S109="-","-",
IF(ROUND(S109,8)=
IF($P144="Network",
ROUND(INDEX(Calc_TUR_Net_2[[Ausnet]:[United Energy]],MATCH(1,(Calc_TUR_Net_2[[Customer type]:[Customer type]]=OP_Rates!$O144)*(Calc_TUR_Net_2[[Rate type]:[Rate type]]=OP_Rates!$M144),0),MATCH(OP_Rates!S$65,Calc_TUR_Net_2[[#Headers],[Ausnet]:[United Energy]],0)),8),
IF($P144="Environmental",
ROUND(SUMIFS(Calc_TUR_ENV_2[Jemena],Calc_TUR_ENV_2[[Customer type]:[Customer type]],OP_Rates!$O144,Calc_TUR_ENV_2[[Rate type]:[Rate type]],OP_Rates!$M144),8))),0,1))</f>
        <v>0</v>
      </c>
      <c r="T144" s="224" cm="1">
        <f t="array" ref="T144">IF(T109="-","-",
IF(ROUND(T109,8)=
IF($P144="Network",
ROUND(INDEX(Calc_TUR_Net_2[[Ausnet]:[United Energy]],MATCH(1,(Calc_TUR_Net_2[[Customer type]:[Customer type]]=OP_Rates!$O144)*(Calc_TUR_Net_2[[Rate type]:[Rate type]]=OP_Rates!$M144),0),MATCH(OP_Rates!T$65,Calc_TUR_Net_2[[#Headers],[Ausnet]:[United Energy]],0)),8),
IF($P144="Environmental",
ROUND(SUMIFS(Calc_TUR_ENV_2[Powercor],Calc_TUR_ENV_2[[Customer type]:[Customer type]],OP_Rates!$O144,Calc_TUR_ENV_2[[Rate type]:[Rate type]],OP_Rates!$M144),8))),0,1))</f>
        <v>0</v>
      </c>
      <c r="U144" s="224" cm="1">
        <f t="array" ref="U144">IF(U109="-","-",
IF(ROUND(U109,8)=
IF($P144="Network",
ROUND(INDEX(Calc_TUR_Net_2[[Ausnet]:[United Energy]],MATCH(1,(Calc_TUR_Net_2[[Customer type]:[Customer type]]=OP_Rates!$O144)*(Calc_TUR_Net_2[[Rate type]:[Rate type]]=OP_Rates!$M144),0),MATCH(OP_Rates!U$65,Calc_TUR_Net_2[[#Headers],[Ausnet]:[United Energy]],0)),8),
IF($P144="Environmental",
ROUND(SUMIFS(Calc_TUR_ENV_2[United Energy],Calc_TUR_ENV_2[[Customer type]:[Customer type]],OP_Rates!$O144,Calc_TUR_ENV_2[[Rate type]:[Rate type]],OP_Rates!$M144),8))),0,1))</f>
        <v>0</v>
      </c>
    </row>
    <row r="145" spans="3:21" ht="15.75" hidden="1" outlineLevel="2" x14ac:dyDescent="0.25">
      <c r="C145" s="42" t="s">
        <v>73</v>
      </c>
      <c r="D145" s="42" t="s">
        <v>69</v>
      </c>
      <c r="E145" s="42" t="s">
        <v>66</v>
      </c>
      <c r="F145" s="42" t="s">
        <v>83</v>
      </c>
      <c r="G145" s="224" cm="1">
        <f t="array" ref="G145">IF(G110="-","-",
IF(ROUND(G110,8)=
IF($F145="Network",
IF($C145&lt;&gt;"Controlled load",
ROUND(INDEX(Calc_TUR_Net_2[[Ausnet]:[United Energy]],MATCH(1,(Calc_TUR_Net_2[[Customer type]:[Customer type]]=OP_Rates!$E145)*(Calc_TUR_Net_2[[Rate type]:[Rate type]]=OP_Rates!$C145),0),MATCH(OP_Rates!G$65,Calc_TUR_Net_2[[#Headers],[Ausnet]:[United Energy]],0)),8),
ROUND(INDEX(Calc_TUR_NetCL_2[[Ausnet]:[United Energy]],MATCH(OP_Rates!$E145,Calc_TUR_Net_2[[Customer type]:[Customer type]],0),MATCH(OP_Rates!G$65,Calc_TUR_Net_2[[#Headers],[Ausnet]:[United Energy]],0)),8)),
IF($F145="Environmental",
ROUND(SUMIFS(Calc_TUR_ENV_2[Ausnet],Calc_TUR_ENV_2[[Customer type]:[Customer type]],OP_Rates!$E145,Calc_TUR_ENV_2[[Rate type]:[Rate type]],OP_Rates!$C145),8))),0,1))</f>
        <v>0</v>
      </c>
      <c r="H145" s="224" cm="1">
        <f t="array" ref="H145">IF(H110="-","-",
IF(ROUND(H110,8)=
IF($F145="Network",
IF($C145&lt;&gt;"Controlled load",
ROUND(INDEX(Calc_TUR_Net_2[[Ausnet]:[United Energy]],MATCH(1,(Calc_TUR_Net_2[[Customer type]:[Customer type]]=OP_Rates!$E145)*(Calc_TUR_Net_2[[Rate type]:[Rate type]]=OP_Rates!$C145),0),MATCH(OP_Rates!H$65,Calc_TUR_Net_2[[#Headers],[Ausnet]:[United Energy]],0)),8),
ROUND(INDEX(Calc_TUR_NetCL_2[[Ausnet]:[United Energy]],MATCH(OP_Rates!$E145,Calc_TUR_Net_2[[Customer type]:[Customer type]],0),MATCH(OP_Rates!H$65,Calc_TUR_Net_2[[#Headers],[Ausnet]:[United Energy]],0)),8)),
IF($F145="Environmental",
ROUND(SUMIFS(Calc_TUR_ENV_2[Citipower],Calc_TUR_ENV_2[[Customer type]:[Customer type]],OP_Rates!$E145,Calc_TUR_ENV_2[[Rate type]:[Rate type]],OP_Rates!$C145),8))),0,1))</f>
        <v>0</v>
      </c>
      <c r="I145" s="224" cm="1">
        <f t="array" ref="I145">IF(I110="-","-",
IF(ROUND(I110,8)=
IF($F145="Network",
IF($C145&lt;&gt;"Controlled load",
ROUND(INDEX(Calc_TUR_Net_2[[Ausnet]:[United Energy]],MATCH(1,(Calc_TUR_Net_2[[Customer type]:[Customer type]]=OP_Rates!$E145)*(Calc_TUR_Net_2[[Rate type]:[Rate type]]=OP_Rates!$C145),0),MATCH(OP_Rates!I$65,Calc_TUR_Net_2[[#Headers],[Ausnet]:[United Energy]],0)),8),
ROUND(INDEX(Calc_TUR_NetCL_2[[Ausnet]:[United Energy]],MATCH(OP_Rates!$E145,Calc_TUR_Net_2[[Customer type]:[Customer type]],0),MATCH(OP_Rates!I$65,Calc_TUR_Net_2[[#Headers],[Ausnet]:[United Energy]],0)),8)),
IF($F145="Environmental",
ROUND(SUMIFS(Calc_TUR_ENV_2[Jemena],Calc_TUR_ENV_2[[Customer type]:[Customer type]],OP_Rates!$E145,Calc_TUR_ENV_2[[Rate type]:[Rate type]],OP_Rates!$C145),8))),0,1))</f>
        <v>0</v>
      </c>
      <c r="J145" s="224" cm="1">
        <f t="array" ref="J145">IF(J110="-","-",
IF(ROUND(J110,8)=
IF($F145="Network",
IF($C145&lt;&gt;"Controlled load",
ROUND(INDEX(Calc_TUR_Net_2[[Ausnet]:[United Energy]],MATCH(1,(Calc_TUR_Net_2[[Customer type]:[Customer type]]=OP_Rates!$E145)*(Calc_TUR_Net_2[[Rate type]:[Rate type]]=OP_Rates!$C145),0),MATCH(OP_Rates!J$65,Calc_TUR_Net_2[[#Headers],[Ausnet]:[United Energy]],0)),8),
ROUND(INDEX(Calc_TUR_NetCL_2[[Ausnet]:[United Energy]],MATCH(OP_Rates!$E145,Calc_TUR_Net_2[[Customer type]:[Customer type]],0),MATCH(OP_Rates!J$65,Calc_TUR_Net_2[[#Headers],[Ausnet]:[United Energy]],0)),8)),
IF($F145="Environmental",
ROUND(SUMIFS(Calc_TUR_ENV_2[Powercor],Calc_TUR_ENV_2[[Customer type]:[Customer type]],OP_Rates!$E145,Calc_TUR_ENV_2[[Rate type]:[Rate type]],OP_Rates!$C145),8))),0,1))</f>
        <v>0</v>
      </c>
      <c r="K145" s="224" cm="1">
        <f t="array" ref="K145">IF(K110="-","-",
IF(ROUND(K110,8)=
IF($F145="Network",
IF($C145&lt;&gt;"Controlled load",
ROUND(INDEX(Calc_TUR_Net_2[[Ausnet]:[United Energy]],MATCH(1,(Calc_TUR_Net_2[[Customer type]:[Customer type]]=OP_Rates!$E145)*(Calc_TUR_Net_2[[Rate type]:[Rate type]]=OP_Rates!$C145),0),MATCH(OP_Rates!K$65,Calc_TUR_Net_2[[#Headers],[Ausnet]:[United Energy]],0)),8),
ROUND(INDEX(Calc_TUR_NetCL_2[[Ausnet]:[United Energy]],MATCH(OP_Rates!$E145,Calc_TUR_Net_2[[Customer type]:[Customer type]],0),MATCH(OP_Rates!K$65,Calc_TUR_Net_2[[#Headers],[Ausnet]:[United Energy]],0)),8)),
IF($F145="Environmental",
ROUND(SUMIFS(Calc_TUR_ENV_2[United Energy],Calc_TUR_ENV_2[[Customer type]:[Customer type]],OP_Rates!$E145,Calc_TUR_ENV_2[[Rate type]:[Rate type]],OP_Rates!$C145),8))),0,1))</f>
        <v>0</v>
      </c>
      <c r="M145" s="42" t="s">
        <v>73</v>
      </c>
      <c r="N145" s="42" t="s">
        <v>69</v>
      </c>
      <c r="O145" s="42" t="s">
        <v>67</v>
      </c>
      <c r="P145" s="42" t="s">
        <v>83</v>
      </c>
      <c r="Q145" s="224" cm="1">
        <f t="array" ref="Q145">IF(Q110="-","-",
IF(ROUND(Q110,8)=
IF($P145="Network",
ROUND(INDEX(Calc_TUR_Net_2[[Ausnet]:[United Energy]],MATCH(1,(Calc_TUR_Net_2[[Customer type]:[Customer type]]=OP_Rates!$O145)*(Calc_TUR_Net_2[[Rate type]:[Rate type]]=OP_Rates!$M145),0),MATCH(OP_Rates!Q$65,Calc_TUR_Net_2[[#Headers],[Ausnet]:[United Energy]],0)),8),
IF($P145="Environmental",
ROUND(SUMIFS(Calc_TUR_ENV_2[Ausnet],Calc_TUR_ENV_2[[Customer type]:[Customer type]],OP_Rates!$O145,Calc_TUR_ENV_2[[Rate type]:[Rate type]],OP_Rates!$M145),8))),0,1))</f>
        <v>0</v>
      </c>
      <c r="R145" s="224" cm="1">
        <f t="array" ref="R145">IF(R110="-","-",
IF(ROUND(R110,8)=
IF($P145="Network",
ROUND(INDEX(Calc_TUR_Net_2[[Ausnet]:[United Energy]],MATCH(1,(Calc_TUR_Net_2[[Customer type]:[Customer type]]=OP_Rates!$O145)*(Calc_TUR_Net_2[[Rate type]:[Rate type]]=OP_Rates!$M145),0),MATCH(OP_Rates!R$65,Calc_TUR_Net_2[[#Headers],[Ausnet]:[United Energy]],0)),8),
IF($P145="Environmental",
ROUND(SUMIFS(Calc_TUR_ENV_2[Citipower],Calc_TUR_ENV_2[[Customer type]:[Customer type]],OP_Rates!$O145,Calc_TUR_ENV_2[[Rate type]:[Rate type]],OP_Rates!$M145),8))),0,1))</f>
        <v>0</v>
      </c>
      <c r="S145" s="224" cm="1">
        <f t="array" ref="S145">IF(S110="-","-",
IF(ROUND(S110,8)=
IF($P145="Network",
ROUND(INDEX(Calc_TUR_Net_2[[Ausnet]:[United Energy]],MATCH(1,(Calc_TUR_Net_2[[Customer type]:[Customer type]]=OP_Rates!$O145)*(Calc_TUR_Net_2[[Rate type]:[Rate type]]=OP_Rates!$M145),0),MATCH(OP_Rates!S$65,Calc_TUR_Net_2[[#Headers],[Ausnet]:[United Energy]],0)),8),
IF($P145="Environmental",
ROUND(SUMIFS(Calc_TUR_ENV_2[Jemena],Calc_TUR_ENV_2[[Customer type]:[Customer type]],OP_Rates!$O145,Calc_TUR_ENV_2[[Rate type]:[Rate type]],OP_Rates!$M145),8))),0,1))</f>
        <v>0</v>
      </c>
      <c r="T145" s="224" cm="1">
        <f t="array" ref="T145">IF(T110="-","-",
IF(ROUND(T110,8)=
IF($P145="Network",
ROUND(INDEX(Calc_TUR_Net_2[[Ausnet]:[United Energy]],MATCH(1,(Calc_TUR_Net_2[[Customer type]:[Customer type]]=OP_Rates!$O145)*(Calc_TUR_Net_2[[Rate type]:[Rate type]]=OP_Rates!$M145),0),MATCH(OP_Rates!T$65,Calc_TUR_Net_2[[#Headers],[Ausnet]:[United Energy]],0)),8),
IF($P145="Environmental",
ROUND(SUMIFS(Calc_TUR_ENV_2[Powercor],Calc_TUR_ENV_2[[Customer type]:[Customer type]],OP_Rates!$O145,Calc_TUR_ENV_2[[Rate type]:[Rate type]],OP_Rates!$M145),8))),0,1))</f>
        <v>0</v>
      </c>
      <c r="U145" s="224" cm="1">
        <f t="array" ref="U145">IF(U110="-","-",
IF(ROUND(U110,8)=
IF($P145="Network",
ROUND(INDEX(Calc_TUR_Net_2[[Ausnet]:[United Energy]],MATCH(1,(Calc_TUR_Net_2[[Customer type]:[Customer type]]=OP_Rates!$O145)*(Calc_TUR_Net_2[[Rate type]:[Rate type]]=OP_Rates!$M145),0),MATCH(OP_Rates!U$65,Calc_TUR_Net_2[[#Headers],[Ausnet]:[United Energy]],0)),8),
IF($P145="Environmental",
ROUND(SUMIFS(Calc_TUR_ENV_2[United Energy],Calc_TUR_ENV_2[[Customer type]:[Customer type]],OP_Rates!$O145,Calc_TUR_ENV_2[[Rate type]:[Rate type]],OP_Rates!$M145),8))),0,1))</f>
        <v>0</v>
      </c>
    </row>
    <row r="146" spans="3:21" ht="15.75" hidden="1" outlineLevel="2" x14ac:dyDescent="0.25">
      <c r="C146" s="42" t="s">
        <v>74</v>
      </c>
      <c r="D146" s="42" t="s">
        <v>69</v>
      </c>
      <c r="E146" s="42" t="s">
        <v>66</v>
      </c>
      <c r="F146" s="42" t="s">
        <v>83</v>
      </c>
      <c r="G146" s="224" cm="1">
        <f t="array" ref="G146">IF(G111="-","-",
IF(ROUND(G111,8)=
IF($F146="Network",
IF($C146&lt;&gt;"Controlled load",
ROUND(INDEX(Calc_TUR_Net_2[[Ausnet]:[United Energy]],MATCH(1,(Calc_TUR_Net_2[[Customer type]:[Customer type]]=OP_Rates!$E146)*(Calc_TUR_Net_2[[Rate type]:[Rate type]]=OP_Rates!$C146),0),MATCH(OP_Rates!G$65,Calc_TUR_Net_2[[#Headers],[Ausnet]:[United Energy]],0)),8),
ROUND(INDEX(Calc_TUR_NetCL_2[[Ausnet]:[United Energy]],MATCH(OP_Rates!$E146,Calc_TUR_Net_2[[Customer type]:[Customer type]],0),MATCH(OP_Rates!G$65,Calc_TUR_Net_2[[#Headers],[Ausnet]:[United Energy]],0)),8)),
IF($F146="Environmental",
ROUND(SUMIFS(Calc_TUR_ENV_2[Ausnet],Calc_TUR_ENV_2[[Customer type]:[Customer type]],OP_Rates!$E146,Calc_TUR_ENV_2[[Rate type]:[Rate type]],OP_Rates!$C146),8))),0,1))</f>
        <v>0</v>
      </c>
      <c r="H146" s="224" cm="1">
        <f t="array" ref="H146">IF(H111="-","-",
IF(ROUND(H111,8)=
IF($F146="Network",
IF($C146&lt;&gt;"Controlled load",
ROUND(INDEX(Calc_TUR_Net_2[[Ausnet]:[United Energy]],MATCH(1,(Calc_TUR_Net_2[[Customer type]:[Customer type]]=OP_Rates!$E146)*(Calc_TUR_Net_2[[Rate type]:[Rate type]]=OP_Rates!$C146),0),MATCH(OP_Rates!H$65,Calc_TUR_Net_2[[#Headers],[Ausnet]:[United Energy]],0)),8),
ROUND(INDEX(Calc_TUR_NetCL_2[[Ausnet]:[United Energy]],MATCH(OP_Rates!$E146,Calc_TUR_Net_2[[Customer type]:[Customer type]],0),MATCH(OP_Rates!H$65,Calc_TUR_Net_2[[#Headers],[Ausnet]:[United Energy]],0)),8)),
IF($F146="Environmental",
ROUND(SUMIFS(Calc_TUR_ENV_2[Citipower],Calc_TUR_ENV_2[[Customer type]:[Customer type]],OP_Rates!$E146,Calc_TUR_ENV_2[[Rate type]:[Rate type]],OP_Rates!$C146),8))),0,1))</f>
        <v>0</v>
      </c>
      <c r="I146" s="224" cm="1">
        <f t="array" ref="I146">IF(I111="-","-",
IF(ROUND(I111,8)=
IF($F146="Network",
IF($C146&lt;&gt;"Controlled load",
ROUND(INDEX(Calc_TUR_Net_2[[Ausnet]:[United Energy]],MATCH(1,(Calc_TUR_Net_2[[Customer type]:[Customer type]]=OP_Rates!$E146)*(Calc_TUR_Net_2[[Rate type]:[Rate type]]=OP_Rates!$C146),0),MATCH(OP_Rates!I$65,Calc_TUR_Net_2[[#Headers],[Ausnet]:[United Energy]],0)),8),
ROUND(INDEX(Calc_TUR_NetCL_2[[Ausnet]:[United Energy]],MATCH(OP_Rates!$E146,Calc_TUR_Net_2[[Customer type]:[Customer type]],0),MATCH(OP_Rates!I$65,Calc_TUR_Net_2[[#Headers],[Ausnet]:[United Energy]],0)),8)),
IF($F146="Environmental",
ROUND(SUMIFS(Calc_TUR_ENV_2[Jemena],Calc_TUR_ENV_2[[Customer type]:[Customer type]],OP_Rates!$E146,Calc_TUR_ENV_2[[Rate type]:[Rate type]],OP_Rates!$C146),8))),0,1))</f>
        <v>0</v>
      </c>
      <c r="J146" s="224" cm="1">
        <f t="array" ref="J146">IF(J111="-","-",
IF(ROUND(J111,8)=
IF($F146="Network",
IF($C146&lt;&gt;"Controlled load",
ROUND(INDEX(Calc_TUR_Net_2[[Ausnet]:[United Energy]],MATCH(1,(Calc_TUR_Net_2[[Customer type]:[Customer type]]=OP_Rates!$E146)*(Calc_TUR_Net_2[[Rate type]:[Rate type]]=OP_Rates!$C146),0),MATCH(OP_Rates!J$65,Calc_TUR_Net_2[[#Headers],[Ausnet]:[United Energy]],0)),8),
ROUND(INDEX(Calc_TUR_NetCL_2[[Ausnet]:[United Energy]],MATCH(OP_Rates!$E146,Calc_TUR_Net_2[[Customer type]:[Customer type]],0),MATCH(OP_Rates!J$65,Calc_TUR_Net_2[[#Headers],[Ausnet]:[United Energy]],0)),8)),
IF($F146="Environmental",
ROUND(SUMIFS(Calc_TUR_ENV_2[Powercor],Calc_TUR_ENV_2[[Customer type]:[Customer type]],OP_Rates!$E146,Calc_TUR_ENV_2[[Rate type]:[Rate type]],OP_Rates!$C146),8))),0,1))</f>
        <v>0</v>
      </c>
      <c r="K146" s="224" cm="1">
        <f t="array" ref="K146">IF(K111="-","-",
IF(ROUND(K111,8)=
IF($F146="Network",
IF($C146&lt;&gt;"Controlled load",
ROUND(INDEX(Calc_TUR_Net_2[[Ausnet]:[United Energy]],MATCH(1,(Calc_TUR_Net_2[[Customer type]:[Customer type]]=OP_Rates!$E146)*(Calc_TUR_Net_2[[Rate type]:[Rate type]]=OP_Rates!$C146),0),MATCH(OP_Rates!K$65,Calc_TUR_Net_2[[#Headers],[Ausnet]:[United Energy]],0)),8),
ROUND(INDEX(Calc_TUR_NetCL_2[[Ausnet]:[United Energy]],MATCH(OP_Rates!$E146,Calc_TUR_Net_2[[Customer type]:[Customer type]],0),MATCH(OP_Rates!K$65,Calc_TUR_Net_2[[#Headers],[Ausnet]:[United Energy]],0)),8)),
IF($F146="Environmental",
ROUND(SUMIFS(Calc_TUR_ENV_2[United Energy],Calc_TUR_ENV_2[[Customer type]:[Customer type]],OP_Rates!$E146,Calc_TUR_ENV_2[[Rate type]:[Rate type]],OP_Rates!$C146),8))),0,1))</f>
        <v>0</v>
      </c>
      <c r="M146" s="42" t="s">
        <v>74</v>
      </c>
      <c r="N146" s="42" t="s">
        <v>69</v>
      </c>
      <c r="O146" s="42" t="s">
        <v>67</v>
      </c>
      <c r="P146" s="42" t="s">
        <v>83</v>
      </c>
      <c r="Q146" s="224" cm="1">
        <f t="array" ref="Q146">IF(Q111="-","-",
IF(ROUND(Q111,8)=
IF($P146="Network",
ROUND(INDEX(Calc_TUR_Net_2[[Ausnet]:[United Energy]],MATCH(1,(Calc_TUR_Net_2[[Customer type]:[Customer type]]=OP_Rates!$O146)*(Calc_TUR_Net_2[[Rate type]:[Rate type]]=OP_Rates!$M146),0),MATCH(OP_Rates!Q$65,Calc_TUR_Net_2[[#Headers],[Ausnet]:[United Energy]],0)),8),
IF($P146="Environmental",
ROUND(SUMIFS(Calc_TUR_ENV_2[Ausnet],Calc_TUR_ENV_2[[Customer type]:[Customer type]],OP_Rates!$O146,Calc_TUR_ENV_2[[Rate type]:[Rate type]],OP_Rates!$M146),8))),0,1))</f>
        <v>0</v>
      </c>
      <c r="R146" s="224" cm="1">
        <f t="array" ref="R146">IF(R111="-","-",
IF(ROUND(R111,8)=
IF($P146="Network",
ROUND(INDEX(Calc_TUR_Net_2[[Ausnet]:[United Energy]],MATCH(1,(Calc_TUR_Net_2[[Customer type]:[Customer type]]=OP_Rates!$O146)*(Calc_TUR_Net_2[[Rate type]:[Rate type]]=OP_Rates!$M146),0),MATCH(OP_Rates!R$65,Calc_TUR_Net_2[[#Headers],[Ausnet]:[United Energy]],0)),8),
IF($P146="Environmental",
ROUND(SUMIFS(Calc_TUR_ENV_2[Citipower],Calc_TUR_ENV_2[[Customer type]:[Customer type]],OP_Rates!$O146,Calc_TUR_ENV_2[[Rate type]:[Rate type]],OP_Rates!$M146),8))),0,1))</f>
        <v>0</v>
      </c>
      <c r="S146" s="224" cm="1">
        <f t="array" ref="S146">IF(S111="-","-",
IF(ROUND(S111,8)=
IF($P146="Network",
ROUND(INDEX(Calc_TUR_Net_2[[Ausnet]:[United Energy]],MATCH(1,(Calc_TUR_Net_2[[Customer type]:[Customer type]]=OP_Rates!$O146)*(Calc_TUR_Net_2[[Rate type]:[Rate type]]=OP_Rates!$M146),0),MATCH(OP_Rates!S$65,Calc_TUR_Net_2[[#Headers],[Ausnet]:[United Energy]],0)),8),
IF($P146="Environmental",
ROUND(SUMIFS(Calc_TUR_ENV_2[Jemena],Calc_TUR_ENV_2[[Customer type]:[Customer type]],OP_Rates!$O146,Calc_TUR_ENV_2[[Rate type]:[Rate type]],OP_Rates!$M146),8))),0,1))</f>
        <v>0</v>
      </c>
      <c r="T146" s="224" cm="1">
        <f t="array" ref="T146">IF(T111="-","-",
IF(ROUND(T111,8)=
IF($P146="Network",
ROUND(INDEX(Calc_TUR_Net_2[[Ausnet]:[United Energy]],MATCH(1,(Calc_TUR_Net_2[[Customer type]:[Customer type]]=OP_Rates!$O146)*(Calc_TUR_Net_2[[Rate type]:[Rate type]]=OP_Rates!$M146),0),MATCH(OP_Rates!T$65,Calc_TUR_Net_2[[#Headers],[Ausnet]:[United Energy]],0)),8),
IF($P146="Environmental",
ROUND(SUMIFS(Calc_TUR_ENV_2[Powercor],Calc_TUR_ENV_2[[Customer type]:[Customer type]],OP_Rates!$O146,Calc_TUR_ENV_2[[Rate type]:[Rate type]],OP_Rates!$M146),8))),0,1))</f>
        <v>0</v>
      </c>
      <c r="U146" s="224" cm="1">
        <f t="array" ref="U146">IF(U111="-","-",
IF(ROUND(U111,8)=
IF($P146="Network",
ROUND(INDEX(Calc_TUR_Net_2[[Ausnet]:[United Energy]],MATCH(1,(Calc_TUR_Net_2[[Customer type]:[Customer type]]=OP_Rates!$O146)*(Calc_TUR_Net_2[[Rate type]:[Rate type]]=OP_Rates!$M146),0),MATCH(OP_Rates!U$65,Calc_TUR_Net_2[[#Headers],[Ausnet]:[United Energy]],0)),8),
IF($P146="Environmental",
ROUND(SUMIFS(Calc_TUR_ENV_2[United Energy],Calc_TUR_ENV_2[[Customer type]:[Customer type]],OP_Rates!$O146,Calc_TUR_ENV_2[[Rate type]:[Rate type]],OP_Rates!$M146),8))),0,1))</f>
        <v>0</v>
      </c>
    </row>
    <row r="147" spans="3:21" ht="15.75" hidden="1" outlineLevel="2" x14ac:dyDescent="0.25">
      <c r="C147" s="42" t="s">
        <v>75</v>
      </c>
      <c r="D147" s="42" t="s">
        <v>69</v>
      </c>
      <c r="E147" s="42" t="s">
        <v>66</v>
      </c>
      <c r="F147" s="42" t="s">
        <v>83</v>
      </c>
      <c r="G147" s="224" cm="1">
        <f t="array" ref="G147">IF(G112="-","-",
IF(ROUND(G112,8)=
IF($F147="Network",
IF($C147&lt;&gt;"Controlled load",
ROUND(INDEX(Calc_TUR_Net_2[[Ausnet]:[United Energy]],MATCH(1,(Calc_TUR_Net_2[[Customer type]:[Customer type]]=OP_Rates!$E147)*(Calc_TUR_Net_2[[Rate type]:[Rate type]]=OP_Rates!$C147),0),MATCH(OP_Rates!G$65,Calc_TUR_Net_2[[#Headers],[Ausnet]:[United Energy]],0)),8),
ROUND(INDEX(Calc_TUR_NetCL_2[[Ausnet]:[United Energy]],MATCH(OP_Rates!$E147,Calc_TUR_Net_2[[Customer type]:[Customer type]],0),MATCH(OP_Rates!G$65,Calc_TUR_Net_2[[#Headers],[Ausnet]:[United Energy]],0)),8)),
IF($F147="Environmental",
ROUND(SUMIFS(Calc_TUR_ENV_2[Ausnet],Calc_TUR_ENV_2[[Customer type]:[Customer type]],OP_Rates!$E147,Calc_TUR_ENV_2[[Rate type]:[Rate type]],OP_Rates!$C147),8))),0,1))</f>
        <v>0</v>
      </c>
      <c r="H147" s="224" cm="1">
        <f t="array" ref="H147">IF(H112="-","-",
IF(ROUND(H112,8)=
IF($F147="Network",
IF($C147&lt;&gt;"Controlled load",
ROUND(INDEX(Calc_TUR_Net_2[[Ausnet]:[United Energy]],MATCH(1,(Calc_TUR_Net_2[[Customer type]:[Customer type]]=OP_Rates!$E147)*(Calc_TUR_Net_2[[Rate type]:[Rate type]]=OP_Rates!$C147),0),MATCH(OP_Rates!H$65,Calc_TUR_Net_2[[#Headers],[Ausnet]:[United Energy]],0)),8),
ROUND(INDEX(Calc_TUR_NetCL_2[[Ausnet]:[United Energy]],MATCH(OP_Rates!$E147,Calc_TUR_Net_2[[Customer type]:[Customer type]],0),MATCH(OP_Rates!H$65,Calc_TUR_Net_2[[#Headers],[Ausnet]:[United Energy]],0)),8)),
IF($F147="Environmental",
ROUND(SUMIFS(Calc_TUR_ENV_2[Citipower],Calc_TUR_ENV_2[[Customer type]:[Customer type]],OP_Rates!$E147,Calc_TUR_ENV_2[[Rate type]:[Rate type]],OP_Rates!$C147),8))),0,1))</f>
        <v>0</v>
      </c>
      <c r="I147" s="224" cm="1">
        <f t="array" ref="I147">IF(I112="-","-",
IF(ROUND(I112,8)=
IF($F147="Network",
IF($C147&lt;&gt;"Controlled load",
ROUND(INDEX(Calc_TUR_Net_2[[Ausnet]:[United Energy]],MATCH(1,(Calc_TUR_Net_2[[Customer type]:[Customer type]]=OP_Rates!$E147)*(Calc_TUR_Net_2[[Rate type]:[Rate type]]=OP_Rates!$C147),0),MATCH(OP_Rates!I$65,Calc_TUR_Net_2[[#Headers],[Ausnet]:[United Energy]],0)),8),
ROUND(INDEX(Calc_TUR_NetCL_2[[Ausnet]:[United Energy]],MATCH(OP_Rates!$E147,Calc_TUR_Net_2[[Customer type]:[Customer type]],0),MATCH(OP_Rates!I$65,Calc_TUR_Net_2[[#Headers],[Ausnet]:[United Energy]],0)),8)),
IF($F147="Environmental",
ROUND(SUMIFS(Calc_TUR_ENV_2[Jemena],Calc_TUR_ENV_2[[Customer type]:[Customer type]],OP_Rates!$E147,Calc_TUR_ENV_2[[Rate type]:[Rate type]],OP_Rates!$C147),8))),0,1))</f>
        <v>0</v>
      </c>
      <c r="J147" s="224" cm="1">
        <f t="array" ref="J147">IF(J112="-","-",
IF(ROUND(J112,8)=
IF($F147="Network",
IF($C147&lt;&gt;"Controlled load",
ROUND(INDEX(Calc_TUR_Net_2[[Ausnet]:[United Energy]],MATCH(1,(Calc_TUR_Net_2[[Customer type]:[Customer type]]=OP_Rates!$E147)*(Calc_TUR_Net_2[[Rate type]:[Rate type]]=OP_Rates!$C147),0),MATCH(OP_Rates!J$65,Calc_TUR_Net_2[[#Headers],[Ausnet]:[United Energy]],0)),8),
ROUND(INDEX(Calc_TUR_NetCL_2[[Ausnet]:[United Energy]],MATCH(OP_Rates!$E147,Calc_TUR_Net_2[[Customer type]:[Customer type]],0),MATCH(OP_Rates!J$65,Calc_TUR_Net_2[[#Headers],[Ausnet]:[United Energy]],0)),8)),
IF($F147="Environmental",
ROUND(SUMIFS(Calc_TUR_ENV_2[Powercor],Calc_TUR_ENV_2[[Customer type]:[Customer type]],OP_Rates!$E147,Calc_TUR_ENV_2[[Rate type]:[Rate type]],OP_Rates!$C147),8))),0,1))</f>
        <v>0</v>
      </c>
      <c r="K147" s="224" cm="1">
        <f t="array" ref="K147">IF(K112="-","-",
IF(ROUND(K112,8)=
IF($F147="Network",
IF($C147&lt;&gt;"Controlled load",
ROUND(INDEX(Calc_TUR_Net_2[[Ausnet]:[United Energy]],MATCH(1,(Calc_TUR_Net_2[[Customer type]:[Customer type]]=OP_Rates!$E147)*(Calc_TUR_Net_2[[Rate type]:[Rate type]]=OP_Rates!$C147),0),MATCH(OP_Rates!K$65,Calc_TUR_Net_2[[#Headers],[Ausnet]:[United Energy]],0)),8),
ROUND(INDEX(Calc_TUR_NetCL_2[[Ausnet]:[United Energy]],MATCH(OP_Rates!$E147,Calc_TUR_Net_2[[Customer type]:[Customer type]],0),MATCH(OP_Rates!K$65,Calc_TUR_Net_2[[#Headers],[Ausnet]:[United Energy]],0)),8)),
IF($F147="Environmental",
ROUND(SUMIFS(Calc_TUR_ENV_2[United Energy],Calc_TUR_ENV_2[[Customer type]:[Customer type]],OP_Rates!$E147,Calc_TUR_ENV_2[[Rate type]:[Rate type]],OP_Rates!$C147),8))),0,1))</f>
        <v>0</v>
      </c>
      <c r="M147" s="42"/>
      <c r="N147" s="42"/>
      <c r="O147" s="42"/>
      <c r="P147" s="42"/>
      <c r="Q147" s="224"/>
      <c r="R147" s="224"/>
      <c r="S147" s="224"/>
      <c r="T147" s="224"/>
      <c r="U147" s="224"/>
    </row>
    <row r="148" spans="3:21" hidden="1" outlineLevel="1" x14ac:dyDescent="0.25"/>
    <row r="149" spans="3:21" collapsed="1" x14ac:dyDescent="0.25">
      <c r="G149" s="62"/>
    </row>
    <row r="150" spans="3:21" x14ac:dyDescent="0.25">
      <c r="G150" s="62"/>
    </row>
    <row r="151" spans="3:21" x14ac:dyDescent="0.25">
      <c r="G151" s="62"/>
    </row>
    <row r="167" spans="6:10" x14ac:dyDescent="0.25">
      <c r="F167" s="82"/>
      <c r="G167" s="82"/>
      <c r="H167" s="82"/>
      <c r="I167" s="82"/>
      <c r="J167" s="82"/>
    </row>
    <row r="168" spans="6:10" x14ac:dyDescent="0.25">
      <c r="F168" s="82"/>
      <c r="G168" s="82"/>
      <c r="H168" s="82"/>
      <c r="I168" s="82"/>
      <c r="J168" s="82"/>
    </row>
    <row r="169" spans="6:10" x14ac:dyDescent="0.25">
      <c r="F169" s="82"/>
      <c r="G169" s="82"/>
      <c r="H169" s="82"/>
      <c r="I169" s="82"/>
      <c r="J169" s="82"/>
    </row>
    <row r="170" spans="6:10" x14ac:dyDescent="0.25">
      <c r="F170" s="82"/>
      <c r="G170" s="82"/>
      <c r="H170" s="82"/>
      <c r="I170" s="82"/>
      <c r="J170" s="82"/>
    </row>
    <row r="171" spans="6:10" x14ac:dyDescent="0.25">
      <c r="F171" s="82"/>
      <c r="G171" s="82"/>
      <c r="H171" s="82"/>
      <c r="I171" s="82"/>
      <c r="J171" s="82"/>
    </row>
    <row r="172" spans="6:10" x14ac:dyDescent="0.25">
      <c r="F172" s="82"/>
      <c r="G172" s="82"/>
      <c r="H172" s="82"/>
      <c r="I172" s="82"/>
      <c r="J172" s="82"/>
    </row>
    <row r="173" spans="6:10" x14ac:dyDescent="0.25">
      <c r="F173" s="82"/>
      <c r="G173" s="82"/>
      <c r="H173" s="82"/>
      <c r="I173" s="82"/>
      <c r="J173" s="82"/>
    </row>
  </sheetData>
  <sheetProtection algorithmName="SHA-512" hashValue="bOGdZM0SoA8F9FiqTgKMfoInDLiQjBZ9sS1bzqOeEa06EMkUqmnIBXJp1XNVjf8KK2aR99Ig/4vzvQVfMd1iwA==" saltValue="HxsEGJZ9Dz51hgd/ChpY0g==" spinCount="100000" sheet="1" objects="1" scenarios="1"/>
  <mergeCells count="1">
    <mergeCell ref="A2:A3"/>
  </mergeCells>
  <pageMargins left="0.7" right="0.7" top="0.75" bottom="0.75" header="0.3" footer="0.3"/>
  <pageSetup paperSize="9" orientation="portrait" r:id="rId1"/>
  <headerFooter>
    <oddHeader>&amp;C&amp;B&amp;"Arial"&amp;12&amp;Kff0000​‌OFFICIAL‌​</oddHeader>
  </headerFooter>
  <ignoredErrors>
    <ignoredError sqref="G20:K27" calculatedColumn="1"/>
  </ignoredErrors>
  <tableParts count="12">
    <tablePart r:id="rId2"/>
    <tablePart r:id="rId3"/>
    <tablePart r:id="rId4"/>
    <tablePart r:id="rId5"/>
    <tablePart r:id="rId6"/>
    <tablePart r:id="rId7"/>
    <tablePart r:id="rId8"/>
    <tablePart r:id="rId9"/>
    <tablePart r:id="rId10"/>
    <tablePart r:id="rId11"/>
    <tablePart r:id="rId12"/>
    <tablePart r:id="rId13"/>
  </tableParts>
  <extLst>
    <ext xmlns:x14="http://schemas.microsoft.com/office/spreadsheetml/2009/9/main" uri="{CCE6A557-97BC-4b89-ADB6-D9C93CAAB3DF}">
      <x14:dataValidations xmlns:xm="http://schemas.microsoft.com/office/excel/2006/main" count="2">
        <x14:dataValidation type="list" allowBlank="1" showInputMessage="1" showErrorMessage="1" xr:uid="{AE1D8D9F-4D5B-4AC8-9791-FC1C8C5CF940}">
          <x14:formula1>
            <xm:f>'Lookup refs'!$G$8:$G$10</xm:f>
          </x14:formula1>
          <xm:sqref>O55:O62 O9:O16 E128:E135 O128:O135 O20:O27 E20:E27 E93:E100 O93:O100 E82:E89 O82:O89 E9:E16 E55:E62 E44:E51 O44:O51 E117:E124 O117:O124 O104:O112 E104:E112 E139:E147 O139:O147 E31:E39 O31:O39 E66:E74 O66:O74</xm:sqref>
        </x14:dataValidation>
        <x14:dataValidation type="list" allowBlank="1" showInputMessage="1" showErrorMessage="1" xr:uid="{1A9A4095-A88F-441F-8070-8597F2CE1034}">
          <x14:formula1>
            <xm:f>'Lookup refs'!$E$8:$E$20</xm:f>
          </x14:formula1>
          <xm:sqref>D93:D100 D55:D62 N20:N27 N128:N135 D128:D135 D20:D27 N9:N16 N93:N100 D82:D89 N82:N89 D9:D16 N55:N62 D44:D51 N44:N51 D117:D124 N117:N124 N104:N112 D104:D112 D139:D147 N139:N147 D31:D39 N31:N39 D66:D74 N66:N74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1C5C-D042-428B-AB68-13F89BD3F2D5}">
  <sheetPr>
    <tabColor rgb="FFCE0058"/>
    <pageSetUpPr autoPageBreaks="0"/>
  </sheetPr>
  <dimension ref="A1:R43"/>
  <sheetViews>
    <sheetView showGridLines="0" topLeftCell="B1" zoomScale="90" zoomScaleNormal="90" workbookViewId="0">
      <pane ySplit="3" topLeftCell="A4" activePane="bottomLeft" state="frozen"/>
      <selection activeCell="B33" sqref="B33"/>
      <selection pane="bottomLeft" activeCell="I22" sqref="I22"/>
    </sheetView>
  </sheetViews>
  <sheetFormatPr defaultColWidth="9.42578125" defaultRowHeight="15" outlineLevelCol="1" x14ac:dyDescent="0.25"/>
  <cols>
    <col min="1" max="1" width="100.5703125" hidden="1" customWidth="1" outlineLevel="1"/>
    <col min="2" max="2" width="10.5703125" style="5" customWidth="1" collapsed="1"/>
    <col min="3" max="3" width="20.5703125" customWidth="1"/>
    <col min="4" max="4" width="27.5703125" customWidth="1"/>
    <col min="5" max="9" width="20.5703125" customWidth="1"/>
    <col min="10" max="10" width="5.5703125" customWidth="1"/>
    <col min="11" max="18" width="20.5703125" customWidth="1"/>
  </cols>
  <sheetData>
    <row r="1" spans="1:18" ht="15" customHeight="1" x14ac:dyDescent="0.25">
      <c r="A1" s="1" t="s">
        <v>32</v>
      </c>
      <c r="B1" s="16"/>
      <c r="C1" s="17"/>
      <c r="D1" s="17"/>
      <c r="E1" s="17"/>
      <c r="F1" s="17"/>
      <c r="G1" s="87" t="s">
        <v>52</v>
      </c>
      <c r="H1" s="70"/>
      <c r="I1" s="17"/>
      <c r="J1" s="17"/>
      <c r="K1" s="17"/>
      <c r="L1" s="17"/>
      <c r="M1" s="17"/>
      <c r="N1" s="17"/>
      <c r="O1" s="17"/>
      <c r="P1" s="17"/>
      <c r="Q1" s="17"/>
      <c r="R1" s="17"/>
    </row>
    <row r="2" spans="1:18" s="3" customFormat="1" ht="50.1" customHeight="1" x14ac:dyDescent="0.25">
      <c r="A2" s="234" t="s">
        <v>33</v>
      </c>
      <c r="B2" s="20"/>
      <c r="C2" s="20" t="str">
        <f>Disclaimer!$B$1</f>
        <v>VDO calculation model</v>
      </c>
      <c r="D2" s="20"/>
      <c r="E2" s="20"/>
      <c r="F2" s="20"/>
      <c r="G2" s="129" t="str">
        <f>Calc_Rates!$D$5</f>
        <v>VDO 2024-25 - Draft</v>
      </c>
      <c r="H2" s="129" t="str">
        <f>Calc_Rates!$D$266</f>
        <v>VDO 2023-24 - Final</v>
      </c>
      <c r="I2" s="20"/>
      <c r="J2" s="20"/>
      <c r="K2" s="20"/>
      <c r="L2" s="20"/>
      <c r="M2" s="20"/>
      <c r="N2" s="20"/>
      <c r="O2" s="20"/>
      <c r="P2" s="20"/>
      <c r="Q2" s="20"/>
      <c r="R2" s="20"/>
    </row>
    <row r="3" spans="1:18" s="3" customFormat="1" ht="30" customHeight="1" x14ac:dyDescent="0.25">
      <c r="A3" s="235"/>
      <c r="B3" s="22">
        <f ca="1">_xlfn.SHEET()</f>
        <v>15</v>
      </c>
      <c r="C3" s="21" t="s">
        <v>84</v>
      </c>
      <c r="D3" s="21"/>
      <c r="E3" s="21"/>
      <c r="F3" s="21"/>
      <c r="G3" s="69">
        <f>SUM(E15:I17)+SUM(M15:Q17)</f>
        <v>0</v>
      </c>
      <c r="H3" s="69">
        <f>SUM(E29:I31)+SUM(M29:Q31)</f>
        <v>0</v>
      </c>
      <c r="I3" s="21"/>
      <c r="J3" s="21"/>
      <c r="K3" s="21"/>
      <c r="L3" s="21"/>
      <c r="M3" s="21"/>
      <c r="N3" s="21"/>
      <c r="O3" s="21"/>
      <c r="P3" s="21"/>
      <c r="Q3" s="21"/>
      <c r="R3" s="21"/>
    </row>
    <row r="4" spans="1:18" x14ac:dyDescent="0.25">
      <c r="B4"/>
    </row>
    <row r="5" spans="1:18" ht="16.5" thickBot="1" x14ac:dyDescent="0.3">
      <c r="A5" s="1" t="s">
        <v>35</v>
      </c>
      <c r="B5" s="161">
        <f ca="1">MAX(B$3:B4)+0.01</f>
        <v>15.01</v>
      </c>
      <c r="C5" s="23" t="str">
        <f>"CMAB amounts - "&amp;Calc_Rates!$D$5</f>
        <v>CMAB amounts - VDO 2024-25 - Draft</v>
      </c>
      <c r="D5" s="23"/>
      <c r="E5" s="23"/>
      <c r="F5" s="23"/>
      <c r="G5" s="23"/>
      <c r="H5" s="23"/>
      <c r="I5" s="23"/>
      <c r="J5" s="23"/>
      <c r="K5" s="23"/>
      <c r="L5" s="23"/>
      <c r="M5" s="23"/>
      <c r="N5" s="23"/>
      <c r="O5" s="23"/>
      <c r="P5" s="23"/>
      <c r="Q5" s="23"/>
      <c r="R5" s="23"/>
    </row>
    <row r="7" spans="1:18" ht="15.75" x14ac:dyDescent="0.25">
      <c r="C7" s="39" t="s">
        <v>47</v>
      </c>
      <c r="D7" s="30" t="str">
        <f>Calc_Rates!$D$5</f>
        <v>VDO 2024-25 - Draft</v>
      </c>
    </row>
    <row r="9" spans="1:18" ht="15.75" x14ac:dyDescent="0.25">
      <c r="C9" s="24" t="s">
        <v>66</v>
      </c>
      <c r="K9" s="24" t="s">
        <v>67</v>
      </c>
    </row>
    <row r="10" spans="1:18" ht="15.75" x14ac:dyDescent="0.25">
      <c r="C10" s="32" t="s">
        <v>57</v>
      </c>
      <c r="D10" s="32" t="s">
        <v>85</v>
      </c>
      <c r="E10" s="43" t="s">
        <v>59</v>
      </c>
      <c r="F10" s="43" t="s">
        <v>60</v>
      </c>
      <c r="G10" s="43" t="s">
        <v>61</v>
      </c>
      <c r="H10" s="43" t="s">
        <v>62</v>
      </c>
      <c r="I10" s="43" t="s">
        <v>63</v>
      </c>
      <c r="K10" s="32" t="s">
        <v>57</v>
      </c>
      <c r="L10" s="32" t="s">
        <v>85</v>
      </c>
      <c r="M10" s="43" t="s">
        <v>59</v>
      </c>
      <c r="N10" s="43" t="s">
        <v>60</v>
      </c>
      <c r="O10" s="43" t="s">
        <v>61</v>
      </c>
      <c r="P10" s="43" t="s">
        <v>62</v>
      </c>
      <c r="Q10" s="43" t="s">
        <v>63</v>
      </c>
    </row>
    <row r="11" spans="1:18" hidden="1" x14ac:dyDescent="0.25">
      <c r="C11" s="18" t="s">
        <v>66</v>
      </c>
      <c r="D11" s="18" t="s">
        <v>86</v>
      </c>
      <c r="E11" s="132">
        <f>IFERROR(
ROUNDUP(
(INDEX(OP_TotalRates_RES_1[[Ausnet]:[United Energy]],MATCH("TOU - supply",OP_TotalRates_RES_1[[Rate name]:[Rate name]],0),MATCH(E$10,OP_TotalRates_RES_1[[#Headers],[Ausnet]:[United Energy]],0))*_xlfn.SINGLE(DiY))+
(INDEX(OP_TotalRates_RES_1[[Ausnet]:[United Energy]],MATCH("Peak",OP_TotalRates_RES_1[[Rate name]:[Rate name]],0),MATCH(E$10,OP_TotalRates_RES_1[[#Headers],[Ausnet]:[United Energy]],0))*
INDEX(Input_Usage[],MATCH($D11&amp;" - Peak",Input_Usage[[Ref]:[Ref]],0),MATCH($D$7,Inputs!$C$147:$BA$147,0)))+
IFERROR((INDEX(OP_TotalRates_RES_1[[Ausnet]:[United Energy]],MATCH("TOU - Shoulder",OP_TotalRates_RES_1[[Rate name]:[Rate name]],0),MATCH(E$10,OP_TotalRates_RES_1[[#Headers],[Ausnet]:[United Energy]],0))*
INDEX(Input_Usage[],MATCH($D11&amp;" - Shoulder",Input_Usage[[Ref]:[Ref]],0),MATCH($D$7,Inputs!$C$147:$BA$147,0))),0)+
(INDEX(OP_TotalRates_RES_1[[Ausnet]:[United Energy]],MATCH("Off peak",OP_TotalRates_RES_1[[Rate name]:[Rate name]],0),MATCH(E$10,OP_TotalRates_RES_1[[#Headers],[Ausnet]:[United Energy]],0))*
INDEX(Input_Usage[],MATCH($D11&amp;" - Off peak",Input_Usage[[Ref]:[Ref]],0),MATCH($D$7,Inputs!$C$147:$BA$147,0))),0),"-")</f>
        <v>1148</v>
      </c>
      <c r="F11" s="132">
        <f>IFERROR(
IF($D$7="VDO 2021 - Final",
ROUNDUP(
(INDEX(OP_TotalRates_RES_1[[Ausnet]:[United Energy]],MATCH("Anytime - supply",OP_TotalRates_RES_1[[Rate name]:[Rate name]],0),MATCH(F$10,OP_TotalRates_RES_1[[#Headers],[Ausnet]:[United Energy]],0))*_xlfn.SINGLE(DiY))+
(IFERROR((INDEX(OP_TotalRates_RES_1[[Ausnet]:[United Energy]],MATCH("Block 1",OP_TotalRates_RES_1[[Rate name]:[Rate name]],0),MATCH(F$10,OP_TotalRates_RES_1[[#Headers],[Ausnet]:[United Energy]],0))*
INDEX(Input_Usage[],MATCH($D11&amp;" - Block 1",Input_Usage[[Ref]:[Ref]],0),MATCH($D$7,Inputs!$C$147:$BA$147,0))),0)+
IFERROR((INDEX(OP_TotalRates_RES_1[[Ausnet]:[United Energy]],MATCH("Balance",OP_TotalRates_RES_1[[Rate name]:[Rate name]],0),MATCH(F$10,OP_TotalRates_RES_1[[#Headers],[Ausnet]:[United Energy]],0))*
INDEX(Input_Usage[],MATCH($D11&amp;" - Balance",Input_Usage[[Ref]:[Ref]],0),MATCH($D$7,Inputs!$C$147:$BA$147,0))),0)+
IFERROR((INDEX(OP_TotalRates_RES_1[[Ausnet]:[United Energy]],MATCH("Single rate",OP_TotalRates_RES_1[[Rate name]:[Rate name]],0),MATCH(F$10,OP_TotalRates_RES_1[[#Headers],[Ausnet]:[United Energy]],0))*
INDEX(Input_Usage[],MATCH($D11&amp;" - Annual",Input_Usage[[Ref]:[Ref]],0),MATCH($D$7,Inputs!$C$147:$BA$147,0))),0)),0),
ROUNDUP(
(INDEX(OP_TotalRates_RES_1[[Ausnet]:[United Energy]],MATCH("TOU - supply",OP_TotalRates_RES_1[[Rate name]:[Rate name]],0),MATCH(F$10,OP_TotalRates_RES_1[[#Headers],[Ausnet]:[United Energy]],0))*_xlfn.SINGLE(DiY))+
(INDEX(OP_TotalRates_RES_1[[Ausnet]:[United Energy]],MATCH("Peak",OP_TotalRates_RES_1[[Rate name]:[Rate name]],0),MATCH(F$10,OP_TotalRates_RES_1[[#Headers],[Ausnet]:[United Energy]],0))*
INDEX(Input_Usage[],MATCH($D11&amp;" - Peak",Input_Usage[[Ref]:[Ref]],0),MATCH($D$7,Inputs!$C$147:$BA$147,0)))+
IFERROR((INDEX(OP_TotalRates_RES_1[[Ausnet]:[United Energy]],MATCH("TOU - Shoulder",OP_TotalRates_RES_1[[Rate name]:[Rate name]],0),MATCH(F$10,OP_TotalRates_RES_1[[#Headers],[Ausnet]:[United Energy]],0))*
INDEX(Input_Usage[],MATCH($D11&amp;" - Shoulder",Input_Usage[[Ref]:[Ref]],0),MATCH($D$7,Inputs!$C$147:$BA$147,0))),0)+
(INDEX(OP_TotalRates_RES_1[[Ausnet]:[United Energy]],MATCH("Off peak",OP_TotalRates_RES_1[[Rate name]:[Rate name]],0),MATCH(F$10,OP_TotalRates_RES_1[[#Headers],[Ausnet]:[United Energy]],0))*
INDEX(Input_Usage[],MATCH($D11&amp;" - Off peak",Input_Usage[[Ref]:[Ref]],0),MATCH($D$7,Inputs!$C$147:$BA$147,0))),0)),"-")</f>
        <v>950</v>
      </c>
      <c r="G11" s="132">
        <f>IFERROR(
IF($D$7="VDO 2021 - Final",
ROUNDUP(
(INDEX(OP_TotalRates_RES_1[[Ausnet]:[United Energy]],MATCH("Anytime - supply",OP_TotalRates_RES_1[[Rate name]:[Rate name]],0),MATCH(G$10,OP_TotalRates_RES_1[[#Headers],[Ausnet]:[United Energy]],0))*_xlfn.SINGLE(DiY))+
(IFERROR((INDEX(OP_TotalRates_RES_1[[Ausnet]:[United Energy]],MATCH("Block 1",OP_TotalRates_RES_1[[Rate name]:[Rate name]],0),MATCH(G$10,OP_TotalRates_RES_1[[#Headers],[Ausnet]:[United Energy]],0))*
INDEX(Input_Usage[],MATCH($D11&amp;" - Block 1",Input_Usage[[Ref]:[Ref]],0),MATCH($D$7,Inputs!$C$147:$BA$147,0))),0)+
IFERROR((INDEX(OP_TotalRates_RES_1[[Ausnet]:[United Energy]],MATCH("Balance",OP_TotalRates_RES_1[[Rate name]:[Rate name]],0),MATCH(G$10,OP_TotalRates_RES_1[[#Headers],[Ausnet]:[United Energy]],0))*
INDEX(Input_Usage[],MATCH($D11&amp;" - Balance",Input_Usage[[Ref]:[Ref]],0),MATCH($D$7,Inputs!$C$147:$BA$147,0))),0)+
IFERROR((INDEX(OP_TotalRates_RES_1[[Ausnet]:[United Energy]],MATCH("Single rate",OP_TotalRates_RES_1[[Rate name]:[Rate name]],0),MATCH(G$10,OP_TotalRates_RES_1[[#Headers],[Ausnet]:[United Energy]],0))*
INDEX(Input_Usage[],MATCH($D11&amp;" - Annual",Input_Usage[[Ref]:[Ref]],0),MATCH($D$7,Inputs!$C$147:$BA$147,0))),0)),0),
ROUNDUP(
(INDEX(OP_TotalRates_RES_1[[Ausnet]:[United Energy]],MATCH("TOU - supply",OP_TotalRates_RES_1[[Rate name]:[Rate name]],0),MATCH(G$10,OP_TotalRates_RES_1[[#Headers],[Ausnet]:[United Energy]],0))*_xlfn.SINGLE(DiY))+
(INDEX(OP_TotalRates_RES_1[[Ausnet]:[United Energy]],MATCH("Peak",OP_TotalRates_RES_1[[Rate name]:[Rate name]],0),MATCH(G$10,OP_TotalRates_RES_1[[#Headers],[Ausnet]:[United Energy]],0))*
INDEX(Input_Usage[],MATCH($D11&amp;" - Peak",Input_Usage[[Ref]:[Ref]],0),MATCH($D$7,Inputs!$C$147:$BA$147,0)))+
IFERROR((INDEX(OP_TotalRates_RES_1[[Ausnet]:[United Energy]],MATCH("TOU - Shoulder",OP_TotalRates_RES_1[[Rate name]:[Rate name]],0),MATCH(G$10,OP_TotalRates_RES_1[[#Headers],[Ausnet]:[United Energy]],0))*
INDEX(Input_Usage[],MATCH($D11&amp;" - Shoulder",Input_Usage[[Ref]:[Ref]],0),MATCH($D$7,Inputs!$C$147:$BA$147,0))),0)+
(INDEX(OP_TotalRates_RES_1[[Ausnet]:[United Energy]],MATCH("Off peak",OP_TotalRates_RES_1[[Rate name]:[Rate name]],0),MATCH(G$10,OP_TotalRates_RES_1[[#Headers],[Ausnet]:[United Energy]],0))*
INDEX(Input_Usage[],MATCH($D11&amp;" - Off peak",Input_Usage[[Ref]:[Ref]],0),MATCH($D$7,Inputs!$C$147:$BA$147,0))),0)),"-")</f>
        <v>1017</v>
      </c>
      <c r="H11" s="132">
        <f>IFERROR(
IF($D$7="VDO 2021 - Final",
ROUNDUP(
(INDEX(OP_TotalRates_RES_1[[Ausnet]:[United Energy]],MATCH("Anytime - supply",OP_TotalRates_RES_1[[Rate name]:[Rate name]],0),MATCH(H$10,OP_TotalRates_RES_1[[#Headers],[Ausnet]:[United Energy]],0))*_xlfn.SINGLE(DiY))+
(IFERROR((INDEX(OP_TotalRates_RES_1[[Ausnet]:[United Energy]],MATCH("Block 1",OP_TotalRates_RES_1[[Rate name]:[Rate name]],0),MATCH(H$10,OP_TotalRates_RES_1[[#Headers],[Ausnet]:[United Energy]],0))*
INDEX(Input_Usage[],MATCH($D11&amp;" - Block 1",Input_Usage[[Ref]:[Ref]],0),MATCH($D$7,Inputs!$C$147:$BA$147,0))),0)+
IFERROR((INDEX(OP_TotalRates_RES_1[[Ausnet]:[United Energy]],MATCH("Balance",OP_TotalRates_RES_1[[Rate name]:[Rate name]],0),MATCH(H$10,OP_TotalRates_RES_1[[#Headers],[Ausnet]:[United Energy]],0))*
INDEX(Input_Usage[],MATCH($D11&amp;" - Balance",Input_Usage[[Ref]:[Ref]],0),MATCH($D$7,Inputs!$C$147:$BA$147,0))),0)+
IFERROR((INDEX(OP_TotalRates_RES_1[[Ausnet]:[United Energy]],MATCH("Single rate",OP_TotalRates_RES_1[[Rate name]:[Rate name]],0),MATCH(H$10,OP_TotalRates_RES_1[[#Headers],[Ausnet]:[United Energy]],0))*
INDEX(Input_Usage[],MATCH($D11&amp;" - Annual",Input_Usage[[Ref]:[Ref]],0),MATCH($D$7,Inputs!$C$147:$BA$147,0))),0)),0),
ROUNDUP(
(INDEX(OP_TotalRates_RES_1[[Ausnet]:[United Energy]],MATCH("TOU - supply",OP_TotalRates_RES_1[[Rate name]:[Rate name]],0),MATCH(H$10,OP_TotalRates_RES_1[[#Headers],[Ausnet]:[United Energy]],0))*_xlfn.SINGLE(DiY))+
(INDEX(OP_TotalRates_RES_1[[Ausnet]:[United Energy]],MATCH("Peak",OP_TotalRates_RES_1[[Rate name]:[Rate name]],0),MATCH(H$10,OP_TotalRates_RES_1[[#Headers],[Ausnet]:[United Energy]],0))*
INDEX(Input_Usage[],MATCH($D11&amp;" - Peak",Input_Usage[[Ref]:[Ref]],0),MATCH($D$7,Inputs!$C$147:$BA$147,0)))+
IFERROR((INDEX(OP_TotalRates_RES_1[[Ausnet]:[United Energy]],MATCH("TOU - Shoulder",OP_TotalRates_RES_1[[Rate name]:[Rate name]],0),MATCH(H$10,OP_TotalRates_RES_1[[#Headers],[Ausnet]:[United Energy]],0))*
INDEX(Input_Usage[],MATCH($D11&amp;" - Shoulder",Input_Usage[[Ref]:[Ref]],0),MATCH($D$7,Inputs!$C$147:$BA$147,0))),0)+
(INDEX(OP_TotalRates_RES_1[[Ausnet]:[United Energy]],MATCH("Off peak",OP_TotalRates_RES_1[[Rate name]:[Rate name]],0),MATCH(H$10,OP_TotalRates_RES_1[[#Headers],[Ausnet]:[United Energy]],0))*
INDEX(Input_Usage[],MATCH($D11&amp;" - Off peak",Input_Usage[[Ref]:[Ref]],0),MATCH($D$7,Inputs!$C$147:$BA$147,0))),0)),"-")</f>
        <v>1079</v>
      </c>
      <c r="I11" s="132">
        <f>IFERROR(
IF($D$7="VDO 2021 - Final",
ROUNDUP(
(INDEX(OP_TotalRates_RES_1[[Ausnet]:[United Energy]],MATCH("Anytime - supply",OP_TotalRates_RES_1[[Rate name]:[Rate name]],0),MATCH(I$10,OP_TotalRates_RES_1[[#Headers],[Ausnet]:[United Energy]],0))*_xlfn.SINGLE(DiY))+
(IFERROR((INDEX(OP_TotalRates_RES_1[[Ausnet]:[United Energy]],MATCH("Block 1",OP_TotalRates_RES_1[[Rate name]:[Rate name]],0),MATCH(I$10,OP_TotalRates_RES_1[[#Headers],[Ausnet]:[United Energy]],0))*
INDEX(Input_Usage[],MATCH($D11&amp;" - Block 1",Input_Usage[[Ref]:[Ref]],0),MATCH($D$7,Inputs!$C$147:$BA$147,0))),0)+
IFERROR((INDEX(OP_TotalRates_RES_1[[Ausnet]:[United Energy]],MATCH("Balance",OP_TotalRates_RES_1[[Rate name]:[Rate name]],0),MATCH(I$10,OP_TotalRates_RES_1[[#Headers],[Ausnet]:[United Energy]],0))*
INDEX(Input_Usage[],MATCH($D11&amp;" - Balance",Input_Usage[[Ref]:[Ref]],0),MATCH($D$7,Inputs!$C$147:$BA$147,0))),0)+
IFERROR((INDEX(OP_TotalRates_RES_1[[Ausnet]:[United Energy]],MATCH("Single rate",OP_TotalRates_RES_1[[Rate name]:[Rate name]],0),MATCH(I$10,OP_TotalRates_RES_1[[#Headers],[Ausnet]:[United Energy]],0))*
INDEX(Input_Usage[],MATCH($D11&amp;" - Annual",Input_Usage[[Ref]:[Ref]],0),MATCH($D$7,Inputs!$C$147:$BA$147,0))),0)),0),
ROUNDUP(
(INDEX(OP_TotalRates_RES_1[[Ausnet]:[United Energy]],MATCH("TOU - supply",OP_TotalRates_RES_1[[Rate name]:[Rate name]],0),MATCH(I$10,OP_TotalRates_RES_1[[#Headers],[Ausnet]:[United Energy]],0))*_xlfn.SINGLE(DiY))+
(INDEX(OP_TotalRates_RES_1[[Ausnet]:[United Energy]],MATCH("Peak",OP_TotalRates_RES_1[[Rate name]:[Rate name]],0),MATCH(I$10,OP_TotalRates_RES_1[[#Headers],[Ausnet]:[United Energy]],0))*
INDEX(Input_Usage[],MATCH($D11&amp;" - Peak",Input_Usage[[Ref]:[Ref]],0),MATCH($D$7,Inputs!$C$147:$BA$147,0)))+
IFERROR((INDEX(OP_TotalRates_RES_1[[Ausnet]:[United Energy]],MATCH("TOU - Shoulder",OP_TotalRates_RES_1[[Rate name]:[Rate name]],0),MATCH(I$10,OP_TotalRates_RES_1[[#Headers],[Ausnet]:[United Energy]],0))*
INDEX(Input_Usage[],MATCH($D11&amp;" - Shoulder",Input_Usage[[Ref]:[Ref]],0),MATCH($D$7,Inputs!$C$147:$BA$147,0))),0)+
(INDEX(OP_TotalRates_RES_1[[Ausnet]:[United Energy]],MATCH("Off peak",OP_TotalRates_RES_1[[Rate name]:[Rate name]],0),MATCH(I$10,OP_TotalRates_RES_1[[#Headers],[Ausnet]:[United Energy]],0))*
INDEX(Input_Usage[],MATCH($D11&amp;" - Off peak",Input_Usage[[Ref]:[Ref]],0),MATCH($D$7,Inputs!$C$147:$BA$147,0))),0)),"-")</f>
        <v>968</v>
      </c>
      <c r="K11" s="18" t="s">
        <v>67</v>
      </c>
      <c r="L11" s="18" t="s">
        <v>87</v>
      </c>
      <c r="M11" s="132">
        <f>IFERROR(
IF($D$7="VDO 2021 - Final",
ROUNDUP(
(INDEX(OP_TotalRates_SME_1[[Ausnet]:[United Energy]],MATCH("Anytime - supply",OP_TotalRates_SME_1[[Rate name]:[Rate name]],0),MATCH(M$10,OP_TotalRates_SME_1[[#Headers],[Ausnet]:[United Energy]],0))*_xlfn.SINGLE(DiY))+
(IFERROR((INDEX(OP_TotalRates_SME_1[[Ausnet]:[United Energy]],MATCH("Block 1",OP_TotalRates_SME_1[[Rate name]:[Rate name]],0),MATCH(M$10,OP_TotalRates_SME_1[[#Headers],[Ausnet]:[United Energy]],0))*
INDEX(Input_Usage[],MATCH($L11&amp;" - Block 1",Input_Usage[[Ref]:[Ref]],0),MATCH($D$7,Inputs!$C$147:$BA$147,0))),0)+
IFERROR((INDEX(OP_TotalRates_SME_1[[Ausnet]:[United Energy]],MATCH("Balance",OP_TotalRates_SME_1[[Rate name]:[Rate name]],0),MATCH(M$10,OP_TotalRates_SME_1[[#Headers],[Ausnet]:[United Energy]],0))*
INDEX(Input_Usage[],MATCH($L11&amp;" - Balance",Input_Usage[[Ref]:[Ref]],0),MATCH($D$7,Inputs!$C$147:$BA$147,0))),0)+
IFERROR((INDEX(OP_TotalRates_SME_1[[Ausnet]:[United Energy]],MATCH("Single rate",OP_TotalRates_SME_1[[Rate name]:[Rate name]],0),MATCH(M$10,OP_TotalRates_SME_1[[#Headers],[Ausnet]:[United Energy]],0))*
INDEX(Input_Usage[],MATCH($L11&amp;" - Annual",Input_Usage[[Ref]:[Ref]],0),MATCH($D$7,Inputs!$C$147:$BA$147,0))),0)),0),
ROUNDUP(
(INDEX(OP_TotalRates_SME_1[[Ausnet]:[United Energy]],MATCH("TOU - supply",OP_TotalRates_SME_1[[Rate name]:[Rate name]],0),MATCH(M$10,OP_TotalRates_SME_1[[#Headers],[Ausnet]:[United Energy]],0))*_xlfn.SINGLE(DiY))+
(INDEX(OP_TotalRates_SME_1[[Ausnet]:[United Energy]],MATCH("Peak",OP_TotalRates_SME_1[[Rate name]:[Rate name]],0),MATCH(M$10,OP_TotalRates_SME_1[[#Headers],[Ausnet]:[United Energy]],0))*
INDEX(Input_Usage[],MATCH($L11&amp;" - Peak",Input_Usage[[Ref]:[Ref]],0),MATCH($D$7,Inputs!$C$147:$BA$147,0)))+
IFERROR((INDEX(OP_TotalRates_SME_1[[Ausnet]:[United Energy]],MATCH("TOU - Shoulder",OP_TotalRates_SME_1[[Rate name]:[Rate name]],0),MATCH(M$10,OP_TotalRates_SME_1[[#Headers],[Ausnet]:[United Energy]],0))*
INDEX(Input_Usage[],MATCH($L11&amp;" - Shoulder",Input_Usage[[Ref]:[Ref]],0),MATCH($D$7,Inputs!$C$147:$BA$147,0))),0)+
(INDEX(OP_TotalRates_SME_1[[Ausnet]:[United Energy]],MATCH("Off peak",OP_TotalRates_SME_1[[Rate name]:[Rate name]],0),MATCH(M$10,OP_TotalRates_SME_1[[#Headers],[Ausnet]:[United Energy]],0))*
INDEX(Input_Usage[],MATCH($L11&amp;" - Off peak",Input_Usage[[Ref]:[Ref]],0),MATCH($D$7,Inputs!$C$147:$BA$147,0))),0)),"-")</f>
        <v>3556</v>
      </c>
      <c r="N11" s="132">
        <f>IFERROR(
IF($D$7="VDO 2021 - Final",
ROUNDUP(
(INDEX(OP_TotalRates_SME_1[[Ausnet]:[United Energy]],MATCH("Anytime - supply",OP_TotalRates_SME_1[[Rate name]:[Rate name]],0),MATCH(N$10,OP_TotalRates_SME_1[[#Headers],[Ausnet]:[United Energy]],0))*_xlfn.SINGLE(DiY))+
(IFERROR((INDEX(OP_TotalRates_SME_1[[Ausnet]:[United Energy]],MATCH("Block 1",OP_TotalRates_SME_1[[Rate name]:[Rate name]],0),MATCH(N$10,OP_TotalRates_SME_1[[#Headers],[Ausnet]:[United Energy]],0))*
INDEX(Input_Usage[],MATCH($L11&amp;" - Block 1",Input_Usage[[Ref]:[Ref]],0),MATCH($D$7,Inputs!$C$147:$BA$147,0))),0)+
IFERROR((INDEX(OP_TotalRates_SME_1[[Ausnet]:[United Energy]],MATCH("Balance",OP_TotalRates_SME_1[[Rate name]:[Rate name]],0),MATCH(N$10,OP_TotalRates_SME_1[[#Headers],[Ausnet]:[United Energy]],0))*
INDEX(Input_Usage[],MATCH($L11&amp;" - Balance",Input_Usage[[Ref]:[Ref]],0),MATCH($D$7,Inputs!$C$147:$BA$147,0))),0)+
IFERROR((INDEX(OP_TotalRates_SME_1[[Ausnet]:[United Energy]],MATCH("Single rate",OP_TotalRates_SME_1[[Rate name]:[Rate name]],0),MATCH(N$10,OP_TotalRates_SME_1[[#Headers],[Ausnet]:[United Energy]],0))*
INDEX(Input_Usage[],MATCH($L11&amp;" - Annual",Input_Usage[[Ref]:[Ref]],0),MATCH($D$7,Inputs!$C$147:$BA$147,0))),0)),0),
ROUNDUP(
(INDEX(OP_TotalRates_SME_1[[Ausnet]:[United Energy]],MATCH("TOU - supply",OP_TotalRates_SME_1[[Rate name]:[Rate name]],0),MATCH(N$10,OP_TotalRates_SME_1[[#Headers],[Ausnet]:[United Energy]],0))*_xlfn.SINGLE(DiY))+
(INDEX(OP_TotalRates_SME_1[[Ausnet]:[United Energy]],MATCH("Peak",OP_TotalRates_SME_1[[Rate name]:[Rate name]],0),MATCH(N$10,OP_TotalRates_SME_1[[#Headers],[Ausnet]:[United Energy]],0))*
INDEX(Input_Usage[],MATCH($L11&amp;" - Peak",Input_Usage[[Ref]:[Ref]],0),MATCH($D$7,Inputs!$C$147:$BA$147,0)))+
IFERROR((INDEX(OP_TotalRates_SME_1[[Ausnet]:[United Energy]],MATCH("TOU - Shoulder",OP_TotalRates_SME_1[[Rate name]:[Rate name]],0),MATCH(N$10,OP_TotalRates_SME_1[[#Headers],[Ausnet]:[United Energy]],0))*
INDEX(Input_Usage[],MATCH($L11&amp;" - Shoulder",Input_Usage[[Ref]:[Ref]],0),MATCH($D$7,Inputs!$C$147:$BA$147,0))),0)+
(INDEX(OP_TotalRates_SME_1[[Ausnet]:[United Energy]],MATCH("Off peak",OP_TotalRates_SME_1[[Rate name]:[Rate name]],0),MATCH(N$10,OP_TotalRates_SME_1[[#Headers],[Ausnet]:[United Energy]],0))*
INDEX(Input_Usage[],MATCH($L11&amp;" - Off peak",Input_Usage[[Ref]:[Ref]],0),MATCH($D$7,Inputs!$C$147:$BA$147,0))),0)),"-")</f>
        <v>3020</v>
      </c>
      <c r="O11" s="132">
        <f>IFERROR(
IF($D$7="VDO 2021 - Final",
ROUNDUP(
(INDEX(OP_TotalRates_SME_1[[Ausnet]:[United Energy]],MATCH("Anytime - supply",OP_TotalRates_SME_1[[Rate name]:[Rate name]],0),MATCH(O$10,OP_TotalRates_SME_1[[#Headers],[Ausnet]:[United Energy]],0))*_xlfn.SINGLE(DiY))+
(IFERROR((INDEX(OP_TotalRates_SME_1[[Ausnet]:[United Energy]],MATCH("Block 1",OP_TotalRates_SME_1[[Rate name]:[Rate name]],0),MATCH(O$10,OP_TotalRates_SME_1[[#Headers],[Ausnet]:[United Energy]],0))*
INDEX(Input_Usage[],MATCH($L11&amp;" - Block 1",Input_Usage[[Ref]:[Ref]],0),MATCH($D$7,Inputs!$C$147:$BA$147,0))),0)+
IFERROR((INDEX(OP_TotalRates_SME_1[[Ausnet]:[United Energy]],MATCH("Balance",OP_TotalRates_SME_1[[Rate name]:[Rate name]],0),MATCH(O$10,OP_TotalRates_SME_1[[#Headers],[Ausnet]:[United Energy]],0))*
INDEX(Input_Usage[],MATCH($L11&amp;" - Balance",Input_Usage[[Ref]:[Ref]],0),MATCH($D$7,Inputs!$C$147:$BA$147,0))),0)+
IFERROR((INDEX(OP_TotalRates_SME_1[[Ausnet]:[United Energy]],MATCH("Single rate",OP_TotalRates_SME_1[[Rate name]:[Rate name]],0),MATCH(O$10,OP_TotalRates_SME_1[[#Headers],[Ausnet]:[United Energy]],0))*
INDEX(Input_Usage[],MATCH($L11&amp;" - Annual",Input_Usage[[Ref]:[Ref]],0),MATCH($D$7,Inputs!$C$147:$BA$147,0))),0)),0),
ROUNDUP(
(INDEX(OP_TotalRates_SME_1[[Ausnet]:[United Energy]],MATCH("TOU - supply",OP_TotalRates_SME_1[[Rate name]:[Rate name]],0),MATCH(O$10,OP_TotalRates_SME_1[[#Headers],[Ausnet]:[United Energy]],0))*_xlfn.SINGLE(DiY))+
(INDEX(OP_TotalRates_SME_1[[Ausnet]:[United Energy]],MATCH("Peak",OP_TotalRates_SME_1[[Rate name]:[Rate name]],0),MATCH(O$10,OP_TotalRates_SME_1[[#Headers],[Ausnet]:[United Energy]],0))*
INDEX(Input_Usage[],MATCH($L11&amp;" - Peak",Input_Usage[[Ref]:[Ref]],0),MATCH($D$7,Inputs!$C$147:$BA$147,0)))+
IFERROR((INDEX(OP_TotalRates_SME_1[[Ausnet]:[United Energy]],MATCH("TOU - Shoulder",OP_TotalRates_SME_1[[Rate name]:[Rate name]],0),MATCH(O$10,OP_TotalRates_SME_1[[#Headers],[Ausnet]:[United Energy]],0))*
INDEX(Input_Usage[],MATCH($L11&amp;" - Shoulder",Input_Usage[[Ref]:[Ref]],0),MATCH($D$7,Inputs!$C$147:$BA$147,0))),0)+
(INDEX(OP_TotalRates_SME_1[[Ausnet]:[United Energy]],MATCH("Off peak",OP_TotalRates_SME_1[[Rate name]:[Rate name]],0),MATCH(O$10,OP_TotalRates_SME_1[[#Headers],[Ausnet]:[United Energy]],0))*
INDEX(Input_Usage[],MATCH($L11&amp;" - Off peak",Input_Usage[[Ref]:[Ref]],0),MATCH($D$7,Inputs!$C$147:$BA$147,0))),0)),"-")</f>
        <v>3424</v>
      </c>
      <c r="P11" s="132">
        <f>IFERROR(
IF($D$7="VDO 2021 - Final",
ROUNDUP(
(INDEX(OP_TotalRates_SME_1[[Ausnet]:[United Energy]],MATCH("Anytime - supply",OP_TotalRates_SME_1[[Rate name]:[Rate name]],0),MATCH(P$10,OP_TotalRates_SME_1[[#Headers],[Ausnet]:[United Energy]],0))*_xlfn.SINGLE(DiY))+
(IFERROR((INDEX(OP_TotalRates_SME_1[[Ausnet]:[United Energy]],MATCH("Block 1",OP_TotalRates_SME_1[[Rate name]:[Rate name]],0),MATCH(P$10,OP_TotalRates_SME_1[[#Headers],[Ausnet]:[United Energy]],0))*
INDEX(Input_Usage[],MATCH($L11&amp;" - Block 1",Input_Usage[[Ref]:[Ref]],0),MATCH($D$7,Inputs!$C$147:$BA$147,0))),0)+
IFERROR((INDEX(OP_TotalRates_SME_1[[Ausnet]:[United Energy]],MATCH("Balance",OP_TotalRates_SME_1[[Rate name]:[Rate name]],0),MATCH(P$10,OP_TotalRates_SME_1[[#Headers],[Ausnet]:[United Energy]],0))*
INDEX(Input_Usage[],MATCH($L11&amp;" - Balance",Input_Usage[[Ref]:[Ref]],0),MATCH($D$7,Inputs!$C$147:$BA$147,0))),0)+
IFERROR((INDEX(OP_TotalRates_SME_1[[Ausnet]:[United Energy]],MATCH("Single rate",OP_TotalRates_SME_1[[Rate name]:[Rate name]],0),MATCH(P$10,OP_TotalRates_SME_1[[#Headers],[Ausnet]:[United Energy]],0))*
INDEX(Input_Usage[],MATCH($L11&amp;" - Annual",Input_Usage[[Ref]:[Ref]],0),MATCH($D$7,Inputs!$C$147:$BA$147,0))),0)),0),
ROUNDUP(
(INDEX(OP_TotalRates_SME_1[[Ausnet]:[United Energy]],MATCH("TOU - supply",OP_TotalRates_SME_1[[Rate name]:[Rate name]],0),MATCH(P$10,OP_TotalRates_SME_1[[#Headers],[Ausnet]:[United Energy]],0))*_xlfn.SINGLE(DiY))+
(INDEX(OP_TotalRates_SME_1[[Ausnet]:[United Energy]],MATCH("Peak",OP_TotalRates_SME_1[[Rate name]:[Rate name]],0),MATCH(P$10,OP_TotalRates_SME_1[[#Headers],[Ausnet]:[United Energy]],0))*
INDEX(Input_Usage[],MATCH($L11&amp;" - Peak",Input_Usage[[Ref]:[Ref]],0),MATCH($D$7,Inputs!$C$147:$BA$147,0)))+
IFERROR((INDEX(OP_TotalRates_SME_1[[Ausnet]:[United Energy]],MATCH("TOU - Shoulder",OP_TotalRates_SME_1[[Rate name]:[Rate name]],0),MATCH(P$10,OP_TotalRates_SME_1[[#Headers],[Ausnet]:[United Energy]],0))*
INDEX(Input_Usage[],MATCH($L11&amp;" - Shoulder",Input_Usage[[Ref]:[Ref]],0),MATCH($D$7,Inputs!$C$147:$BA$147,0))),0)+
(INDEX(OP_TotalRates_SME_1[[Ausnet]:[United Energy]],MATCH("Off peak",OP_TotalRates_SME_1[[Rate name]:[Rate name]],0),MATCH(P$10,OP_TotalRates_SME_1[[#Headers],[Ausnet]:[United Energy]],0))*
INDEX(Input_Usage[],MATCH($L11&amp;" - Off peak",Input_Usage[[Ref]:[Ref]],0),MATCH($D$7,Inputs!$C$147:$BA$147,0))),0)),"-")</f>
        <v>3414</v>
      </c>
      <c r="Q11" s="132">
        <f>IFERROR(
IF($D$7="VDO 2021 - Final",
ROUNDUP(
(INDEX(OP_TotalRates_SME_1[[Ausnet]:[United Energy]],MATCH("Anytime - supply",OP_TotalRates_SME_1[[Rate name]:[Rate name]],0),MATCH(Q$10,OP_TotalRates_SME_1[[#Headers],[Ausnet]:[United Energy]],0))*_xlfn.SINGLE(DiY))+
(IFERROR((INDEX(OP_TotalRates_SME_1[[Ausnet]:[United Energy]],MATCH("Block 1",OP_TotalRates_SME_1[[Rate name]:[Rate name]],0),MATCH(Q$10,OP_TotalRates_SME_1[[#Headers],[Ausnet]:[United Energy]],0))*
INDEX(Input_Usage[],MATCH($L11&amp;" - Block 1",Input_Usage[[Ref]:[Ref]],0),MATCH($D$7,Inputs!$C$147:$BA$147,0))),0)+
IFERROR((INDEX(OP_TotalRates_SME_1[[Ausnet]:[United Energy]],MATCH("Balance",OP_TotalRates_SME_1[[Rate name]:[Rate name]],0),MATCH(Q$10,OP_TotalRates_SME_1[[#Headers],[Ausnet]:[United Energy]],0))*
INDEX(Input_Usage[],MATCH($L11&amp;" - Balance",Input_Usage[[Ref]:[Ref]],0),MATCH($D$7,Inputs!$C$147:$BA$147,0))),0)+
IFERROR((INDEX(OP_TotalRates_SME_1[[Ausnet]:[United Energy]],MATCH("Single rate",OP_TotalRates_SME_1[[Rate name]:[Rate name]],0),MATCH(Q$10,OP_TotalRates_SME_1[[#Headers],[Ausnet]:[United Energy]],0))*
INDEX(Input_Usage[],MATCH($L11&amp;" - Annual",Input_Usage[[Ref]:[Ref]],0),MATCH($D$7,Inputs!$C$147:$BA$147,0))),0)),0),
ROUNDUP(
(INDEX(OP_TotalRates_SME_1[[Ausnet]:[United Energy]],MATCH("TOU - supply",OP_TotalRates_SME_1[[Rate name]:[Rate name]],0),MATCH(Q$10,OP_TotalRates_SME_1[[#Headers],[Ausnet]:[United Energy]],0))*_xlfn.SINGLE(DiY))+
(INDEX(OP_TotalRates_SME_1[[Ausnet]:[United Energy]],MATCH("Peak",OP_TotalRates_SME_1[[Rate name]:[Rate name]],0),MATCH(Q$10,OP_TotalRates_SME_1[[#Headers],[Ausnet]:[United Energy]],0))*
INDEX(Input_Usage[],MATCH($L11&amp;" - Peak",Input_Usage[[Ref]:[Ref]],0),MATCH($D$7,Inputs!$C$147:$BA$147,0)))+
IFERROR((INDEX(OP_TotalRates_SME_1[[Ausnet]:[United Energy]],MATCH("TOU - Shoulder",OP_TotalRates_SME_1[[Rate name]:[Rate name]],0),MATCH(Q$10,OP_TotalRates_SME_1[[#Headers],[Ausnet]:[United Energy]],0))*
INDEX(Input_Usage[],MATCH($L11&amp;" - Shoulder",Input_Usage[[Ref]:[Ref]],0),MATCH($D$7,Inputs!$C$147:$BA$147,0))),0)+
(INDEX(OP_TotalRates_SME_1[[Ausnet]:[United Energy]],MATCH("Off peak",OP_TotalRates_SME_1[[Rate name]:[Rate name]],0),MATCH(Q$10,OP_TotalRates_SME_1[[#Headers],[Ausnet]:[United Energy]],0))*
INDEX(Input_Usage[],MATCH($L11&amp;" - Off peak",Input_Usage[[Ref]:[Ref]],0),MATCH($D$7,Inputs!$C$147:$BA$147,0))),0)),"-")</f>
        <v>3176</v>
      </c>
    </row>
    <row r="12" spans="1:18" x14ac:dyDescent="0.25">
      <c r="C12" s="18" t="s">
        <v>66</v>
      </c>
      <c r="D12" s="18" t="s">
        <v>88</v>
      </c>
      <c r="E12" s="132">
        <f>IFERROR(
IF($D$7="VDO 2021 - Final",
ROUNDUP(
(INDEX(OP_TotalRates_RES_1[[Ausnet]:[United Energy]],MATCH("Anytime - supply",OP_TotalRates_RES_1[[Rate name]:[Rate name]],0),MATCH(E$10,OP_TotalRates_RES_1[[#Headers],[Ausnet]:[United Energy]],0))*_xlfn.SINGLE(DiY))+
(IFERROR((INDEX(OP_TotalRates_RES_1[[Ausnet]:[United Energy]],MATCH("Block 1",OP_TotalRates_RES_1[[Rate name]:[Rate name]],0),MATCH(E$10,OP_TotalRates_RES_1[[#Headers],[Ausnet]:[United Energy]],0))*
INDEX(Input_Usage[],MATCH($D12&amp;" - Block 1",Input_Usage[[Ref]:[Ref]],0),MATCH($D$7,Inputs!$C$147:$BA$147,0))),0)+
IFERROR((INDEX(OP_TotalRates_RES_1[[Ausnet]:[United Energy]],MATCH("Balance",OP_TotalRates_RES_1[[Rate name]:[Rate name]],0),MATCH(E$10,OP_TotalRates_RES_1[[#Headers],[Ausnet]:[United Energy]],0))*
INDEX(Input_Usage[],MATCH($D12&amp;" - Balance",Input_Usage[[Ref]:[Ref]],0),MATCH($D$7,Inputs!$C$147:$BA$147,0))),0)+
IFERROR((INDEX(OP_TotalRates_RES_1[[Ausnet]:[United Energy]],MATCH("Single rate",OP_TotalRates_RES_1[[Rate name]:[Rate name]],0),MATCH(E$10,OP_TotalRates_RES_1[[#Headers],[Ausnet]:[United Energy]],0))*
INDEX(Input_Usage[],MATCH($D12&amp;" - Annual",Input_Usage[[Ref]:[Ref]],0),MATCH($D$7,Inputs!$C$147:$BA$147,0))),0)),0),
ROUNDUP(
(INDEX(OP_TotalRates_RES_1[[Ausnet]:[United Energy]],MATCH("TOU - supply",OP_TotalRates_RES_1[[Rate name]:[Rate name]],0),MATCH(E$10,OP_TotalRates_RES_1[[#Headers],[Ausnet]:[United Energy]],0))*_xlfn.SINGLE(DiY))+
(INDEX(OP_TotalRates_RES_1[[Ausnet]:[United Energy]],MATCH("Peak",OP_TotalRates_RES_1[[Rate name]:[Rate name]],0),MATCH(E$10,OP_TotalRates_RES_1[[#Headers],[Ausnet]:[United Energy]],0))*
INDEX(Input_Usage[],MATCH($D12&amp;" - Peak",Input_Usage[[Ref]:[Ref]],0),MATCH($D$7,Inputs!$C$147:$BA$147,0)))+
IFERROR((INDEX(OP_TotalRates_RES_1[[Ausnet]:[United Energy]],MATCH("TOU - Shoulder",OP_TotalRates_RES_1[[Rate name]:[Rate name]],0),MATCH(E$10,OP_TotalRates_RES_1[[#Headers],[Ausnet]:[United Energy]],0))*
INDEX(Input_Usage[],MATCH($D12&amp;" - Shoulder",Input_Usage[[Ref]:[Ref]],0),MATCH($D$7,Inputs!$C$147:$BA$147,0))),0)+
(INDEX(OP_TotalRates_RES_1[[Ausnet]:[United Energy]],MATCH("Off peak",OP_TotalRates_RES_1[[Rate name]:[Rate name]],0),MATCH(E$10,OP_TotalRates_RES_1[[#Headers],[Ausnet]:[United Energy]],0))*
INDEX(Input_Usage[],MATCH($D12&amp;" - Off peak",Input_Usage[[Ref]:[Ref]],0),MATCH($D$7,Inputs!$C$147:$BA$147,0))),0)),"-")</f>
        <v>1783</v>
      </c>
      <c r="F12" s="132">
        <f>IFERROR(
IF($D$7="VDO 2021 - Final",
ROUNDUP(
(INDEX(OP_TotalRates_RES_1[[Ausnet]:[United Energy]],MATCH("Anytime - supply",OP_TotalRates_RES_1[[Rate name]:[Rate name]],0),MATCH(F$10,OP_TotalRates_RES_1[[#Headers],[Ausnet]:[United Energy]],0))*_xlfn.SINGLE(DiY))+
(IFERROR((INDEX(OP_TotalRates_RES_1[[Ausnet]:[United Energy]],MATCH("Block 1",OP_TotalRates_RES_1[[Rate name]:[Rate name]],0),MATCH(F$10,OP_TotalRates_RES_1[[#Headers],[Ausnet]:[United Energy]],0))*
INDEX(Input_Usage[],MATCH($D12&amp;" - Block 1",Input_Usage[[Ref]:[Ref]],0),MATCH($D$7,Inputs!$C$147:$BA$147,0))),0)+
IFERROR((INDEX(OP_TotalRates_RES_1[[Ausnet]:[United Energy]],MATCH("Balance",OP_TotalRates_RES_1[[Rate name]:[Rate name]],0),MATCH(F$10,OP_TotalRates_RES_1[[#Headers],[Ausnet]:[United Energy]],0))*
INDEX(Input_Usage[],MATCH($D12&amp;" - Balance",Input_Usage[[Ref]:[Ref]],0),MATCH($D$7,Inputs!$C$147:$BA$147,0))),0)+
IFERROR((INDEX(OP_TotalRates_RES_1[[Ausnet]:[United Energy]],MATCH("Single rate",OP_TotalRates_RES_1[[Rate name]:[Rate name]],0),MATCH(F$10,OP_TotalRates_RES_1[[#Headers],[Ausnet]:[United Energy]],0))*
INDEX(Input_Usage[],MATCH($D12&amp;" - Annual",Input_Usage[[Ref]:[Ref]],0),MATCH($D$7,Inputs!$C$147:$BA$147,0))),0)),0),
ROUNDUP(
(INDEX(OP_TotalRates_RES_1[[Ausnet]:[United Energy]],MATCH("TOU - supply",OP_TotalRates_RES_1[[Rate name]:[Rate name]],0),MATCH(F$10,OP_TotalRates_RES_1[[#Headers],[Ausnet]:[United Energy]],0))*_xlfn.SINGLE(DiY))+
(INDEX(OP_TotalRates_RES_1[[Ausnet]:[United Energy]],MATCH("Peak",OP_TotalRates_RES_1[[Rate name]:[Rate name]],0),MATCH(F$10,OP_TotalRates_RES_1[[#Headers],[Ausnet]:[United Energy]],0))*
INDEX(Input_Usage[],MATCH($D12&amp;" - Peak",Input_Usage[[Ref]:[Ref]],0),MATCH($D$7,Inputs!$C$147:$BA$147,0)))+
IFERROR((INDEX(OP_TotalRates_RES_1[[Ausnet]:[United Energy]],MATCH("TOU - Shoulder",OP_TotalRates_RES_1[[Rate name]:[Rate name]],0),MATCH(F$10,OP_TotalRates_RES_1[[#Headers],[Ausnet]:[United Energy]],0))*
INDEX(Input_Usage[],MATCH($D12&amp;" - Shoulder",Input_Usage[[Ref]:[Ref]],0),MATCH($D$7,Inputs!$C$147:$BA$147,0))),0)+
(INDEX(OP_TotalRates_RES_1[[Ausnet]:[United Energy]],MATCH("Off peak",OP_TotalRates_RES_1[[Rate name]:[Rate name]],0),MATCH(F$10,OP_TotalRates_RES_1[[#Headers],[Ausnet]:[United Energy]],0))*
INDEX(Input_Usage[],MATCH($D12&amp;" - Off peak",Input_Usage[[Ref]:[Ref]],0),MATCH($D$7,Inputs!$C$147:$BA$147,0))),0)),"-")</f>
        <v>1460</v>
      </c>
      <c r="G12" s="132">
        <f>IFERROR(
IF($D$7="VDO 2021 - Final",
ROUNDUP(
(INDEX(OP_TotalRates_RES_1[[Ausnet]:[United Energy]],MATCH("Anytime - supply",OP_TotalRates_RES_1[[Rate name]:[Rate name]],0),MATCH(G$10,OP_TotalRates_RES_1[[#Headers],[Ausnet]:[United Energy]],0))*_xlfn.SINGLE(DiY))+
(IFERROR((INDEX(OP_TotalRates_RES_1[[Ausnet]:[United Energy]],MATCH("Block 1",OP_TotalRates_RES_1[[Rate name]:[Rate name]],0),MATCH(G$10,OP_TotalRates_RES_1[[#Headers],[Ausnet]:[United Energy]],0))*
INDEX(Input_Usage[],MATCH($D12&amp;" - Block 1",Input_Usage[[Ref]:[Ref]],0),MATCH($D$7,Inputs!$C$147:$BA$147,0))),0)+
IFERROR((INDEX(OP_TotalRates_RES_1[[Ausnet]:[United Energy]],MATCH("Balance",OP_TotalRates_RES_1[[Rate name]:[Rate name]],0),MATCH(G$10,OP_TotalRates_RES_1[[#Headers],[Ausnet]:[United Energy]],0))*
INDEX(Input_Usage[],MATCH($D12&amp;" - Balance",Input_Usage[[Ref]:[Ref]],0),MATCH($D$7,Inputs!$C$147:$BA$147,0))),0)+
IFERROR((INDEX(OP_TotalRates_RES_1[[Ausnet]:[United Energy]],MATCH("Single rate",OP_TotalRates_RES_1[[Rate name]:[Rate name]],0),MATCH(G$10,OP_TotalRates_RES_1[[#Headers],[Ausnet]:[United Energy]],0))*
INDEX(Input_Usage[],MATCH($D12&amp;" - Annual",Input_Usage[[Ref]:[Ref]],0),MATCH($D$7,Inputs!$C$147:$BA$147,0))),0)),0),
ROUNDUP(
(INDEX(OP_TotalRates_RES_1[[Ausnet]:[United Energy]],MATCH("TOU - supply",OP_TotalRates_RES_1[[Rate name]:[Rate name]],0),MATCH(G$10,OP_TotalRates_RES_1[[#Headers],[Ausnet]:[United Energy]],0))*_xlfn.SINGLE(DiY))+
(INDEX(OP_TotalRates_RES_1[[Ausnet]:[United Energy]],MATCH("Peak",OP_TotalRates_RES_1[[Rate name]:[Rate name]],0),MATCH(G$10,OP_TotalRates_RES_1[[#Headers],[Ausnet]:[United Energy]],0))*
INDEX(Input_Usage[],MATCH($D12&amp;" - Peak",Input_Usage[[Ref]:[Ref]],0),MATCH($D$7,Inputs!$C$147:$BA$147,0)))+
IFERROR((INDEX(OP_TotalRates_RES_1[[Ausnet]:[United Energy]],MATCH("TOU - Shoulder",OP_TotalRates_RES_1[[Rate name]:[Rate name]],0),MATCH(G$10,OP_TotalRates_RES_1[[#Headers],[Ausnet]:[United Energy]],0))*
INDEX(Input_Usage[],MATCH($D12&amp;" - Shoulder",Input_Usage[[Ref]:[Ref]],0),MATCH($D$7,Inputs!$C$147:$BA$147,0))),0)+
(INDEX(OP_TotalRates_RES_1[[Ausnet]:[United Energy]],MATCH("Off peak",OP_TotalRates_RES_1[[Rate name]:[Rate name]],0),MATCH(G$10,OP_TotalRates_RES_1[[#Headers],[Ausnet]:[United Energy]],0))*
INDEX(Input_Usage[],MATCH($D12&amp;" - Off peak",Input_Usage[[Ref]:[Ref]],0),MATCH($D$7,Inputs!$C$147:$BA$147,0))),0)),"-")</f>
        <v>1579</v>
      </c>
      <c r="H12" s="132">
        <f>IFERROR(
IF($D$7="VDO 2021 - Final",
ROUNDUP(
(INDEX(OP_TotalRates_RES_1[[Ausnet]:[United Energy]],MATCH("Anytime - supply",OP_TotalRates_RES_1[[Rate name]:[Rate name]],0),MATCH(H$10,OP_TotalRates_RES_1[[#Headers],[Ausnet]:[United Energy]],0))*_xlfn.SINGLE(DiY))+
(IFERROR((INDEX(OP_TotalRates_RES_1[[Ausnet]:[United Energy]],MATCH("Block 1",OP_TotalRates_RES_1[[Rate name]:[Rate name]],0),MATCH(H$10,OP_TotalRates_RES_1[[#Headers],[Ausnet]:[United Energy]],0))*
INDEX(Input_Usage[],MATCH($D12&amp;" - Block 1",Input_Usage[[Ref]:[Ref]],0),MATCH($D$7,Inputs!$C$147:$BA$147,0))),0)+
IFERROR((INDEX(OP_TotalRates_RES_1[[Ausnet]:[United Energy]],MATCH("Balance",OP_TotalRates_RES_1[[Rate name]:[Rate name]],0),MATCH(H$10,OP_TotalRates_RES_1[[#Headers],[Ausnet]:[United Energy]],0))*
INDEX(Input_Usage[],MATCH($D12&amp;" - Balance",Input_Usage[[Ref]:[Ref]],0),MATCH($D$7,Inputs!$C$147:$BA$147,0))),0)+
IFERROR((INDEX(OP_TotalRates_RES_1[[Ausnet]:[United Energy]],MATCH("Single rate",OP_TotalRates_RES_1[[Rate name]:[Rate name]],0),MATCH(H$10,OP_TotalRates_RES_1[[#Headers],[Ausnet]:[United Energy]],0))*
INDEX(Input_Usage[],MATCH($D12&amp;" - Annual",Input_Usage[[Ref]:[Ref]],0),MATCH($D$7,Inputs!$C$147:$BA$147,0))),0)),0),
ROUNDUP(
(INDEX(OP_TotalRates_RES_1[[Ausnet]:[United Energy]],MATCH("TOU - supply",OP_TotalRates_RES_1[[Rate name]:[Rate name]],0),MATCH(H$10,OP_TotalRates_RES_1[[#Headers],[Ausnet]:[United Energy]],0))*_xlfn.SINGLE(DiY))+
(INDEX(OP_TotalRates_RES_1[[Ausnet]:[United Energy]],MATCH("Peak",OP_TotalRates_RES_1[[Rate name]:[Rate name]],0),MATCH(H$10,OP_TotalRates_RES_1[[#Headers],[Ausnet]:[United Energy]],0))*
INDEX(Input_Usage[],MATCH($D12&amp;" - Peak",Input_Usage[[Ref]:[Ref]],0),MATCH($D$7,Inputs!$C$147:$BA$147,0)))+
IFERROR((INDEX(OP_TotalRates_RES_1[[Ausnet]:[United Energy]],MATCH("TOU - Shoulder",OP_TotalRates_RES_1[[Rate name]:[Rate name]],0),MATCH(H$10,OP_TotalRates_RES_1[[#Headers],[Ausnet]:[United Energy]],0))*
INDEX(Input_Usage[],MATCH($D12&amp;" - Shoulder",Input_Usage[[Ref]:[Ref]],0),MATCH($D$7,Inputs!$C$147:$BA$147,0))),0)+
(INDEX(OP_TotalRates_RES_1[[Ausnet]:[United Energy]],MATCH("Off peak",OP_TotalRates_RES_1[[Rate name]:[Rate name]],0),MATCH(H$10,OP_TotalRates_RES_1[[#Headers],[Ausnet]:[United Energy]],0))*
INDEX(Input_Usage[],MATCH($D12&amp;" - Off peak",Input_Usage[[Ref]:[Ref]],0),MATCH($D$7,Inputs!$C$147:$BA$147,0))),0)),"-")</f>
        <v>1663</v>
      </c>
      <c r="I12" s="132">
        <f>IFERROR(
IF($D$7="VDO 2021 - Final",
ROUNDUP(
(INDEX(OP_TotalRates_RES_1[[Ausnet]:[United Energy]],MATCH("Anytime - supply",OP_TotalRates_RES_1[[Rate name]:[Rate name]],0),MATCH(I$10,OP_TotalRates_RES_1[[#Headers],[Ausnet]:[United Energy]],0))*_xlfn.SINGLE(DiY))+
(IFERROR((INDEX(OP_TotalRates_RES_1[[Ausnet]:[United Energy]],MATCH("Block 1",OP_TotalRates_RES_1[[Rate name]:[Rate name]],0),MATCH(I$10,OP_TotalRates_RES_1[[#Headers],[Ausnet]:[United Energy]],0))*
INDEX(Input_Usage[],MATCH($D12&amp;" - Block 1",Input_Usage[[Ref]:[Ref]],0),MATCH($D$7,Inputs!$C$147:$BA$147,0))),0)+
IFERROR((INDEX(OP_TotalRates_RES_1[[Ausnet]:[United Energy]],MATCH("Balance",OP_TotalRates_RES_1[[Rate name]:[Rate name]],0),MATCH(I$10,OP_TotalRates_RES_1[[#Headers],[Ausnet]:[United Energy]],0))*
INDEX(Input_Usage[],MATCH($D12&amp;" - Balance",Input_Usage[[Ref]:[Ref]],0),MATCH($D$7,Inputs!$C$147:$BA$147,0))),0)+
IFERROR((INDEX(OP_TotalRates_RES_1[[Ausnet]:[United Energy]],MATCH("Single rate",OP_TotalRates_RES_1[[Rate name]:[Rate name]],0),MATCH(I$10,OP_TotalRates_RES_1[[#Headers],[Ausnet]:[United Energy]],0))*
INDEX(Input_Usage[],MATCH($D12&amp;" - Annual",Input_Usage[[Ref]:[Ref]],0),MATCH($D$7,Inputs!$C$147:$BA$147,0))),0)),0),
ROUNDUP(
(INDEX(OP_TotalRates_RES_1[[Ausnet]:[United Energy]],MATCH("TOU - supply",OP_TotalRates_RES_1[[Rate name]:[Rate name]],0),MATCH(I$10,OP_TotalRates_RES_1[[#Headers],[Ausnet]:[United Energy]],0))*_xlfn.SINGLE(DiY))+
(INDEX(OP_TotalRates_RES_1[[Ausnet]:[United Energy]],MATCH("Peak",OP_TotalRates_RES_1[[Rate name]:[Rate name]],0),MATCH(I$10,OP_TotalRates_RES_1[[#Headers],[Ausnet]:[United Energy]],0))*
INDEX(Input_Usage[],MATCH($D12&amp;" - Peak",Input_Usage[[Ref]:[Ref]],0),MATCH($D$7,Inputs!$C$147:$BA$147,0)))+
IFERROR((INDEX(OP_TotalRates_RES_1[[Ausnet]:[United Energy]],MATCH("TOU - Shoulder",OP_TotalRates_RES_1[[Rate name]:[Rate name]],0),MATCH(I$10,OP_TotalRates_RES_1[[#Headers],[Ausnet]:[United Energy]],0))*
INDEX(Input_Usage[],MATCH($D12&amp;" - Shoulder",Input_Usage[[Ref]:[Ref]],0),MATCH($D$7,Inputs!$C$147:$BA$147,0))),0)+
(INDEX(OP_TotalRates_RES_1[[Ausnet]:[United Energy]],MATCH("Off peak",OP_TotalRates_RES_1[[Rate name]:[Rate name]],0),MATCH(I$10,OP_TotalRates_RES_1[[#Headers],[Ausnet]:[United Energy]],0))*
INDEX(Input_Usage[],MATCH($D12&amp;" - Off peak",Input_Usage[[Ref]:[Ref]],0),MATCH($D$7,Inputs!$C$147:$BA$147,0))),0)),"-")</f>
        <v>1523</v>
      </c>
      <c r="K12" s="18" t="s">
        <v>67</v>
      </c>
      <c r="L12" s="18" t="s">
        <v>89</v>
      </c>
      <c r="M12" s="132">
        <f>IFERROR(
IF($D$7="VDO 2021 - Final",
ROUNDUP(
(INDEX(OP_TotalRates_SME_1[[Ausnet]:[United Energy]],MATCH("Anytime - supply",OP_TotalRates_SME_1[[Rate name]:[Rate name]],0),MATCH(M$10,OP_TotalRates_SME_1[[#Headers],[Ausnet]:[United Energy]],0))*_xlfn.SINGLE(DiY))+
(IFERROR((INDEX(OP_TotalRates_SME_1[[Ausnet]:[United Energy]],MATCH("Block 1",OP_TotalRates_SME_1[[Rate name]:[Rate name]],0),MATCH(M$10,OP_TotalRates_SME_1[[#Headers],[Ausnet]:[United Energy]],0))*
INDEX(Input_Usage[],MATCH($L12&amp;" - Block 1",Input_Usage[[Ref]:[Ref]],0),MATCH($D$7,Inputs!$C$147:$BA$147,0))),0)+
IFERROR((INDEX(OP_TotalRates_SME_1[[Ausnet]:[United Energy]],MATCH("Balance",OP_TotalRates_SME_1[[Rate name]:[Rate name]],0),MATCH(M$10,OP_TotalRates_SME_1[[#Headers],[Ausnet]:[United Energy]],0))*
INDEX(Input_Usage[],MATCH($L12&amp;" - Balance",Input_Usage[[Ref]:[Ref]],0),MATCH($D$7,Inputs!$C$147:$BA$147,0))),0)+
IFERROR((INDEX(OP_TotalRates_SME_1[[Ausnet]:[United Energy]],MATCH("Single rate",OP_TotalRates_SME_1[[Rate name]:[Rate name]],0),MATCH(M$10,OP_TotalRates_SME_1[[#Headers],[Ausnet]:[United Energy]],0))*
INDEX(Input_Usage[],MATCH($L12&amp;" - Annual",Input_Usage[[Ref]:[Ref]],0),MATCH($D$7,Inputs!$C$147:$BA$147,0))),0)),0),
ROUNDUP(
(INDEX(OP_TotalRates_SME_1[[Ausnet]:[United Energy]],MATCH("TOU - supply",OP_TotalRates_SME_1[[Rate name]:[Rate name]],0),MATCH(M$10,OP_TotalRates_SME_1[[#Headers],[Ausnet]:[United Energy]],0))*_xlfn.SINGLE(DiY))+
(INDEX(OP_TotalRates_SME_1[[Ausnet]:[United Energy]],MATCH("Peak",OP_TotalRates_SME_1[[Rate name]:[Rate name]],0),MATCH(M$10,OP_TotalRates_SME_1[[#Headers],[Ausnet]:[United Energy]],0))*
INDEX(Input_Usage[],MATCH($L12&amp;" - Peak",Input_Usage[[Ref]:[Ref]],0),MATCH($D$7,Inputs!$C$147:$BA$147,0)))+
IFERROR((INDEX(OP_TotalRates_SME_1[[Ausnet]:[United Energy]],MATCH("TOU - Shoulder",OP_TotalRates_SME_1[[Rate name]:[Rate name]],0),MATCH(M$10,OP_TotalRates_SME_1[[#Headers],[Ausnet]:[United Energy]],0))*
INDEX(Input_Usage[],MATCH($L12&amp;" - Shoulder",Input_Usage[[Ref]:[Ref]],0),MATCH($D$7,Inputs!$C$147:$BA$147,0))),0)+
(INDEX(OP_TotalRates_SME_1[[Ausnet]:[United Energy]],MATCH("Off peak",OP_TotalRates_SME_1[[Rate name]:[Rate name]],0),MATCH(M$10,OP_TotalRates_SME_1[[#Headers],[Ausnet]:[United Energy]],0))*
INDEX(Input_Usage[],MATCH($L12&amp;" - Off peak",Input_Usage[[Ref]:[Ref]],0),MATCH($D$7,Inputs!$C$147:$BA$147,0))),0)),"-")</f>
        <v>6599</v>
      </c>
      <c r="N12" s="132">
        <f>IFERROR(
IF($D$7="VDO 2021 - Final",
ROUNDUP(
(INDEX(OP_TotalRates_SME_1[[Ausnet]:[United Energy]],MATCH("Anytime - supply",OP_TotalRates_SME_1[[Rate name]:[Rate name]],0),MATCH(N$10,OP_TotalRates_SME_1[[#Headers],[Ausnet]:[United Energy]],0))*_xlfn.SINGLE(DiY))+
(IFERROR((INDEX(OP_TotalRates_SME_1[[Ausnet]:[United Energy]],MATCH("Block 1",OP_TotalRates_SME_1[[Rate name]:[Rate name]],0),MATCH(N$10,OP_TotalRates_SME_1[[#Headers],[Ausnet]:[United Energy]],0))*
INDEX(Input_Usage[],MATCH($L12&amp;" - Block 1",Input_Usage[[Ref]:[Ref]],0),MATCH($D$7,Inputs!$C$147:$BA$147,0))),0)+
IFERROR((INDEX(OP_TotalRates_SME_1[[Ausnet]:[United Energy]],MATCH("Balance",OP_TotalRates_SME_1[[Rate name]:[Rate name]],0),MATCH(N$10,OP_TotalRates_SME_1[[#Headers],[Ausnet]:[United Energy]],0))*
INDEX(Input_Usage[],MATCH($L12&amp;" - Balance",Input_Usage[[Ref]:[Ref]],0),MATCH($D$7,Inputs!$C$147:$BA$147,0))),0)+
IFERROR((INDEX(OP_TotalRates_SME_1[[Ausnet]:[United Energy]],MATCH("Single rate",OP_TotalRates_SME_1[[Rate name]:[Rate name]],0),MATCH(N$10,OP_TotalRates_SME_1[[#Headers],[Ausnet]:[United Energy]],0))*
INDEX(Input_Usage[],MATCH($L12&amp;" - Annual",Input_Usage[[Ref]:[Ref]],0),MATCH($D$7,Inputs!$C$147:$BA$147,0))),0)),0),
ROUNDUP(
(INDEX(OP_TotalRates_SME_1[[Ausnet]:[United Energy]],MATCH("TOU - supply",OP_TotalRates_SME_1[[Rate name]:[Rate name]],0),MATCH(N$10,OP_TotalRates_SME_1[[#Headers],[Ausnet]:[United Energy]],0))*_xlfn.SINGLE(DiY))+
(INDEX(OP_TotalRates_SME_1[[Ausnet]:[United Energy]],MATCH("Peak",OP_TotalRates_SME_1[[Rate name]:[Rate name]],0),MATCH(N$10,OP_TotalRates_SME_1[[#Headers],[Ausnet]:[United Energy]],0))*
INDEX(Input_Usage[],MATCH($L12&amp;" - Peak",Input_Usage[[Ref]:[Ref]],0),MATCH($D$7,Inputs!$C$147:$BA$147,0)))+
IFERROR((INDEX(OP_TotalRates_SME_1[[Ausnet]:[United Energy]],MATCH("TOU - Shoulder",OP_TotalRates_SME_1[[Rate name]:[Rate name]],0),MATCH(N$10,OP_TotalRates_SME_1[[#Headers],[Ausnet]:[United Energy]],0))*
INDEX(Input_Usage[],MATCH($L12&amp;" - Shoulder",Input_Usage[[Ref]:[Ref]],0),MATCH($D$7,Inputs!$C$147:$BA$147,0))),0)+
(INDEX(OP_TotalRates_SME_1[[Ausnet]:[United Energy]],MATCH("Off peak",OP_TotalRates_SME_1[[Rate name]:[Rate name]],0),MATCH(N$10,OP_TotalRates_SME_1[[#Headers],[Ausnet]:[United Energy]],0))*
INDEX(Input_Usage[],MATCH($L12&amp;" - Off peak",Input_Usage[[Ref]:[Ref]],0),MATCH($D$7,Inputs!$C$147:$BA$147,0))),0)),"-")</f>
        <v>5530</v>
      </c>
      <c r="O12" s="132">
        <f>IFERROR(
IF($D$7="VDO 2021 - Final",
ROUNDUP(
(INDEX(OP_TotalRates_SME_1[[Ausnet]:[United Energy]],MATCH("Anytime - supply",OP_TotalRates_SME_1[[Rate name]:[Rate name]],0),MATCH(O$10,OP_TotalRates_SME_1[[#Headers],[Ausnet]:[United Energy]],0))*_xlfn.SINGLE(DiY))+
(IFERROR((INDEX(OP_TotalRates_SME_1[[Ausnet]:[United Energy]],MATCH("Block 1",OP_TotalRates_SME_1[[Rate name]:[Rate name]],0),MATCH(O$10,OP_TotalRates_SME_1[[#Headers],[Ausnet]:[United Energy]],0))*
INDEX(Input_Usage[],MATCH($L12&amp;" - Block 1",Input_Usage[[Ref]:[Ref]],0),MATCH($D$7,Inputs!$C$147:$BA$147,0))),0)+
IFERROR((INDEX(OP_TotalRates_SME_1[[Ausnet]:[United Energy]],MATCH("Balance",OP_TotalRates_SME_1[[Rate name]:[Rate name]],0),MATCH(O$10,OP_TotalRates_SME_1[[#Headers],[Ausnet]:[United Energy]],0))*
INDEX(Input_Usage[],MATCH($L12&amp;" - Balance",Input_Usage[[Ref]:[Ref]],0),MATCH($D$7,Inputs!$C$147:$BA$147,0))),0)+
IFERROR((INDEX(OP_TotalRates_SME_1[[Ausnet]:[United Energy]],MATCH("Single rate",OP_TotalRates_SME_1[[Rate name]:[Rate name]],0),MATCH(O$10,OP_TotalRates_SME_1[[#Headers],[Ausnet]:[United Energy]],0))*
INDEX(Input_Usage[],MATCH($L12&amp;" - Annual",Input_Usage[[Ref]:[Ref]],0),MATCH($D$7,Inputs!$C$147:$BA$147,0))),0)),0),
ROUNDUP(
(INDEX(OP_TotalRates_SME_1[[Ausnet]:[United Energy]],MATCH("TOU - supply",OP_TotalRates_SME_1[[Rate name]:[Rate name]],0),MATCH(O$10,OP_TotalRates_SME_1[[#Headers],[Ausnet]:[United Energy]],0))*_xlfn.SINGLE(DiY))+
(INDEX(OP_TotalRates_SME_1[[Ausnet]:[United Energy]],MATCH("Peak",OP_TotalRates_SME_1[[Rate name]:[Rate name]],0),MATCH(O$10,OP_TotalRates_SME_1[[#Headers],[Ausnet]:[United Energy]],0))*
INDEX(Input_Usage[],MATCH($L12&amp;" - Peak",Input_Usage[[Ref]:[Ref]],0),MATCH($D$7,Inputs!$C$147:$BA$147,0)))+
IFERROR((INDEX(OP_TotalRates_SME_1[[Ausnet]:[United Energy]],MATCH("TOU - Shoulder",OP_TotalRates_SME_1[[Rate name]:[Rate name]],0),MATCH(O$10,OP_TotalRates_SME_1[[#Headers],[Ausnet]:[United Energy]],0))*
INDEX(Input_Usage[],MATCH($L12&amp;" - Shoulder",Input_Usage[[Ref]:[Ref]],0),MATCH($D$7,Inputs!$C$147:$BA$147,0))),0)+
(INDEX(OP_TotalRates_SME_1[[Ausnet]:[United Energy]],MATCH("Off peak",OP_TotalRates_SME_1[[Rate name]:[Rate name]],0),MATCH(O$10,OP_TotalRates_SME_1[[#Headers],[Ausnet]:[United Energy]],0))*
INDEX(Input_Usage[],MATCH($L12&amp;" - Off peak",Input_Usage[[Ref]:[Ref]],0),MATCH($D$7,Inputs!$C$147:$BA$147,0))),0)),"-")</f>
        <v>6171</v>
      </c>
      <c r="P12" s="132">
        <f>IFERROR(
IF($D$7="VDO 2021 - Final",
ROUNDUP(
(INDEX(OP_TotalRates_SME_1[[Ausnet]:[United Energy]],MATCH("Anytime - supply",OP_TotalRates_SME_1[[Rate name]:[Rate name]],0),MATCH(P$10,OP_TotalRates_SME_1[[#Headers],[Ausnet]:[United Energy]],0))*_xlfn.SINGLE(DiY))+
(IFERROR((INDEX(OP_TotalRates_SME_1[[Ausnet]:[United Energy]],MATCH("Block 1",OP_TotalRates_SME_1[[Rate name]:[Rate name]],0),MATCH(P$10,OP_TotalRates_SME_1[[#Headers],[Ausnet]:[United Energy]],0))*
INDEX(Input_Usage[],MATCH($L12&amp;" - Block 1",Input_Usage[[Ref]:[Ref]],0),MATCH($D$7,Inputs!$C$147:$BA$147,0))),0)+
IFERROR((INDEX(OP_TotalRates_SME_1[[Ausnet]:[United Energy]],MATCH("Balance",OP_TotalRates_SME_1[[Rate name]:[Rate name]],0),MATCH(P$10,OP_TotalRates_SME_1[[#Headers],[Ausnet]:[United Energy]],0))*
INDEX(Input_Usage[],MATCH($L12&amp;" - Balance",Input_Usage[[Ref]:[Ref]],0),MATCH($D$7,Inputs!$C$147:$BA$147,0))),0)+
IFERROR((INDEX(OP_TotalRates_SME_1[[Ausnet]:[United Energy]],MATCH("Single rate",OP_TotalRates_SME_1[[Rate name]:[Rate name]],0),MATCH(P$10,OP_TotalRates_SME_1[[#Headers],[Ausnet]:[United Energy]],0))*
INDEX(Input_Usage[],MATCH($L12&amp;" - Annual",Input_Usage[[Ref]:[Ref]],0),MATCH($D$7,Inputs!$C$147:$BA$147,0))),0)),0),
ROUNDUP(
(INDEX(OP_TotalRates_SME_1[[Ausnet]:[United Energy]],MATCH("TOU - supply",OP_TotalRates_SME_1[[Rate name]:[Rate name]],0),MATCH(P$10,OP_TotalRates_SME_1[[#Headers],[Ausnet]:[United Energy]],0))*_xlfn.SINGLE(DiY))+
(INDEX(OP_TotalRates_SME_1[[Ausnet]:[United Energy]],MATCH("Peak",OP_TotalRates_SME_1[[Rate name]:[Rate name]],0),MATCH(P$10,OP_TotalRates_SME_1[[#Headers],[Ausnet]:[United Energy]],0))*
INDEX(Input_Usage[],MATCH($L12&amp;" - Peak",Input_Usage[[Ref]:[Ref]],0),MATCH($D$7,Inputs!$C$147:$BA$147,0)))+
IFERROR((INDEX(OP_TotalRates_SME_1[[Ausnet]:[United Energy]],MATCH("TOU - Shoulder",OP_TotalRates_SME_1[[Rate name]:[Rate name]],0),MATCH(P$10,OP_TotalRates_SME_1[[#Headers],[Ausnet]:[United Energy]],0))*
INDEX(Input_Usage[],MATCH($L12&amp;" - Shoulder",Input_Usage[[Ref]:[Ref]],0),MATCH($D$7,Inputs!$C$147:$BA$147,0))),0)+
(INDEX(OP_TotalRates_SME_1[[Ausnet]:[United Energy]],MATCH("Off peak",OP_TotalRates_SME_1[[Rate name]:[Rate name]],0),MATCH(P$10,OP_TotalRates_SME_1[[#Headers],[Ausnet]:[United Energy]],0))*
INDEX(Input_Usage[],MATCH($L12&amp;" - Off peak",Input_Usage[[Ref]:[Ref]],0),MATCH($D$7,Inputs!$C$147:$BA$147,0))),0)),"-")</f>
        <v>6288</v>
      </c>
      <c r="Q12" s="132">
        <f>IFERROR(
IF($D$7="VDO 2021 - Final",
ROUNDUP(
(INDEX(OP_TotalRates_SME_1[[Ausnet]:[United Energy]],MATCH("Anytime - supply",OP_TotalRates_SME_1[[Rate name]:[Rate name]],0),MATCH(Q$10,OP_TotalRates_SME_1[[#Headers],[Ausnet]:[United Energy]],0))*_xlfn.SINGLE(DiY))+
(IFERROR((INDEX(OP_TotalRates_SME_1[[Ausnet]:[United Energy]],MATCH("Block 1",OP_TotalRates_SME_1[[Rate name]:[Rate name]],0),MATCH(Q$10,OP_TotalRates_SME_1[[#Headers],[Ausnet]:[United Energy]],0))*
INDEX(Input_Usage[],MATCH($L12&amp;" - Block 1",Input_Usage[[Ref]:[Ref]],0),MATCH($D$7,Inputs!$C$147:$BA$147,0))),0)+
IFERROR((INDEX(OP_TotalRates_SME_1[[Ausnet]:[United Energy]],MATCH("Balance",OP_TotalRates_SME_1[[Rate name]:[Rate name]],0),MATCH(Q$10,OP_TotalRates_SME_1[[#Headers],[Ausnet]:[United Energy]],0))*
INDEX(Input_Usage[],MATCH($L12&amp;" - Balance",Input_Usage[[Ref]:[Ref]],0),MATCH($D$7,Inputs!$C$147:$BA$147,0))),0)+
IFERROR((INDEX(OP_TotalRates_SME_1[[Ausnet]:[United Energy]],MATCH("Single rate",OP_TotalRates_SME_1[[Rate name]:[Rate name]],0),MATCH(Q$10,OP_TotalRates_SME_1[[#Headers],[Ausnet]:[United Energy]],0))*
INDEX(Input_Usage[],MATCH($L12&amp;" - Annual",Input_Usage[[Ref]:[Ref]],0),MATCH($D$7,Inputs!$C$147:$BA$147,0))),0)),0),
ROUNDUP(
(INDEX(OP_TotalRates_SME_1[[Ausnet]:[United Energy]],MATCH("TOU - supply",OP_TotalRates_SME_1[[Rate name]:[Rate name]],0),MATCH(Q$10,OP_TotalRates_SME_1[[#Headers],[Ausnet]:[United Energy]],0))*_xlfn.SINGLE(DiY))+
(INDEX(OP_TotalRates_SME_1[[Ausnet]:[United Energy]],MATCH("Peak",OP_TotalRates_SME_1[[Rate name]:[Rate name]],0),MATCH(Q$10,OP_TotalRates_SME_1[[#Headers],[Ausnet]:[United Energy]],0))*
INDEX(Input_Usage[],MATCH($L12&amp;" - Peak",Input_Usage[[Ref]:[Ref]],0),MATCH($D$7,Inputs!$C$147:$BA$147,0)))+
IFERROR((INDEX(OP_TotalRates_SME_1[[Ausnet]:[United Energy]],MATCH("TOU - Shoulder",OP_TotalRates_SME_1[[Rate name]:[Rate name]],0),MATCH(Q$10,OP_TotalRates_SME_1[[#Headers],[Ausnet]:[United Energy]],0))*
INDEX(Input_Usage[],MATCH($L12&amp;" - Shoulder",Input_Usage[[Ref]:[Ref]],0),MATCH($D$7,Inputs!$C$147:$BA$147,0))),0)+
(INDEX(OP_TotalRates_SME_1[[Ausnet]:[United Energy]],MATCH("Off peak",OP_TotalRates_SME_1[[Rate name]:[Rate name]],0),MATCH(Q$10,OP_TotalRates_SME_1[[#Headers],[Ausnet]:[United Energy]],0))*
INDEX(Input_Usage[],MATCH($L12&amp;" - Off peak",Input_Usage[[Ref]:[Ref]],0),MATCH($D$7,Inputs!$C$147:$BA$147,0))),0)),"-")</f>
        <v>5869</v>
      </c>
    </row>
    <row r="13" spans="1:18" hidden="1" x14ac:dyDescent="0.25">
      <c r="C13" s="33" t="s">
        <v>66</v>
      </c>
      <c r="D13" s="33" t="s">
        <v>90</v>
      </c>
      <c r="E13" s="132">
        <f>IFERROR(
IF($D$7="VDO 2021 - Final",
ROUNDUP(
(INDEX(OP_TotalRates_RES_1[[Ausnet]:[United Energy]],MATCH("Anytime - supply",OP_TotalRates_RES_1[[Rate name]:[Rate name]],0),MATCH(E$10,OP_TotalRates_RES_1[[#Headers],[Ausnet]:[United Energy]],0))*_xlfn.SINGLE(DiY))+
(IFERROR((INDEX(OP_TotalRates_RES_1[[Ausnet]:[United Energy]],MATCH("Block 1",OP_TotalRates_RES_1[[Rate name]:[Rate name]],0),MATCH(E$10,OP_TotalRates_RES_1[[#Headers],[Ausnet]:[United Energy]],0))*
INDEX(Input_Usage[],MATCH($D13&amp;" - Block 1",Input_Usage[[Ref]:[Ref]],0),MATCH($D$7,Inputs!$C$147:$BA$147,0))),0)+
IFERROR((INDEX(OP_TotalRates_RES_1[[Ausnet]:[United Energy]],MATCH("Balance",OP_TotalRates_RES_1[[Rate name]:[Rate name]],0),MATCH(E$10,OP_TotalRates_RES_1[[#Headers],[Ausnet]:[United Energy]],0))*
INDEX(Input_Usage[],MATCH($D13&amp;" - Balance",Input_Usage[[Ref]:[Ref]],0),MATCH($D$7,Inputs!$C$147:$BA$147,0))),0)+
IFERROR((INDEX(OP_TotalRates_RES_1[[Ausnet]:[United Energy]],MATCH("Single rate",OP_TotalRates_RES_1[[Rate name]:[Rate name]],0),MATCH(E$10,OP_TotalRates_RES_1[[#Headers],[Ausnet]:[United Energy]],0))*
INDEX(Input_Usage[],MATCH($D13&amp;" - Annual",Input_Usage[[Ref]:[Ref]],0),MATCH($D$7,Inputs!$C$147:$BA$147,0))),0)),0),
ROUNDUP(
(INDEX(OP_TotalRates_RES_1[[Ausnet]:[United Energy]],MATCH("TOU - supply",OP_TotalRates_RES_1[[Rate name]:[Rate name]],0),MATCH(E$10,OP_TotalRates_RES_1[[#Headers],[Ausnet]:[United Energy]],0))*_xlfn.SINGLE(DiY))+
(INDEX(OP_TotalRates_RES_1[[Ausnet]:[United Energy]],MATCH("Peak",OP_TotalRates_RES_1[[Rate name]:[Rate name]],0),MATCH(E$10,OP_TotalRates_RES_1[[#Headers],[Ausnet]:[United Energy]],0))*
INDEX(Input_Usage[],MATCH($D13&amp;" - Peak",Input_Usage[[Ref]:[Ref]],0),MATCH($D$7,Inputs!$C$147:$BA$147,0)))+
IFERROR((INDEX(OP_TotalRates_RES_1[[Ausnet]:[United Energy]],MATCH("TOU - Shoulder",OP_TotalRates_RES_1[[Rate name]:[Rate name]],0),MATCH(E$10,OP_TotalRates_RES_1[[#Headers],[Ausnet]:[United Energy]],0))*
INDEX(Input_Usage[],MATCH($D13&amp;" - Shoulder",Input_Usage[[Ref]:[Ref]],0),MATCH($D$7,Inputs!$C$147:$BA$147,0))),0)+
(INDEX(OP_TotalRates_RES_1[[Ausnet]:[United Energy]],MATCH("Off peak",OP_TotalRates_RES_1[[Rate name]:[Rate name]],0),MATCH(E$10,OP_TotalRates_RES_1[[#Headers],[Ausnet]:[United Energy]],0))*
INDEX(Input_Usage[],MATCH($D13&amp;" - Off peak",Input_Usage[[Ref]:[Ref]],0),MATCH($D$7,Inputs!$C$147:$BA$147,0))),0)),"-")</f>
        <v>3052</v>
      </c>
      <c r="F13" s="132">
        <f>IFERROR(
IF($D$7="VDO 2021 - Final",
ROUNDUP(
(INDEX(OP_TotalRates_RES_1[[Ausnet]:[United Energy]],MATCH("Anytime - supply",OP_TotalRates_RES_1[[Rate name]:[Rate name]],0),MATCH(F$10,OP_TotalRates_RES_1[[#Headers],[Ausnet]:[United Energy]],0))*_xlfn.SINGLE(DiY))+
(IFERROR((INDEX(OP_TotalRates_RES_1[[Ausnet]:[United Energy]],MATCH("Block 1",OP_TotalRates_RES_1[[Rate name]:[Rate name]],0),MATCH(F$10,OP_TotalRates_RES_1[[#Headers],[Ausnet]:[United Energy]],0))*
INDEX(Input_Usage[],MATCH($D13&amp;" - Block 1",Input_Usage[[Ref]:[Ref]],0),MATCH($D$7,Inputs!$C$147:$BA$147,0))),0)+
IFERROR((INDEX(OP_TotalRates_RES_1[[Ausnet]:[United Energy]],MATCH("Balance",OP_TotalRates_RES_1[[Rate name]:[Rate name]],0),MATCH(F$10,OP_TotalRates_RES_1[[#Headers],[Ausnet]:[United Energy]],0))*
INDEX(Input_Usage[],MATCH($D13&amp;" - Balance",Input_Usage[[Ref]:[Ref]],0),MATCH($D$7,Inputs!$C$147:$BA$147,0))),0)+
IFERROR((INDEX(OP_TotalRates_RES_1[[Ausnet]:[United Energy]],MATCH("Single rate",OP_TotalRates_RES_1[[Rate name]:[Rate name]],0),MATCH(F$10,OP_TotalRates_RES_1[[#Headers],[Ausnet]:[United Energy]],0))*
INDEX(Input_Usage[],MATCH($D13&amp;" - Annual",Input_Usage[[Ref]:[Ref]],0),MATCH($D$7,Inputs!$C$147:$BA$147,0))),0)),0),
ROUNDUP(
(INDEX(OP_TotalRates_RES_1[[Ausnet]:[United Energy]],MATCH("TOU - supply",OP_TotalRates_RES_1[[Rate name]:[Rate name]],0),MATCH(F$10,OP_TotalRates_RES_1[[#Headers],[Ausnet]:[United Energy]],0))*_xlfn.SINGLE(DiY))+
(INDEX(OP_TotalRates_RES_1[[Ausnet]:[United Energy]],MATCH("Peak",OP_TotalRates_RES_1[[Rate name]:[Rate name]],0),MATCH(F$10,OP_TotalRates_RES_1[[#Headers],[Ausnet]:[United Energy]],0))*
INDEX(Input_Usage[],MATCH($D13&amp;" - Peak",Input_Usage[[Ref]:[Ref]],0),MATCH($D$7,Inputs!$C$147:$BA$147,0)))+
IFERROR((INDEX(OP_TotalRates_RES_1[[Ausnet]:[United Energy]],MATCH("TOU - Shoulder",OP_TotalRates_RES_1[[Rate name]:[Rate name]],0),MATCH(F$10,OP_TotalRates_RES_1[[#Headers],[Ausnet]:[United Energy]],0))*
INDEX(Input_Usage[],MATCH($D13&amp;" - Shoulder",Input_Usage[[Ref]:[Ref]],0),MATCH($D$7,Inputs!$C$147:$BA$147,0))),0)+
(INDEX(OP_TotalRates_RES_1[[Ausnet]:[United Energy]],MATCH("Off peak",OP_TotalRates_RES_1[[Rate name]:[Rate name]],0),MATCH(F$10,OP_TotalRates_RES_1[[#Headers],[Ausnet]:[United Energy]],0))*
INDEX(Input_Usage[],MATCH($D13&amp;" - Off peak",Input_Usage[[Ref]:[Ref]],0),MATCH($D$7,Inputs!$C$147:$BA$147,0))),0)),"-")</f>
        <v>2479</v>
      </c>
      <c r="G13" s="132">
        <f>IFERROR(
IF($D$7="VDO 2021 - Final",
ROUNDUP(
(INDEX(OP_TotalRates_RES_1[[Ausnet]:[United Energy]],MATCH("Anytime - supply",OP_TotalRates_RES_1[[Rate name]:[Rate name]],0),MATCH(G$10,OP_TotalRates_RES_1[[#Headers],[Ausnet]:[United Energy]],0))*_xlfn.SINGLE(DiY))+
(IFERROR((INDEX(OP_TotalRates_RES_1[[Ausnet]:[United Energy]],MATCH("Block 1",OP_TotalRates_RES_1[[Rate name]:[Rate name]],0),MATCH(G$10,OP_TotalRates_RES_1[[#Headers],[Ausnet]:[United Energy]],0))*
INDEX(Input_Usage[],MATCH($D13&amp;" - Block 1",Input_Usage[[Ref]:[Ref]],0),MATCH($D$7,Inputs!$C$147:$BA$147,0))),0)+
IFERROR((INDEX(OP_TotalRates_RES_1[[Ausnet]:[United Energy]],MATCH("Balance",OP_TotalRates_RES_1[[Rate name]:[Rate name]],0),MATCH(G$10,OP_TotalRates_RES_1[[#Headers],[Ausnet]:[United Energy]],0))*
INDEX(Input_Usage[],MATCH($D13&amp;" - Balance",Input_Usage[[Ref]:[Ref]],0),MATCH($D$7,Inputs!$C$147:$BA$147,0))),0)+
IFERROR((INDEX(OP_TotalRates_RES_1[[Ausnet]:[United Energy]],MATCH("Single rate",OP_TotalRates_RES_1[[Rate name]:[Rate name]],0),MATCH(G$10,OP_TotalRates_RES_1[[#Headers],[Ausnet]:[United Energy]],0))*
INDEX(Input_Usage[],MATCH($D13&amp;" - Annual",Input_Usage[[Ref]:[Ref]],0),MATCH($D$7,Inputs!$C$147:$BA$147,0))),0)),0),
ROUNDUP(
(INDEX(OP_TotalRates_RES_1[[Ausnet]:[United Energy]],MATCH("TOU - supply",OP_TotalRates_RES_1[[Rate name]:[Rate name]],0),MATCH(G$10,OP_TotalRates_RES_1[[#Headers],[Ausnet]:[United Energy]],0))*_xlfn.SINGLE(DiY))+
(INDEX(OP_TotalRates_RES_1[[Ausnet]:[United Energy]],MATCH("Peak",OP_TotalRates_RES_1[[Rate name]:[Rate name]],0),MATCH(G$10,OP_TotalRates_RES_1[[#Headers],[Ausnet]:[United Energy]],0))*
INDEX(Input_Usage[],MATCH($D13&amp;" - Peak",Input_Usage[[Ref]:[Ref]],0),MATCH($D$7,Inputs!$C$147:$BA$147,0)))+
IFERROR((INDEX(OP_TotalRates_RES_1[[Ausnet]:[United Energy]],MATCH("TOU - Shoulder",OP_TotalRates_RES_1[[Rate name]:[Rate name]],0),MATCH(G$10,OP_TotalRates_RES_1[[#Headers],[Ausnet]:[United Energy]],0))*
INDEX(Input_Usage[],MATCH($D13&amp;" - Shoulder",Input_Usage[[Ref]:[Ref]],0),MATCH($D$7,Inputs!$C$147:$BA$147,0))),0)+
(INDEX(OP_TotalRates_RES_1[[Ausnet]:[United Energy]],MATCH("Off peak",OP_TotalRates_RES_1[[Rate name]:[Rate name]],0),MATCH(G$10,OP_TotalRates_RES_1[[#Headers],[Ausnet]:[United Energy]],0))*
INDEX(Input_Usage[],MATCH($D13&amp;" - Off peak",Input_Usage[[Ref]:[Ref]],0),MATCH($D$7,Inputs!$C$147:$BA$147,0))),0)),"-")</f>
        <v>2704</v>
      </c>
      <c r="H13" s="132">
        <f>IFERROR(
IF($D$7="VDO 2021 - Final",
ROUNDUP(
(INDEX(OP_TotalRates_RES_1[[Ausnet]:[United Energy]],MATCH("Anytime - supply",OP_TotalRates_RES_1[[Rate name]:[Rate name]],0),MATCH(H$10,OP_TotalRates_RES_1[[#Headers],[Ausnet]:[United Energy]],0))*_xlfn.SINGLE(DiY))+
(IFERROR((INDEX(OP_TotalRates_RES_1[[Ausnet]:[United Energy]],MATCH("Block 1",OP_TotalRates_RES_1[[Rate name]:[Rate name]],0),MATCH(H$10,OP_TotalRates_RES_1[[#Headers],[Ausnet]:[United Energy]],0))*
INDEX(Input_Usage[],MATCH($D13&amp;" - Block 1",Input_Usage[[Ref]:[Ref]],0),MATCH($D$7,Inputs!$C$147:$BA$147,0))),0)+
IFERROR((INDEX(OP_TotalRates_RES_1[[Ausnet]:[United Energy]],MATCH("Balance",OP_TotalRates_RES_1[[Rate name]:[Rate name]],0),MATCH(H$10,OP_TotalRates_RES_1[[#Headers],[Ausnet]:[United Energy]],0))*
INDEX(Input_Usage[],MATCH($D13&amp;" - Balance",Input_Usage[[Ref]:[Ref]],0),MATCH($D$7,Inputs!$C$147:$BA$147,0))),0)+
IFERROR((INDEX(OP_TotalRates_RES_1[[Ausnet]:[United Energy]],MATCH("Single rate",OP_TotalRates_RES_1[[Rate name]:[Rate name]],0),MATCH(H$10,OP_TotalRates_RES_1[[#Headers],[Ausnet]:[United Energy]],0))*
INDEX(Input_Usage[],MATCH($D13&amp;" - Annual",Input_Usage[[Ref]:[Ref]],0),MATCH($D$7,Inputs!$C$147:$BA$147,0))),0)),0),
ROUNDUP(
(INDEX(OP_TotalRates_RES_1[[Ausnet]:[United Energy]],MATCH("TOU - supply",OP_TotalRates_RES_1[[Rate name]:[Rate name]],0),MATCH(H$10,OP_TotalRates_RES_1[[#Headers],[Ausnet]:[United Energy]],0))*_xlfn.SINGLE(DiY))+
(INDEX(OP_TotalRates_RES_1[[Ausnet]:[United Energy]],MATCH("Peak",OP_TotalRates_RES_1[[Rate name]:[Rate name]],0),MATCH(H$10,OP_TotalRates_RES_1[[#Headers],[Ausnet]:[United Energy]],0))*
INDEX(Input_Usage[],MATCH($D13&amp;" - Peak",Input_Usage[[Ref]:[Ref]],0),MATCH($D$7,Inputs!$C$147:$BA$147,0)))+
IFERROR((INDEX(OP_TotalRates_RES_1[[Ausnet]:[United Energy]],MATCH("TOU - Shoulder",OP_TotalRates_RES_1[[Rate name]:[Rate name]],0),MATCH(H$10,OP_TotalRates_RES_1[[#Headers],[Ausnet]:[United Energy]],0))*
INDEX(Input_Usage[],MATCH($D13&amp;" - Shoulder",Input_Usage[[Ref]:[Ref]],0),MATCH($D$7,Inputs!$C$147:$BA$147,0))),0)+
(INDEX(OP_TotalRates_RES_1[[Ausnet]:[United Energy]],MATCH("Off peak",OP_TotalRates_RES_1[[Rate name]:[Rate name]],0),MATCH(H$10,OP_TotalRates_RES_1[[#Headers],[Ausnet]:[United Energy]],0))*
INDEX(Input_Usage[],MATCH($D13&amp;" - Off peak",Input_Usage[[Ref]:[Ref]],0),MATCH($D$7,Inputs!$C$147:$BA$147,0))),0)),"-")</f>
        <v>2833</v>
      </c>
      <c r="I13" s="132">
        <f>IFERROR(
IF($D$7="VDO 2021 - Final",
ROUNDUP(
(INDEX(OP_TotalRates_RES_1[[Ausnet]:[United Energy]],MATCH("Anytime - supply",OP_TotalRates_RES_1[[Rate name]:[Rate name]],0),MATCH(I$10,OP_TotalRates_RES_1[[#Headers],[Ausnet]:[United Energy]],0))*_xlfn.SINGLE(DiY))+
(IFERROR((INDEX(OP_TotalRates_RES_1[[Ausnet]:[United Energy]],MATCH("Block 1",OP_TotalRates_RES_1[[Rate name]:[Rate name]],0),MATCH(I$10,OP_TotalRates_RES_1[[#Headers],[Ausnet]:[United Energy]],0))*
INDEX(Input_Usage[],MATCH($D13&amp;" - Block 1",Input_Usage[[Ref]:[Ref]],0),MATCH($D$7,Inputs!$C$147:$BA$147,0))),0)+
IFERROR((INDEX(OP_TotalRates_RES_1[[Ausnet]:[United Energy]],MATCH("Balance",OP_TotalRates_RES_1[[Rate name]:[Rate name]],0),MATCH(I$10,OP_TotalRates_RES_1[[#Headers],[Ausnet]:[United Energy]],0))*
INDEX(Input_Usage[],MATCH($D13&amp;" - Balance",Input_Usage[[Ref]:[Ref]],0),MATCH($D$7,Inputs!$C$147:$BA$147,0))),0)+
IFERROR((INDEX(OP_TotalRates_RES_1[[Ausnet]:[United Energy]],MATCH("Single rate",OP_TotalRates_RES_1[[Rate name]:[Rate name]],0),MATCH(I$10,OP_TotalRates_RES_1[[#Headers],[Ausnet]:[United Energy]],0))*
INDEX(Input_Usage[],MATCH($D13&amp;" - Annual",Input_Usage[[Ref]:[Ref]],0),MATCH($D$7,Inputs!$C$147:$BA$147,0))),0)),0),
ROUNDUP(
(INDEX(OP_TotalRates_RES_1[[Ausnet]:[United Energy]],MATCH("TOU - supply",OP_TotalRates_RES_1[[Rate name]:[Rate name]],0),MATCH(I$10,OP_TotalRates_RES_1[[#Headers],[Ausnet]:[United Energy]],0))*_xlfn.SINGLE(DiY))+
(INDEX(OP_TotalRates_RES_1[[Ausnet]:[United Energy]],MATCH("Peak",OP_TotalRates_RES_1[[Rate name]:[Rate name]],0),MATCH(I$10,OP_TotalRates_RES_1[[#Headers],[Ausnet]:[United Energy]],0))*
INDEX(Input_Usage[],MATCH($D13&amp;" - Peak",Input_Usage[[Ref]:[Ref]],0),MATCH($D$7,Inputs!$C$147:$BA$147,0)))+
IFERROR((INDEX(OP_TotalRates_RES_1[[Ausnet]:[United Energy]],MATCH("TOU - Shoulder",OP_TotalRates_RES_1[[Rate name]:[Rate name]],0),MATCH(I$10,OP_TotalRates_RES_1[[#Headers],[Ausnet]:[United Energy]],0))*
INDEX(Input_Usage[],MATCH($D13&amp;" - Shoulder",Input_Usage[[Ref]:[Ref]],0),MATCH($D$7,Inputs!$C$147:$BA$147,0))),0)+
(INDEX(OP_TotalRates_RES_1[[Ausnet]:[United Energy]],MATCH("Off peak",OP_TotalRates_RES_1[[Rate name]:[Rate name]],0),MATCH(I$10,OP_TotalRates_RES_1[[#Headers],[Ausnet]:[United Energy]],0))*
INDEX(Input_Usage[],MATCH($D13&amp;" - Off peak",Input_Usage[[Ref]:[Ref]],0),MATCH($D$7,Inputs!$C$147:$BA$147,0))),0)),"-")</f>
        <v>2634</v>
      </c>
      <c r="K13" s="33" t="s">
        <v>67</v>
      </c>
      <c r="L13" s="33" t="s">
        <v>91</v>
      </c>
      <c r="M13" s="132">
        <f>IFERROR(
IF($D$7="VDO 2021 - Final",
ROUNDUP(
(INDEX(OP_TotalRates_SME_1[[Ausnet]:[United Energy]],MATCH("Anytime - supply",OP_TotalRates_SME_1[[Rate name]:[Rate name]],0),MATCH(M$10,OP_TotalRates_SME_1[[#Headers],[Ausnet]:[United Energy]],0))*_xlfn.SINGLE(DiY))+
(IFERROR((INDEX(OP_TotalRates_SME_1[[Ausnet]:[United Energy]],MATCH("Block 1",OP_TotalRates_SME_1[[Rate name]:[Rate name]],0),MATCH(M$10,OP_TotalRates_SME_1[[#Headers],[Ausnet]:[United Energy]],0))*
INDEX(Input_Usage[],MATCH($L13&amp;" - Block 1",Input_Usage[[Ref]:[Ref]],0),MATCH($D$7,Inputs!$C$147:$BA$147,0))),0)+
IFERROR((INDEX(OP_TotalRates_SME_1[[Ausnet]:[United Energy]],MATCH("Balance",OP_TotalRates_SME_1[[Rate name]:[Rate name]],0),MATCH(M$10,OP_TotalRates_SME_1[[#Headers],[Ausnet]:[United Energy]],0))*
INDEX(Input_Usage[],MATCH($L13&amp;" - Balance",Input_Usage[[Ref]:[Ref]],0),MATCH($D$7,Inputs!$C$147:$BA$147,0))),0)+
IFERROR((INDEX(OP_TotalRates_SME_1[[Ausnet]:[United Energy]],MATCH("Single rate",OP_TotalRates_SME_1[[Rate name]:[Rate name]],0),MATCH(M$10,OP_TotalRates_SME_1[[#Headers],[Ausnet]:[United Energy]],0))*
INDEX(Input_Usage[],MATCH($L13&amp;" - Annual",Input_Usage[[Ref]:[Ref]],0),MATCH($D$7,Inputs!$C$147:$BA$147,0))),0)),0),
ROUNDUP(
(INDEX(OP_TotalRates_SME_1[[Ausnet]:[United Energy]],MATCH("TOU - supply",OP_TotalRates_SME_1[[Rate name]:[Rate name]],0),MATCH(M$10,OP_TotalRates_SME_1[[#Headers],[Ausnet]:[United Energy]],0))*_xlfn.SINGLE(DiY))+
(INDEX(OP_TotalRates_SME_1[[Ausnet]:[United Energy]],MATCH("Peak",OP_TotalRates_SME_1[[Rate name]:[Rate name]],0),MATCH(M$10,OP_TotalRates_SME_1[[#Headers],[Ausnet]:[United Energy]],0))*
INDEX(Input_Usage[],MATCH($L13&amp;" - Peak",Input_Usage[[Ref]:[Ref]],0),MATCH($D$7,Inputs!$C$147:$BA$147,0)))+
IFERROR((INDEX(OP_TotalRates_SME_1[[Ausnet]:[United Energy]],MATCH("TOU - Shoulder",OP_TotalRates_SME_1[[Rate name]:[Rate name]],0),MATCH(M$10,OP_TotalRates_SME_1[[#Headers],[Ausnet]:[United Energy]],0))*
INDEX(Input_Usage[],MATCH($L13&amp;" - Shoulder",Input_Usage[[Ref]:[Ref]],0),MATCH($D$7,Inputs!$C$147:$BA$147,0))),0)+
(INDEX(OP_TotalRates_SME_1[[Ausnet]:[United Energy]],MATCH("Off peak",OP_TotalRates_SME_1[[Rate name]:[Rate name]],0),MATCH(M$10,OP_TotalRates_SME_1[[#Headers],[Ausnet]:[United Energy]],0))*
INDEX(Input_Usage[],MATCH($L13&amp;" - Off peak",Input_Usage[[Ref]:[Ref]],0),MATCH($D$7,Inputs!$C$147:$BA$147,0))),0)),"-")</f>
        <v>12683</v>
      </c>
      <c r="N13" s="132">
        <f>IFERROR(
IF($D$7="VDO 2021 - Final",
ROUNDUP(
(INDEX(OP_TotalRates_SME_1[[Ausnet]:[United Energy]],MATCH("Anytime - supply",OP_TotalRates_SME_1[[Rate name]:[Rate name]],0),MATCH(N$10,OP_TotalRates_SME_1[[#Headers],[Ausnet]:[United Energy]],0))*_xlfn.SINGLE(DiY))+
(IFERROR((INDEX(OP_TotalRates_SME_1[[Ausnet]:[United Energy]],MATCH("Block 1",OP_TotalRates_SME_1[[Rate name]:[Rate name]],0),MATCH(N$10,OP_TotalRates_SME_1[[#Headers],[Ausnet]:[United Energy]],0))*
INDEX(Input_Usage[],MATCH($L13&amp;" - Block 1",Input_Usage[[Ref]:[Ref]],0),MATCH($D$7,Inputs!$C$147:$BA$147,0))),0)+
IFERROR((INDEX(OP_TotalRates_SME_1[[Ausnet]:[United Energy]],MATCH("Balance",OP_TotalRates_SME_1[[Rate name]:[Rate name]],0),MATCH(N$10,OP_TotalRates_SME_1[[#Headers],[Ausnet]:[United Energy]],0))*
INDEX(Input_Usage[],MATCH($L13&amp;" - Balance",Input_Usage[[Ref]:[Ref]],0),MATCH($D$7,Inputs!$C$147:$BA$147,0))),0)+
IFERROR((INDEX(OP_TotalRates_SME_1[[Ausnet]:[United Energy]],MATCH("Single rate",OP_TotalRates_SME_1[[Rate name]:[Rate name]],0),MATCH(N$10,OP_TotalRates_SME_1[[#Headers],[Ausnet]:[United Energy]],0))*
INDEX(Input_Usage[],MATCH($L13&amp;" - Annual",Input_Usage[[Ref]:[Ref]],0),MATCH($D$7,Inputs!$C$147:$BA$147,0))),0)),0),
ROUNDUP(
(INDEX(OP_TotalRates_SME_1[[Ausnet]:[United Energy]],MATCH("TOU - supply",OP_TotalRates_SME_1[[Rate name]:[Rate name]],0),MATCH(N$10,OP_TotalRates_SME_1[[#Headers],[Ausnet]:[United Energy]],0))*_xlfn.SINGLE(DiY))+
(INDEX(OP_TotalRates_SME_1[[Ausnet]:[United Energy]],MATCH("Peak",OP_TotalRates_SME_1[[Rate name]:[Rate name]],0),MATCH(N$10,OP_TotalRates_SME_1[[#Headers],[Ausnet]:[United Energy]],0))*
INDEX(Input_Usage[],MATCH($L13&amp;" - Peak",Input_Usage[[Ref]:[Ref]],0),MATCH($D$7,Inputs!$C$147:$BA$147,0)))+
IFERROR((INDEX(OP_TotalRates_SME_1[[Ausnet]:[United Energy]],MATCH("TOU - Shoulder",OP_TotalRates_SME_1[[Rate name]:[Rate name]],0),MATCH(N$10,OP_TotalRates_SME_1[[#Headers],[Ausnet]:[United Energy]],0))*
INDEX(Input_Usage[],MATCH($L13&amp;" - Shoulder",Input_Usage[[Ref]:[Ref]],0),MATCH($D$7,Inputs!$C$147:$BA$147,0))),0)+
(INDEX(OP_TotalRates_SME_1[[Ausnet]:[United Energy]],MATCH("Off peak",OP_TotalRates_SME_1[[Rate name]:[Rate name]],0),MATCH(N$10,OP_TotalRates_SME_1[[#Headers],[Ausnet]:[United Energy]],0))*
INDEX(Input_Usage[],MATCH($L13&amp;" - Off peak",Input_Usage[[Ref]:[Ref]],0),MATCH($D$7,Inputs!$C$147:$BA$147,0))),0)),"-")</f>
        <v>10550</v>
      </c>
      <c r="O13" s="132">
        <f>IFERROR(
IF($D$7="VDO 2021 - Final",
ROUNDUP(
(INDEX(OP_TotalRates_SME_1[[Ausnet]:[United Energy]],MATCH("Anytime - supply",OP_TotalRates_SME_1[[Rate name]:[Rate name]],0),MATCH(O$10,OP_TotalRates_SME_1[[#Headers],[Ausnet]:[United Energy]],0))*_xlfn.SINGLE(DiY))+
(IFERROR((INDEX(OP_TotalRates_SME_1[[Ausnet]:[United Energy]],MATCH("Block 1",OP_TotalRates_SME_1[[Rate name]:[Rate name]],0),MATCH(O$10,OP_TotalRates_SME_1[[#Headers],[Ausnet]:[United Energy]],0))*
INDEX(Input_Usage[],MATCH($L13&amp;" - Block 1",Input_Usage[[Ref]:[Ref]],0),MATCH($D$7,Inputs!$C$147:$BA$147,0))),0)+
IFERROR((INDEX(OP_TotalRates_SME_1[[Ausnet]:[United Energy]],MATCH("Balance",OP_TotalRates_SME_1[[Rate name]:[Rate name]],0),MATCH(O$10,OP_TotalRates_SME_1[[#Headers],[Ausnet]:[United Energy]],0))*
INDEX(Input_Usage[],MATCH($L13&amp;" - Balance",Input_Usage[[Ref]:[Ref]],0),MATCH($D$7,Inputs!$C$147:$BA$147,0))),0)+
IFERROR((INDEX(OP_TotalRates_SME_1[[Ausnet]:[United Energy]],MATCH("Single rate",OP_TotalRates_SME_1[[Rate name]:[Rate name]],0),MATCH(O$10,OP_TotalRates_SME_1[[#Headers],[Ausnet]:[United Energy]],0))*
INDEX(Input_Usage[],MATCH($L13&amp;" - Annual",Input_Usage[[Ref]:[Ref]],0),MATCH($D$7,Inputs!$C$147:$BA$147,0))),0)),0),
ROUNDUP(
(INDEX(OP_TotalRates_SME_1[[Ausnet]:[United Energy]],MATCH("TOU - supply",OP_TotalRates_SME_1[[Rate name]:[Rate name]],0),MATCH(O$10,OP_TotalRates_SME_1[[#Headers],[Ausnet]:[United Energy]],0))*_xlfn.SINGLE(DiY))+
(INDEX(OP_TotalRates_SME_1[[Ausnet]:[United Energy]],MATCH("Peak",OP_TotalRates_SME_1[[Rate name]:[Rate name]],0),MATCH(O$10,OP_TotalRates_SME_1[[#Headers],[Ausnet]:[United Energy]],0))*
INDEX(Input_Usage[],MATCH($L13&amp;" - Peak",Input_Usage[[Ref]:[Ref]],0),MATCH($D$7,Inputs!$C$147:$BA$147,0)))+
IFERROR((INDEX(OP_TotalRates_SME_1[[Ausnet]:[United Energy]],MATCH("TOU - Shoulder",OP_TotalRates_SME_1[[Rate name]:[Rate name]],0),MATCH(O$10,OP_TotalRates_SME_1[[#Headers],[Ausnet]:[United Energy]],0))*
INDEX(Input_Usage[],MATCH($L13&amp;" - Shoulder",Input_Usage[[Ref]:[Ref]],0),MATCH($D$7,Inputs!$C$147:$BA$147,0))),0)+
(INDEX(OP_TotalRates_SME_1[[Ausnet]:[United Energy]],MATCH("Off peak",OP_TotalRates_SME_1[[Rate name]:[Rate name]],0),MATCH(O$10,OP_TotalRates_SME_1[[#Headers],[Ausnet]:[United Energy]],0))*
INDEX(Input_Usage[],MATCH($L13&amp;" - Off peak",Input_Usage[[Ref]:[Ref]],0),MATCH($D$7,Inputs!$C$147:$BA$147,0))),0)),"-")</f>
        <v>11665</v>
      </c>
      <c r="P13" s="132">
        <f>IFERROR(
IF($D$7="VDO 2021 - Final",
ROUNDUP(
(INDEX(OP_TotalRates_SME_1[[Ausnet]:[United Energy]],MATCH("Anytime - supply",OP_TotalRates_SME_1[[Rate name]:[Rate name]],0),MATCH(P$10,OP_TotalRates_SME_1[[#Headers],[Ausnet]:[United Energy]],0))*_xlfn.SINGLE(DiY))+
(IFERROR((INDEX(OP_TotalRates_SME_1[[Ausnet]:[United Energy]],MATCH("Block 1",OP_TotalRates_SME_1[[Rate name]:[Rate name]],0),MATCH(P$10,OP_TotalRates_SME_1[[#Headers],[Ausnet]:[United Energy]],0))*
INDEX(Input_Usage[],MATCH($L13&amp;" - Block 1",Input_Usage[[Ref]:[Ref]],0),MATCH($D$7,Inputs!$C$147:$BA$147,0))),0)+
IFERROR((INDEX(OP_TotalRates_SME_1[[Ausnet]:[United Energy]],MATCH("Balance",OP_TotalRates_SME_1[[Rate name]:[Rate name]],0),MATCH(P$10,OP_TotalRates_SME_1[[#Headers],[Ausnet]:[United Energy]],0))*
INDEX(Input_Usage[],MATCH($L13&amp;" - Balance",Input_Usage[[Ref]:[Ref]],0),MATCH($D$7,Inputs!$C$147:$BA$147,0))),0)+
IFERROR((INDEX(OP_TotalRates_SME_1[[Ausnet]:[United Energy]],MATCH("Single rate",OP_TotalRates_SME_1[[Rate name]:[Rate name]],0),MATCH(P$10,OP_TotalRates_SME_1[[#Headers],[Ausnet]:[United Energy]],0))*
INDEX(Input_Usage[],MATCH($L13&amp;" - Annual",Input_Usage[[Ref]:[Ref]],0),MATCH($D$7,Inputs!$C$147:$BA$147,0))),0)),0),
ROUNDUP(
(INDEX(OP_TotalRates_SME_1[[Ausnet]:[United Energy]],MATCH("TOU - supply",OP_TotalRates_SME_1[[Rate name]:[Rate name]],0),MATCH(P$10,OP_TotalRates_SME_1[[#Headers],[Ausnet]:[United Energy]],0))*_xlfn.SINGLE(DiY))+
(INDEX(OP_TotalRates_SME_1[[Ausnet]:[United Energy]],MATCH("Peak",OP_TotalRates_SME_1[[Rate name]:[Rate name]],0),MATCH(P$10,OP_TotalRates_SME_1[[#Headers],[Ausnet]:[United Energy]],0))*
INDEX(Input_Usage[],MATCH($L13&amp;" - Peak",Input_Usage[[Ref]:[Ref]],0),MATCH($D$7,Inputs!$C$147:$BA$147,0)))+
IFERROR((INDEX(OP_TotalRates_SME_1[[Ausnet]:[United Energy]],MATCH("TOU - Shoulder",OP_TotalRates_SME_1[[Rate name]:[Rate name]],0),MATCH(P$10,OP_TotalRates_SME_1[[#Headers],[Ausnet]:[United Energy]],0))*
INDEX(Input_Usage[],MATCH($L13&amp;" - Shoulder",Input_Usage[[Ref]:[Ref]],0),MATCH($D$7,Inputs!$C$147:$BA$147,0))),0)+
(INDEX(OP_TotalRates_SME_1[[Ausnet]:[United Energy]],MATCH("Off peak",OP_TotalRates_SME_1[[Rate name]:[Rate name]],0),MATCH(P$10,OP_TotalRates_SME_1[[#Headers],[Ausnet]:[United Energy]],0))*
INDEX(Input_Usage[],MATCH($L13&amp;" - Off peak",Input_Usage[[Ref]:[Ref]],0),MATCH($D$7,Inputs!$C$147:$BA$147,0))),0)),"-")</f>
        <v>12036</v>
      </c>
      <c r="Q13" s="132">
        <f>IFERROR(
IF($D$7="VDO 2021 - Final",
ROUNDUP(
(INDEX(OP_TotalRates_SME_1[[Ausnet]:[United Energy]],MATCH("Anytime - supply",OP_TotalRates_SME_1[[Rate name]:[Rate name]],0),MATCH(Q$10,OP_TotalRates_SME_1[[#Headers],[Ausnet]:[United Energy]],0))*_xlfn.SINGLE(DiY))+
(IFERROR((INDEX(OP_TotalRates_SME_1[[Ausnet]:[United Energy]],MATCH("Block 1",OP_TotalRates_SME_1[[Rate name]:[Rate name]],0),MATCH(Q$10,OP_TotalRates_SME_1[[#Headers],[Ausnet]:[United Energy]],0))*
INDEX(Input_Usage[],MATCH($L13&amp;" - Block 1",Input_Usage[[Ref]:[Ref]],0),MATCH($D$7,Inputs!$C$147:$BA$147,0))),0)+
IFERROR((INDEX(OP_TotalRates_SME_1[[Ausnet]:[United Energy]],MATCH("Balance",OP_TotalRates_SME_1[[Rate name]:[Rate name]],0),MATCH(Q$10,OP_TotalRates_SME_1[[#Headers],[Ausnet]:[United Energy]],0))*
INDEX(Input_Usage[],MATCH($L13&amp;" - Balance",Input_Usage[[Ref]:[Ref]],0),MATCH($D$7,Inputs!$C$147:$BA$147,0))),0)+
IFERROR((INDEX(OP_TotalRates_SME_1[[Ausnet]:[United Energy]],MATCH("Single rate",OP_TotalRates_SME_1[[Rate name]:[Rate name]],0),MATCH(Q$10,OP_TotalRates_SME_1[[#Headers],[Ausnet]:[United Energy]],0))*
INDEX(Input_Usage[],MATCH($L13&amp;" - Annual",Input_Usage[[Ref]:[Ref]],0),MATCH($D$7,Inputs!$C$147:$BA$147,0))),0)),0),
ROUNDUP(
(INDEX(OP_TotalRates_SME_1[[Ausnet]:[United Energy]],MATCH("TOU - supply",OP_TotalRates_SME_1[[Rate name]:[Rate name]],0),MATCH(Q$10,OP_TotalRates_SME_1[[#Headers],[Ausnet]:[United Energy]],0))*_xlfn.SINGLE(DiY))+
(INDEX(OP_TotalRates_SME_1[[Ausnet]:[United Energy]],MATCH("Peak",OP_TotalRates_SME_1[[Rate name]:[Rate name]],0),MATCH(Q$10,OP_TotalRates_SME_1[[#Headers],[Ausnet]:[United Energy]],0))*
INDEX(Input_Usage[],MATCH($L13&amp;" - Peak",Input_Usage[[Ref]:[Ref]],0),MATCH($D$7,Inputs!$C$147:$BA$147,0)))+
IFERROR((INDEX(OP_TotalRates_SME_1[[Ausnet]:[United Energy]],MATCH("TOU - Shoulder",OP_TotalRates_SME_1[[Rate name]:[Rate name]],0),MATCH(Q$10,OP_TotalRates_SME_1[[#Headers],[Ausnet]:[United Energy]],0))*
INDEX(Input_Usage[],MATCH($L13&amp;" - Shoulder",Input_Usage[[Ref]:[Ref]],0),MATCH($D$7,Inputs!$C$147:$BA$147,0))),0)+
(INDEX(OP_TotalRates_SME_1[[Ausnet]:[United Energy]],MATCH("Off peak",OP_TotalRates_SME_1[[Rate name]:[Rate name]],0),MATCH(Q$10,OP_TotalRates_SME_1[[#Headers],[Ausnet]:[United Energy]],0))*
INDEX(Input_Usage[],MATCH($L13&amp;" - Off peak",Input_Usage[[Ref]:[Ref]],0),MATCH($D$7,Inputs!$C$147:$BA$147,0))),0)),"-")</f>
        <v>11254</v>
      </c>
    </row>
    <row r="15" spans="1:18" ht="15.75" hidden="1" x14ac:dyDescent="0.25">
      <c r="E15" s="215" cm="1">
        <f t="array" ref="E15">IF($D$21="VDO 2021 - Final",
IF(E11=
ROUNDUP(
(INDEX(OP_TotalRates_RES_1[[Ausnet]:[United Energy]],MATCH("Anytime - supply",OP_TotalRates_RES_1[Rate name],0),MATCH(E$10,OP_TotalRates_RES_1[[#Headers],[Ausnet]:[United Energy]],0))*DiY)+
(IFERROR((INDEX(OP_TotalRates_RES_1[[Ausnet]:[United Energy]],MATCH("Block 1",OP_TotalRates_RES_1[Rate name],0),MATCH(E$10,OP_TotalRates_RES_1[[#Headers],[Ausnet]:[United Energy]],0))*
INDEX(Input_Usage[],MATCH($D11&amp;" - Block 1",Input_Usage[Ref],0),MATCH($D$21,Inputs!$C$147:$BA$147,0))),0)+
IFERROR((INDEX(OP_TotalRates_RES_1[[Ausnet]:[United Energy]],MATCH("Balance",OP_TotalRates_RES_1[Rate name],0),MATCH(E$10,OP_TotalRates_RES_1[[#Headers],[Ausnet]:[United Energy]],0))*
INDEX(Input_Usage[],MATCH($D11&amp;" - Balance",Input_Usage[Ref],0),MATCH($D$21,Inputs!$C$147:$BA$147,0))),0)+
IFERROR((INDEX(OP_TotalRates_RES_1[[Ausnet]:[United Energy]],MATCH("Single rate",OP_TotalRates_RES_1[Rate name],0),MATCH(E$10,OP_TotalRates_RES_1[[#Headers],[Ausnet]:[United Energy]],0))*
INDEX(Input_Usage[],MATCH($D11&amp;" - Annual",Input_Usage[Ref],0),MATCH($D$21,Inputs!$C$147:$BA$147,0))),0)),0),0,1),
IF(E11=
ROUNDUP(
(INDEX(OP_TotalRates_RES_1[[Ausnet]:[United Energy]],MATCH("TOU - supply",OP_TotalRates_RES_1[Rate name],0),MATCH(E$10,OP_TotalRates_RES_1[[#Headers],[Ausnet]:[United Energy]],0))*DiY)+
(INDEX(OP_TotalRates_RES_1[[Ausnet]:[United Energy]],MATCH("Peak",OP_TotalRates_RES_1[Rate name],0),MATCH(E$10,OP_TotalRates_RES_1[[#Headers],[Ausnet]:[United Energy]],0))*
INDEX(Input_Usage[],MATCH($D11&amp;" - Peak",Input_Usage[Profile name]&amp;" - "&amp;Input_Usage[Usage type],0),MATCH($D$21,Inputs!$C$147:$BA$147,0)))+
IFERROR((INDEX(OP_TotalRates_RES_1[[Ausnet]:[United Energy]],MATCH("TOU - Shoulder",OP_TotalRates_RES_1[Rate name],0),MATCH(E$10,OP_TotalRates_RES_1[[#Headers],[Ausnet]:[United Energy]],0))*
INDEX(Input_Usage[],MATCH($D11&amp;" - Shoulder",Input_Usage[Profile name]&amp;" - "&amp;Input_Usage[Usage type],0),MATCH($D$21,Inputs!$C$147:$BA$147,0))),0)+
(INDEX(OP_TotalRates_RES_1[[Ausnet]:[United Energy]],MATCH("Off peak",OP_TotalRates_RES_1[Rate name],0),MATCH(E$10,OP_TotalRates_RES_1[[#Headers],[Ausnet]:[United Energy]],0))*
INDEX(Input_Usage[],MATCH($D11&amp;" - Off peak",Input_Usage[Profile name]&amp;" - "&amp;Input_Usage[Usage type],0),MATCH($D$21,Inputs!$C$147:$BA$147,0))),0),0,1))</f>
        <v>0</v>
      </c>
      <c r="F15" s="215" cm="1">
        <f t="array" ref="F15">IF($D$21="VDO 2021 - Final",
IF(F11=
ROUNDUP(
(INDEX(OP_TotalRates_RES_1[[Ausnet]:[United Energy]],MATCH("Anytime - supply",OP_TotalRates_RES_1[Rate name],0),MATCH(F$10,OP_TotalRates_RES_1[[#Headers],[Ausnet]:[United Energy]],0))*DiY)+
(IFERROR((INDEX(OP_TotalRates_RES_1[[Ausnet]:[United Energy]],MATCH("Block 1",OP_TotalRates_RES_1[Rate name],0),MATCH(F$10,OP_TotalRates_RES_1[[#Headers],[Ausnet]:[United Energy]],0))*
INDEX(Input_Usage[],MATCH($D11&amp;" - Block 1",Input_Usage[Ref],0),MATCH($D$21,Inputs!$C$147:$BA$147,0))),0)+
IFERROR((INDEX(OP_TotalRates_RES_1[[Ausnet]:[United Energy]],MATCH("Balance",OP_TotalRates_RES_1[Rate name],0),MATCH(F$10,OP_TotalRates_RES_1[[#Headers],[Ausnet]:[United Energy]],0))*
INDEX(Input_Usage[],MATCH($D11&amp;" - Balance",Input_Usage[Ref],0),MATCH($D$21,Inputs!$C$147:$BA$147,0))),0)+
IFERROR((INDEX(OP_TotalRates_RES_1[[Ausnet]:[United Energy]],MATCH("Single rate",OP_TotalRates_RES_1[Rate name],0),MATCH(F$10,OP_TotalRates_RES_1[[#Headers],[Ausnet]:[United Energy]],0))*
INDEX(Input_Usage[],MATCH($D11&amp;" - Annual",Input_Usage[Ref],0),MATCH($D$21,Inputs!$C$147:$BA$147,0))),0)),0),0,1),
IF(F11=
ROUNDUP(
(INDEX(OP_TotalRates_RES_1[[Ausnet]:[United Energy]],MATCH("TOU - supply",OP_TotalRates_RES_1[Rate name],0),MATCH(F$10,OP_TotalRates_RES_1[[#Headers],[Ausnet]:[United Energy]],0))*DiY)+
(INDEX(OP_TotalRates_RES_1[[Ausnet]:[United Energy]],MATCH("Peak",OP_TotalRates_RES_1[Rate name],0),MATCH(F$10,OP_TotalRates_RES_1[[#Headers],[Ausnet]:[United Energy]],0))*
INDEX(Input_Usage[],MATCH($D11&amp;" - Peak",Input_Usage[Profile name]&amp;" - "&amp;Input_Usage[Usage type],0),MATCH($D$21,Inputs!$C$147:$BA$147,0)))+
IFERROR((INDEX(OP_TotalRates_RES_1[[Ausnet]:[United Energy]],MATCH("TOU - Shoulder",OP_TotalRates_RES_1[Rate name],0),MATCH(F$10,OP_TotalRates_RES_1[[#Headers],[Ausnet]:[United Energy]],0))*
INDEX(Input_Usage[],MATCH($D11&amp;" - Shoulder",Input_Usage[Profile name]&amp;" - "&amp;Input_Usage[Usage type],0),MATCH($D$21,Inputs!$C$147:$BA$147,0))),0)+
(INDEX(OP_TotalRates_RES_1[[Ausnet]:[United Energy]],MATCH("Off peak",OP_TotalRates_RES_1[Rate name],0),MATCH(F$10,OP_TotalRates_RES_1[[#Headers],[Ausnet]:[United Energy]],0))*
INDEX(Input_Usage[],MATCH($D11&amp;" - Off peak",Input_Usage[Profile name]&amp;" - "&amp;Input_Usage[Usage type],0),MATCH($D$21,Inputs!$C$147:$BA$147,0))),0),0,1))</f>
        <v>0</v>
      </c>
      <c r="G15" s="215" cm="1">
        <f t="array" ref="G15">IF($D$21="VDO 2021 - Final",
IF(G11=
ROUNDUP(
(INDEX(OP_TotalRates_RES_1[[Ausnet]:[United Energy]],MATCH("Anytime - supply",OP_TotalRates_RES_1[Rate name],0),MATCH(G$10,OP_TotalRates_RES_1[[#Headers],[Ausnet]:[United Energy]],0))*DiY)+
(IFERROR((INDEX(OP_TotalRates_RES_1[[Ausnet]:[United Energy]],MATCH("Block 1",OP_TotalRates_RES_1[Rate name],0),MATCH(G$10,OP_TotalRates_RES_1[[#Headers],[Ausnet]:[United Energy]],0))*
INDEX(Input_Usage[],MATCH($D11&amp;" - Block 1",Input_Usage[Ref],0),MATCH($D$21,Inputs!$C$147:$BA$147,0))),0)+
IFERROR((INDEX(OP_TotalRates_RES_1[[Ausnet]:[United Energy]],MATCH("Balance",OP_TotalRates_RES_1[Rate name],0),MATCH(G$10,OP_TotalRates_RES_1[[#Headers],[Ausnet]:[United Energy]],0))*
INDEX(Input_Usage[],MATCH($D11&amp;" - Balance",Input_Usage[Ref],0),MATCH($D$21,Inputs!$C$147:$BA$147,0))),0)+
IFERROR((INDEX(OP_TotalRates_RES_1[[Ausnet]:[United Energy]],MATCH("Single rate",OP_TotalRates_RES_1[Rate name],0),MATCH(G$10,OP_TotalRates_RES_1[[#Headers],[Ausnet]:[United Energy]],0))*
INDEX(Input_Usage[],MATCH($D11&amp;" - Annual",Input_Usage[Ref],0),MATCH($D$21,Inputs!$C$147:$BA$147,0))),0)),0),0,1),
IF(G11=
ROUNDUP(
(INDEX(OP_TotalRates_RES_1[[Ausnet]:[United Energy]],MATCH("TOU - supply",OP_TotalRates_RES_1[Rate name],0),MATCH(G$10,OP_TotalRates_RES_1[[#Headers],[Ausnet]:[United Energy]],0))*DiY)+
(INDEX(OP_TotalRates_RES_1[[Ausnet]:[United Energy]],MATCH("Peak",OP_TotalRates_RES_1[Rate name],0),MATCH(G$10,OP_TotalRates_RES_1[[#Headers],[Ausnet]:[United Energy]],0))*
INDEX(Input_Usage[],MATCH($D11&amp;" - Peak",Input_Usage[Profile name]&amp;" - "&amp;Input_Usage[Usage type],0),MATCH($D$21,Inputs!$C$147:$BA$147,0)))+
IFERROR((INDEX(OP_TotalRates_RES_1[[Ausnet]:[United Energy]],MATCH("TOU - Shoulder",OP_TotalRates_RES_1[Rate name],0),MATCH(G$10,OP_TotalRates_RES_1[[#Headers],[Ausnet]:[United Energy]],0))*
INDEX(Input_Usage[],MATCH($D11&amp;" - Shoulder",Input_Usage[Profile name]&amp;" - "&amp;Input_Usage[Usage type],0),MATCH($D$21,Inputs!$C$147:$BA$147,0))),0)+
(INDEX(OP_TotalRates_RES_1[[Ausnet]:[United Energy]],MATCH("Off peak",OP_TotalRates_RES_1[Rate name],0),MATCH(G$10,OP_TotalRates_RES_1[[#Headers],[Ausnet]:[United Energy]],0))*
INDEX(Input_Usage[],MATCH($D11&amp;" - Off peak",Input_Usage[Profile name]&amp;" - "&amp;Input_Usage[Usage type],0),MATCH($D$21,Inputs!$C$147:$BA$147,0))),0),0,1))</f>
        <v>0</v>
      </c>
      <c r="H15" s="215" cm="1">
        <f t="array" ref="H15">IF($D$21="VDO 2021 - Final",
IF(H11=
ROUNDUP(
(INDEX(OP_TotalRates_RES_1[[Ausnet]:[United Energy]],MATCH("Anytime - supply",OP_TotalRates_RES_1[Rate name],0),MATCH(H$10,OP_TotalRates_RES_1[[#Headers],[Ausnet]:[United Energy]],0))*DiY)+
(IFERROR((INDEX(OP_TotalRates_RES_1[[Ausnet]:[United Energy]],MATCH("Block 1",OP_TotalRates_RES_1[Rate name],0),MATCH(H$10,OP_TotalRates_RES_1[[#Headers],[Ausnet]:[United Energy]],0))*
INDEX(Input_Usage[],MATCH($D11&amp;" - Block 1",Input_Usage[Ref],0),MATCH($D$21,Inputs!$C$147:$BA$147,0))),0)+
IFERROR((INDEX(OP_TotalRates_RES_1[[Ausnet]:[United Energy]],MATCH("Balance",OP_TotalRates_RES_1[Rate name],0),MATCH(H$10,OP_TotalRates_RES_1[[#Headers],[Ausnet]:[United Energy]],0))*
INDEX(Input_Usage[],MATCH($D11&amp;" - Balance",Input_Usage[Ref],0),MATCH($D$21,Inputs!$C$147:$BA$147,0))),0)+
IFERROR((INDEX(OP_TotalRates_RES_1[[Ausnet]:[United Energy]],MATCH("Single rate",OP_TotalRates_RES_1[Rate name],0),MATCH(H$10,OP_TotalRates_RES_1[[#Headers],[Ausnet]:[United Energy]],0))*
INDEX(Input_Usage[],MATCH($D11&amp;" - Annual",Input_Usage[Ref],0),MATCH($D$21,Inputs!$C$147:$BA$147,0))),0)),0),0,1),
IF(H11=
ROUNDUP(
(INDEX(OP_TotalRates_RES_1[[Ausnet]:[United Energy]],MATCH("TOU - supply",OP_TotalRates_RES_1[Rate name],0),MATCH(H$10,OP_TotalRates_RES_1[[#Headers],[Ausnet]:[United Energy]],0))*DiY)+
(INDEX(OP_TotalRates_RES_1[[Ausnet]:[United Energy]],MATCH("Peak",OP_TotalRates_RES_1[Rate name],0),MATCH(H$10,OP_TotalRates_RES_1[[#Headers],[Ausnet]:[United Energy]],0))*
INDEX(Input_Usage[],MATCH($D11&amp;" - Peak",Input_Usage[Profile name]&amp;" - "&amp;Input_Usage[Usage type],0),MATCH($D$21,Inputs!$C$147:$BA$147,0)))+
IFERROR((INDEX(OP_TotalRates_RES_1[[Ausnet]:[United Energy]],MATCH("TOU - Shoulder",OP_TotalRates_RES_1[Rate name],0),MATCH(H$10,OP_TotalRates_RES_1[[#Headers],[Ausnet]:[United Energy]],0))*
INDEX(Input_Usage[],MATCH($D11&amp;" - Shoulder",Input_Usage[Profile name]&amp;" - "&amp;Input_Usage[Usage type],0),MATCH($D$21,Inputs!$C$147:$BA$147,0))),0)+
(INDEX(OP_TotalRates_RES_1[[Ausnet]:[United Energy]],MATCH("Off peak",OP_TotalRates_RES_1[Rate name],0),MATCH(H$10,OP_TotalRates_RES_1[[#Headers],[Ausnet]:[United Energy]],0))*
INDEX(Input_Usage[],MATCH($D11&amp;" - Off peak",Input_Usage[Profile name]&amp;" - "&amp;Input_Usage[Usage type],0),MATCH($D$21,Inputs!$C$147:$BA$147,0))),0),0,1))</f>
        <v>0</v>
      </c>
      <c r="I15" s="215" cm="1">
        <f t="array" ref="I15">IF($D$21="VDO 2021 - Final",
IF(I11=
ROUNDUP(
(INDEX(OP_TotalRates_RES_1[[Ausnet]:[United Energy]],MATCH("Anytime - supply",OP_TotalRates_RES_1[Rate name],0),MATCH(I$10,OP_TotalRates_RES_1[[#Headers],[Ausnet]:[United Energy]],0))*DiY)+
(IFERROR((INDEX(OP_TotalRates_RES_1[[Ausnet]:[United Energy]],MATCH("Block 1",OP_TotalRates_RES_1[Rate name],0),MATCH(I$10,OP_TotalRates_RES_1[[#Headers],[Ausnet]:[United Energy]],0))*
INDEX(Input_Usage[],MATCH($D11&amp;" - Block 1",Input_Usage[Ref],0),MATCH($D$21,Inputs!$C$147:$BA$147,0))),0)+
IFERROR((INDEX(OP_TotalRates_RES_1[[Ausnet]:[United Energy]],MATCH("Balance",OP_TotalRates_RES_1[Rate name],0),MATCH(I$10,OP_TotalRates_RES_1[[#Headers],[Ausnet]:[United Energy]],0))*
INDEX(Input_Usage[],MATCH($D11&amp;" - Balance",Input_Usage[Ref],0),MATCH($D$21,Inputs!$C$147:$BA$147,0))),0)+
IFERROR((INDEX(OP_TotalRates_RES_1[[Ausnet]:[United Energy]],MATCH("Single rate",OP_TotalRates_RES_1[Rate name],0),MATCH(I$10,OP_TotalRates_RES_1[[#Headers],[Ausnet]:[United Energy]],0))*
INDEX(Input_Usage[],MATCH($D11&amp;" - Annual",Input_Usage[Ref],0),MATCH($D$21,Inputs!$C$147:$BA$147,0))),0)),0),0,1),
IF(I11=
ROUNDUP(
(INDEX(OP_TotalRates_RES_1[[Ausnet]:[United Energy]],MATCH("TOU - supply",OP_TotalRates_RES_1[Rate name],0),MATCH(I$10,OP_TotalRates_RES_1[[#Headers],[Ausnet]:[United Energy]],0))*DiY)+
(INDEX(OP_TotalRates_RES_1[[Ausnet]:[United Energy]],MATCH("Peak",OP_TotalRates_RES_1[Rate name],0),MATCH(I$10,OP_TotalRates_RES_1[[#Headers],[Ausnet]:[United Energy]],0))*
INDEX(Input_Usage[],MATCH($D11&amp;" - Peak",Input_Usage[Profile name]&amp;" - "&amp;Input_Usage[Usage type],0),MATCH($D$21,Inputs!$C$147:$BA$147,0)))+
IFERROR((INDEX(OP_TotalRates_RES_1[[Ausnet]:[United Energy]],MATCH("TOU - Shoulder",OP_TotalRates_RES_1[Rate name],0),MATCH(I$10,OP_TotalRates_RES_1[[#Headers],[Ausnet]:[United Energy]],0))*
INDEX(Input_Usage[],MATCH($D11&amp;" - Shoulder",Input_Usage[Profile name]&amp;" - "&amp;Input_Usage[Usage type],0),MATCH($D$21,Inputs!$C$147:$BA$147,0))),0)+
(INDEX(OP_TotalRates_RES_1[[Ausnet]:[United Energy]],MATCH("Off peak",OP_TotalRates_RES_1[Rate name],0),MATCH(I$10,OP_TotalRates_RES_1[[#Headers],[Ausnet]:[United Energy]],0))*
INDEX(Input_Usage[],MATCH($D11&amp;" - Off peak",Input_Usage[Profile name]&amp;" - "&amp;Input_Usage[Usage type],0),MATCH($D$21,Inputs!$C$147:$BA$147,0))),0),0,1))</f>
        <v>0</v>
      </c>
      <c r="M15" s="215" cm="1">
        <f t="array" ref="M15">IF($D$21="VDO 2021 - Final",
IF(M11=
ROUNDUP(
(INDEX(OP_TotalRates_SME_1[[Ausnet]:[United Energy]],MATCH("Anytime - supply",OP_TotalRates_SME_1[Rate name],0),MATCH(M$24,OP_TotalRates_SME_1[[#Headers],[Ausnet]:[United Energy]],0))*DiY)+
(IFERROR((INDEX(OP_TotalRates_SME_1[[Ausnet]:[United Energy]],MATCH("Block 1",OP_TotalRates_SME_1[Rate name],0),MATCH(M$24,OP_TotalRates_SME_1[[#Headers],[Ausnet]:[United Energy]],0))*
INDEX(Input_Usage[],MATCH($L11&amp;" - Block 1",Input_Usage[Profile name]&amp;" - "&amp;Input_Usage[Usage type],0),MATCH($D$21,Inputs!$C$147:$BA$147,0))),0)+
IFERROR((INDEX(OP_TotalRates_SME_1[[Ausnet]:[United Energy]],MATCH("Balance",OP_TotalRates_SME_1[Rate name],0),MATCH(M$24,OP_TotalRates_SME_1[[#Headers],[Ausnet]:[United Energy]],0))*
INDEX(Input_Usage[],MATCH($L11&amp;" - Balance",Input_Usage[Profile name]&amp;" - "&amp;Input_Usage[Usage type],0),MATCH($D$21,Inputs!$C$147:$BA$147,0))),0)+
IFERROR((INDEX(OP_TotalRates_SME_1[[Ausnet]:[United Energy]],MATCH("Single rate",OP_TotalRates_SME_1[Rate name],0),MATCH(M$24,OP_TotalRates_SME_1[[#Headers],[Ausnet]:[United Energy]],0))*
INDEX(Input_Usage[],MATCH($L11&amp;" - Annual",Input_Usage[Profile name]&amp;" - "&amp;Input_Usage[Usage type],0),MATCH($D$21,Inputs!$C$147:$BA$147,0))),0)),0),0,1),
IF(M11=
ROUNDUP(
(INDEX(OP_TotalRates_SME_1[[Ausnet]:[United Energy]],MATCH("TOU - supply",OP_TotalRates_SME_1[Rate name],0),MATCH(M$24,OP_TotalRates_SME_1[[#Headers],[Ausnet]:[United Energy]],0))*DiY)+
(INDEX(OP_TotalRates_SME_1[[Ausnet]:[United Energy]],MATCH("Peak",OP_TotalRates_SME_1[Rate name],0),MATCH(M$24,OP_TotalRates_SME_1[[#Headers],[Ausnet]:[United Energy]],0))*
INDEX(Input_Usage[],MATCH($L11&amp;" - Peak",Input_Usage[Profile name]&amp;" - "&amp;Input_Usage[Usage type],0),MATCH($D$21,Inputs!$C$147:$BA$147,0)))+
IFERROR((INDEX(OP_TotalRates_SME_1[[Ausnet]:[United Energy]],MATCH("TOU - Shoulder",OP_TotalRates_SME_1[Rate name],0),MATCH(M$24,OP_TotalRates_SME_1[[#Headers],[Ausnet]:[United Energy]],0))*
INDEX(Input_Usage[],MATCH($L11&amp;" - Shoulder",Input_Usage[Profile name]&amp;" - "&amp;Input_Usage[Usage type],0),MATCH($D$21,Inputs!$C$147:$BA$147,0))),0)+
(INDEX(OP_TotalRates_SME_1[[Ausnet]:[United Energy]],MATCH("Off peak",OP_TotalRates_SME_1[Rate name],0),MATCH(M$24,OP_TotalRates_SME_1[[#Headers],[Ausnet]:[United Energy]],0))*
INDEX(Input_Usage[],MATCH($L11&amp;" - Off peak",Input_Usage[Profile name]&amp;" - "&amp;Input_Usage[Usage type],0),MATCH($D$21,Inputs!$C$147:$BA$147,0))),0),0,1))</f>
        <v>0</v>
      </c>
      <c r="N15" s="215" cm="1">
        <f t="array" ref="N15">IF($D$21="VDO 2021 - Final",
IF(N11=
ROUNDUP(
(INDEX(OP_TotalRates_SME_1[[Ausnet]:[United Energy]],MATCH("Anytime - supply",OP_TotalRates_SME_1[Rate name],0),MATCH(N$24,OP_TotalRates_SME_1[[#Headers],[Ausnet]:[United Energy]],0))*DiY)+
(IFERROR((INDEX(OP_TotalRates_SME_1[[Ausnet]:[United Energy]],MATCH("Block 1",OP_TotalRates_SME_1[Rate name],0),MATCH(N$24,OP_TotalRates_SME_1[[#Headers],[Ausnet]:[United Energy]],0))*
INDEX(Input_Usage[],MATCH($L11&amp;" - Block 1",Input_Usage[Profile name]&amp;" - "&amp;Input_Usage[Usage type],0),MATCH($D$21,Inputs!$C$147:$BA$147,0))),0)+
IFERROR((INDEX(OP_TotalRates_SME_1[[Ausnet]:[United Energy]],MATCH("Balance",OP_TotalRates_SME_1[Rate name],0),MATCH(N$24,OP_TotalRates_SME_1[[#Headers],[Ausnet]:[United Energy]],0))*
INDEX(Input_Usage[],MATCH($L11&amp;" - Balance",Input_Usage[Profile name]&amp;" - "&amp;Input_Usage[Usage type],0),MATCH($D$21,Inputs!$C$147:$BA$147,0))),0)+
IFERROR((INDEX(OP_TotalRates_SME_1[[Ausnet]:[United Energy]],MATCH("Single rate",OP_TotalRates_SME_1[Rate name],0),MATCH(N$24,OP_TotalRates_SME_1[[#Headers],[Ausnet]:[United Energy]],0))*
INDEX(Input_Usage[],MATCH($L11&amp;" - Annual",Input_Usage[Profile name]&amp;" - "&amp;Input_Usage[Usage type],0),MATCH($D$21,Inputs!$C$147:$BA$147,0))),0)),0),0,1),
IF(N11=
ROUNDUP(
(INDEX(OP_TotalRates_SME_1[[Ausnet]:[United Energy]],MATCH("TOU - supply",OP_TotalRates_SME_1[Rate name],0),MATCH(N$24,OP_TotalRates_SME_1[[#Headers],[Ausnet]:[United Energy]],0))*DiY)+
(INDEX(OP_TotalRates_SME_1[[Ausnet]:[United Energy]],MATCH("Peak",OP_TotalRates_SME_1[Rate name],0),MATCH(N$24,OP_TotalRates_SME_1[[#Headers],[Ausnet]:[United Energy]],0))*
INDEX(Input_Usage[],MATCH($L11&amp;" - Peak",Input_Usage[Profile name]&amp;" - "&amp;Input_Usage[Usage type],0),MATCH($D$21,Inputs!$C$147:$BA$147,0)))+
IFERROR((INDEX(OP_TotalRates_SME_1[[Ausnet]:[United Energy]],MATCH("TOU - Shoulder",OP_TotalRates_SME_1[Rate name],0),MATCH(N$24,OP_TotalRates_SME_1[[#Headers],[Ausnet]:[United Energy]],0))*
INDEX(Input_Usage[],MATCH($L11&amp;" - Shoulder",Input_Usage[Profile name]&amp;" - "&amp;Input_Usage[Usage type],0),MATCH($D$21,Inputs!$C$147:$BA$147,0))),0)+
(INDEX(OP_TotalRates_SME_1[[Ausnet]:[United Energy]],MATCH("Off peak",OP_TotalRates_SME_1[Rate name],0),MATCH(N$24,OP_TotalRates_SME_1[[#Headers],[Ausnet]:[United Energy]],0))*
INDEX(Input_Usage[],MATCH($L11&amp;" - Off peak",Input_Usage[Profile name]&amp;" - "&amp;Input_Usage[Usage type],0),MATCH($D$21,Inputs!$C$147:$BA$147,0))),0),0,1))</f>
        <v>0</v>
      </c>
      <c r="O15" s="215" cm="1">
        <f t="array" ref="O15">IF($D$21="VDO 2021 - Final",
IF(O11=
ROUNDUP(
(INDEX(OP_TotalRates_SME_1[[Ausnet]:[United Energy]],MATCH("Anytime - supply",OP_TotalRates_SME_1[Rate name],0),MATCH(O$24,OP_TotalRates_SME_1[[#Headers],[Ausnet]:[United Energy]],0))*DiY)+
(IFERROR((INDEX(OP_TotalRates_SME_1[[Ausnet]:[United Energy]],MATCH("Block 1",OP_TotalRates_SME_1[Rate name],0),MATCH(O$24,OP_TotalRates_SME_1[[#Headers],[Ausnet]:[United Energy]],0))*
INDEX(Input_Usage[],MATCH($L11&amp;" - Block 1",Input_Usage[Profile name]&amp;" - "&amp;Input_Usage[Usage type],0),MATCH($D$21,Inputs!$C$147:$BA$147,0))),0)+
IFERROR((INDEX(OP_TotalRates_SME_1[[Ausnet]:[United Energy]],MATCH("Balance",OP_TotalRates_SME_1[Rate name],0),MATCH(O$24,OP_TotalRates_SME_1[[#Headers],[Ausnet]:[United Energy]],0))*
INDEX(Input_Usage[],MATCH($L11&amp;" - Balance",Input_Usage[Profile name]&amp;" - "&amp;Input_Usage[Usage type],0),MATCH($D$21,Inputs!$C$147:$BA$147,0))),0)+
IFERROR((INDEX(OP_TotalRates_SME_1[[Ausnet]:[United Energy]],MATCH("Single rate",OP_TotalRates_SME_1[Rate name],0),MATCH(O$24,OP_TotalRates_SME_1[[#Headers],[Ausnet]:[United Energy]],0))*
INDEX(Input_Usage[],MATCH($L11&amp;" - Annual",Input_Usage[Profile name]&amp;" - "&amp;Input_Usage[Usage type],0),MATCH($D$21,Inputs!$C$147:$BA$147,0))),0)),0),0,1),
IF(O11=
ROUNDUP(
(INDEX(OP_TotalRates_SME_1[[Ausnet]:[United Energy]],MATCH("TOU - supply",OP_TotalRates_SME_1[Rate name],0),MATCH(O$24,OP_TotalRates_SME_1[[#Headers],[Ausnet]:[United Energy]],0))*DiY)+
(INDEX(OP_TotalRates_SME_1[[Ausnet]:[United Energy]],MATCH("Peak",OP_TotalRates_SME_1[Rate name],0),MATCH(O$24,OP_TotalRates_SME_1[[#Headers],[Ausnet]:[United Energy]],0))*
INDEX(Input_Usage[],MATCH($L11&amp;" - Peak",Input_Usage[Profile name]&amp;" - "&amp;Input_Usage[Usage type],0),MATCH($D$21,Inputs!$C$147:$BA$147,0)))+
IFERROR((INDEX(OP_TotalRates_SME_1[[Ausnet]:[United Energy]],MATCH("TOU - Shoulder",OP_TotalRates_SME_1[Rate name],0),MATCH(O$24,OP_TotalRates_SME_1[[#Headers],[Ausnet]:[United Energy]],0))*
INDEX(Input_Usage[],MATCH($L11&amp;" - Shoulder",Input_Usage[Profile name]&amp;" - "&amp;Input_Usage[Usage type],0),MATCH($D$21,Inputs!$C$147:$BA$147,0))),0)+
(INDEX(OP_TotalRates_SME_1[[Ausnet]:[United Energy]],MATCH("Off peak",OP_TotalRates_SME_1[Rate name],0),MATCH(O$24,OP_TotalRates_SME_1[[#Headers],[Ausnet]:[United Energy]],0))*
INDEX(Input_Usage[],MATCH($L11&amp;" - Off peak",Input_Usage[Profile name]&amp;" - "&amp;Input_Usage[Usage type],0),MATCH($D$21,Inputs!$C$147:$BA$147,0))),0),0,1))</f>
        <v>0</v>
      </c>
      <c r="P15" s="215" cm="1">
        <f t="array" ref="P15">IF($D$21="VDO 2021 - Final",
IF(P11=
ROUNDUP(
(INDEX(OP_TotalRates_SME_1[[Ausnet]:[United Energy]],MATCH("Anytime - supply",OP_TotalRates_SME_1[Rate name],0),MATCH(P$24,OP_TotalRates_SME_1[[#Headers],[Ausnet]:[United Energy]],0))*DiY)+
(IFERROR((INDEX(OP_TotalRates_SME_1[[Ausnet]:[United Energy]],MATCH("Block 1",OP_TotalRates_SME_1[Rate name],0),MATCH(P$24,OP_TotalRates_SME_1[[#Headers],[Ausnet]:[United Energy]],0))*
INDEX(Input_Usage[],MATCH($L11&amp;" - Block 1",Input_Usage[Profile name]&amp;" - "&amp;Input_Usage[Usage type],0),MATCH($D$21,Inputs!$C$147:$BA$147,0))),0)+
IFERROR((INDEX(OP_TotalRates_SME_1[[Ausnet]:[United Energy]],MATCH("Balance",OP_TotalRates_SME_1[Rate name],0),MATCH(P$24,OP_TotalRates_SME_1[[#Headers],[Ausnet]:[United Energy]],0))*
INDEX(Input_Usage[],MATCH($L11&amp;" - Balance",Input_Usage[Profile name]&amp;" - "&amp;Input_Usage[Usage type],0),MATCH($D$21,Inputs!$C$147:$BA$147,0))),0)+
IFERROR((INDEX(OP_TotalRates_SME_1[[Ausnet]:[United Energy]],MATCH("Single rate",OP_TotalRates_SME_1[Rate name],0),MATCH(P$24,OP_TotalRates_SME_1[[#Headers],[Ausnet]:[United Energy]],0))*
INDEX(Input_Usage[],MATCH($L11&amp;" - Annual",Input_Usage[Profile name]&amp;" - "&amp;Input_Usage[Usage type],0),MATCH($D$21,Inputs!$C$147:$BA$147,0))),0)),0),0,1),
IF(P11=
ROUNDUP(
(INDEX(OP_TotalRates_SME_1[[Ausnet]:[United Energy]],MATCH("TOU - supply",OP_TotalRates_SME_1[Rate name],0),MATCH(P$24,OP_TotalRates_SME_1[[#Headers],[Ausnet]:[United Energy]],0))*DiY)+
(INDEX(OP_TotalRates_SME_1[[Ausnet]:[United Energy]],MATCH("Peak",OP_TotalRates_SME_1[Rate name],0),MATCH(P$24,OP_TotalRates_SME_1[[#Headers],[Ausnet]:[United Energy]],0))*
INDEX(Input_Usage[],MATCH($L11&amp;" - Peak",Input_Usage[Profile name]&amp;" - "&amp;Input_Usage[Usage type],0),MATCH($D$21,Inputs!$C$147:$BA$147,0)))+
IFERROR((INDEX(OP_TotalRates_SME_1[[Ausnet]:[United Energy]],MATCH("TOU - Shoulder",OP_TotalRates_SME_1[Rate name],0),MATCH(P$24,OP_TotalRates_SME_1[[#Headers],[Ausnet]:[United Energy]],0))*
INDEX(Input_Usage[],MATCH($L11&amp;" - Shoulder",Input_Usage[Profile name]&amp;" - "&amp;Input_Usage[Usage type],0),MATCH($D$21,Inputs!$C$147:$BA$147,0))),0)+
(INDEX(OP_TotalRates_SME_1[[Ausnet]:[United Energy]],MATCH("Off peak",OP_TotalRates_SME_1[Rate name],0),MATCH(P$24,OP_TotalRates_SME_1[[#Headers],[Ausnet]:[United Energy]],0))*
INDEX(Input_Usage[],MATCH($L11&amp;" - Off peak",Input_Usage[Profile name]&amp;" - "&amp;Input_Usage[Usage type],0),MATCH($D$21,Inputs!$C$147:$BA$147,0))),0),0,1))</f>
        <v>0</v>
      </c>
      <c r="Q15" s="215" cm="1">
        <f t="array" ref="Q15">IF($D$21="VDO 2021 - Final",
IF(Q11=
ROUNDUP(
(INDEX(OP_TotalRates_SME_1[[Ausnet]:[United Energy]],MATCH("Anytime - supply",OP_TotalRates_SME_1[Rate name],0),MATCH(Q$24,OP_TotalRates_SME_1[[#Headers],[Ausnet]:[United Energy]],0))*DiY)+
(IFERROR((INDEX(OP_TotalRates_SME_1[[Ausnet]:[United Energy]],MATCH("Block 1",OP_TotalRates_SME_1[Rate name],0),MATCH(Q$24,OP_TotalRates_SME_1[[#Headers],[Ausnet]:[United Energy]],0))*
INDEX(Input_Usage[],MATCH($L11&amp;" - Block 1",Input_Usage[Profile name]&amp;" - "&amp;Input_Usage[Usage type],0),MATCH($D$21,Inputs!$C$147:$BA$147,0))),0)+
IFERROR((INDEX(OP_TotalRates_SME_1[[Ausnet]:[United Energy]],MATCH("Balance",OP_TotalRates_SME_1[Rate name],0),MATCH(Q$24,OP_TotalRates_SME_1[[#Headers],[Ausnet]:[United Energy]],0))*
INDEX(Input_Usage[],MATCH($L11&amp;" - Balance",Input_Usage[Profile name]&amp;" - "&amp;Input_Usage[Usage type],0),MATCH($D$21,Inputs!$C$147:$BA$147,0))),0)+
IFERROR((INDEX(OP_TotalRates_SME_1[[Ausnet]:[United Energy]],MATCH("Single rate",OP_TotalRates_SME_1[Rate name],0),MATCH(Q$24,OP_TotalRates_SME_1[[#Headers],[Ausnet]:[United Energy]],0))*
INDEX(Input_Usage[],MATCH($L11&amp;" - Annual",Input_Usage[Profile name]&amp;" - "&amp;Input_Usage[Usage type],0),MATCH($D$21,Inputs!$C$147:$BA$147,0))),0)),0),0,1),
IF(Q11=
ROUNDUP(
(INDEX(OP_TotalRates_SME_1[[Ausnet]:[United Energy]],MATCH("TOU - supply",OP_TotalRates_SME_1[Rate name],0),MATCH(Q$24,OP_TotalRates_SME_1[[#Headers],[Ausnet]:[United Energy]],0))*DiY)+
(INDEX(OP_TotalRates_SME_1[[Ausnet]:[United Energy]],MATCH("Peak",OP_TotalRates_SME_1[Rate name],0),MATCH(Q$24,OP_TotalRates_SME_1[[#Headers],[Ausnet]:[United Energy]],0))*
INDEX(Input_Usage[],MATCH($L11&amp;" - Peak",Input_Usage[Profile name]&amp;" - "&amp;Input_Usage[Usage type],0),MATCH($D$21,Inputs!$C$147:$BA$147,0)))+
IFERROR((INDEX(OP_TotalRates_SME_1[[Ausnet]:[United Energy]],MATCH("TOU - Shoulder",OP_TotalRates_SME_1[Rate name],0),MATCH(Q$24,OP_TotalRates_SME_1[[#Headers],[Ausnet]:[United Energy]],0))*
INDEX(Input_Usage[],MATCH($L11&amp;" - Shoulder",Input_Usage[Profile name]&amp;" - "&amp;Input_Usage[Usage type],0),MATCH($D$21,Inputs!$C$147:$BA$147,0))),0)+
(INDEX(OP_TotalRates_SME_1[[Ausnet]:[United Energy]],MATCH("Off peak",OP_TotalRates_SME_1[Rate name],0),MATCH(Q$24,OP_TotalRates_SME_1[[#Headers],[Ausnet]:[United Energy]],0))*
INDEX(Input_Usage[],MATCH($L11&amp;" - Off peak",Input_Usage[Profile name]&amp;" - "&amp;Input_Usage[Usage type],0),MATCH($D$21,Inputs!$C$147:$BA$147,0))),0),0,1))</f>
        <v>0</v>
      </c>
    </row>
    <row r="16" spans="1:18" ht="15.75" x14ac:dyDescent="0.25">
      <c r="E16" s="215" cm="1">
        <f t="array" ref="E16">IF($D$21="VDO 2021 - Final",
IF(E12=
ROUNDUP(
(INDEX(OP_TotalRates_RES_1[[Ausnet]:[United Energy]],MATCH("Anytime - supply",OP_TotalRates_RES_1[Rate name],0),MATCH(E$10,OP_TotalRates_RES_1[[#Headers],[Ausnet]:[United Energy]],0))*DiY)+
(IFERROR((INDEX(OP_TotalRates_RES_1[[Ausnet]:[United Energy]],MATCH("Block 1",OP_TotalRates_RES_1[Rate name],0),MATCH(E$10,OP_TotalRates_RES_1[[#Headers],[Ausnet]:[United Energy]],0))*
INDEX(Input_Usage[],MATCH($D12&amp;" - Block 1",Input_Usage[Ref],0),MATCH($D$21,Inputs!$C$147:$BA$147,0))),0)+
IFERROR((INDEX(OP_TotalRates_RES_1[[Ausnet]:[United Energy]],MATCH("Balance",OP_TotalRates_RES_1[Rate name],0),MATCH(E$10,OP_TotalRates_RES_1[[#Headers],[Ausnet]:[United Energy]],0))*
INDEX(Input_Usage[],MATCH($D12&amp;" - Balance",Input_Usage[Ref],0),MATCH($D$21,Inputs!$C$147:$BA$147,0))),0)+
IFERROR((INDEX(OP_TotalRates_RES_1[[Ausnet]:[United Energy]],MATCH("Single rate",OP_TotalRates_RES_1[Rate name],0),MATCH(E$10,OP_TotalRates_RES_1[[#Headers],[Ausnet]:[United Energy]],0))*
INDEX(Input_Usage[],MATCH($D12&amp;" - Annual",Input_Usage[Ref],0),MATCH($D$21,Inputs!$C$147:$BA$147,0))),0)),0),0,1),
IF(E12=
ROUNDUP(
(INDEX(OP_TotalRates_RES_1[[Ausnet]:[United Energy]],MATCH("TOU - supply",OP_TotalRates_RES_1[Rate name],0),MATCH(E$10,OP_TotalRates_RES_1[[#Headers],[Ausnet]:[United Energy]],0))*DiY)+
(INDEX(OP_TotalRates_RES_1[[Ausnet]:[United Energy]],MATCH("Peak",OP_TotalRates_RES_1[Rate name],0),MATCH(E$10,OP_TotalRates_RES_1[[#Headers],[Ausnet]:[United Energy]],0))*
INDEX(Input_Usage[],MATCH($D12&amp;" - Peak",Input_Usage[Profile name]&amp;" - "&amp;Input_Usage[Usage type],0),MATCH($D$21,Inputs!$C$147:$BA$147,0)))+
IFERROR((INDEX(OP_TotalRates_RES_1[[Ausnet]:[United Energy]],MATCH("TOU - Shoulder",OP_TotalRates_RES_1[Rate name],0),MATCH(E$10,OP_TotalRates_RES_1[[#Headers],[Ausnet]:[United Energy]],0))*
INDEX(Input_Usage[],MATCH($D12&amp;" - Shoulder",Input_Usage[Profile name]&amp;" - "&amp;Input_Usage[Usage type],0),MATCH($D$21,Inputs!$C$147:$BA$147,0))),0)+
(INDEX(OP_TotalRates_RES_1[[Ausnet]:[United Energy]],MATCH("Off peak",OP_TotalRates_RES_1[Rate name],0),MATCH(E$10,OP_TotalRates_RES_1[[#Headers],[Ausnet]:[United Energy]],0))*
INDEX(Input_Usage[],MATCH($D12&amp;" - Off peak",Input_Usage[Profile name]&amp;" - "&amp;Input_Usage[Usage type],0),MATCH($D$21,Inputs!$C$147:$BA$147,0))),0),0,1))</f>
        <v>0</v>
      </c>
      <c r="F16" s="215" cm="1">
        <f t="array" ref="F16">IF($D$21="VDO 2021 - Final",
IF(F12=
ROUNDUP(
(INDEX(OP_TotalRates_RES_1[[Ausnet]:[United Energy]],MATCH("Anytime - supply",OP_TotalRates_RES_1[Rate name],0),MATCH(F$10,OP_TotalRates_RES_1[[#Headers],[Ausnet]:[United Energy]],0))*DiY)+
(IFERROR((INDEX(OP_TotalRates_RES_1[[Ausnet]:[United Energy]],MATCH("Block 1",OP_TotalRates_RES_1[Rate name],0),MATCH(F$10,OP_TotalRates_RES_1[[#Headers],[Ausnet]:[United Energy]],0))*
INDEX(Input_Usage[],MATCH($D12&amp;" - Block 1",Input_Usage[Ref],0),MATCH($D$21,Inputs!$C$147:$BA$147,0))),0)+
IFERROR((INDEX(OP_TotalRates_RES_1[[Ausnet]:[United Energy]],MATCH("Balance",OP_TotalRates_RES_1[Rate name],0),MATCH(F$10,OP_TotalRates_RES_1[[#Headers],[Ausnet]:[United Energy]],0))*
INDEX(Input_Usage[],MATCH($D12&amp;" - Balance",Input_Usage[Ref],0),MATCH($D$21,Inputs!$C$147:$BA$147,0))),0)+
IFERROR((INDEX(OP_TotalRates_RES_1[[Ausnet]:[United Energy]],MATCH("Single rate",OP_TotalRates_RES_1[Rate name],0),MATCH(F$10,OP_TotalRates_RES_1[[#Headers],[Ausnet]:[United Energy]],0))*
INDEX(Input_Usage[],MATCH($D12&amp;" - Annual",Input_Usage[Ref],0),MATCH($D$21,Inputs!$C$147:$BA$147,0))),0)),0),0,1),
IF(F12=
ROUNDUP(
(INDEX(OP_TotalRates_RES_1[[Ausnet]:[United Energy]],MATCH("TOU - supply",OP_TotalRates_RES_1[Rate name],0),MATCH(F$10,OP_TotalRates_RES_1[[#Headers],[Ausnet]:[United Energy]],0))*DiY)+
(INDEX(OP_TotalRates_RES_1[[Ausnet]:[United Energy]],MATCH("Peak",OP_TotalRates_RES_1[Rate name],0),MATCH(F$10,OP_TotalRates_RES_1[[#Headers],[Ausnet]:[United Energy]],0))*
INDEX(Input_Usage[],MATCH($D12&amp;" - Peak",Input_Usage[Profile name]&amp;" - "&amp;Input_Usage[Usage type],0),MATCH($D$21,Inputs!$C$147:$BA$147,0)))+
IFERROR((INDEX(OP_TotalRates_RES_1[[Ausnet]:[United Energy]],MATCH("TOU - Shoulder",OP_TotalRates_RES_1[Rate name],0),MATCH(F$10,OP_TotalRates_RES_1[[#Headers],[Ausnet]:[United Energy]],0))*
INDEX(Input_Usage[],MATCH($D12&amp;" - Shoulder",Input_Usage[Profile name]&amp;" - "&amp;Input_Usage[Usage type],0),MATCH($D$21,Inputs!$C$147:$BA$147,0))),0)+
(INDEX(OP_TotalRates_RES_1[[Ausnet]:[United Energy]],MATCH("Off peak",OP_TotalRates_RES_1[Rate name],0),MATCH(F$10,OP_TotalRates_RES_1[[#Headers],[Ausnet]:[United Energy]],0))*
INDEX(Input_Usage[],MATCH($D12&amp;" - Off peak",Input_Usage[Profile name]&amp;" - "&amp;Input_Usage[Usage type],0),MATCH($D$21,Inputs!$C$147:$BA$147,0))),0),0,1))</f>
        <v>0</v>
      </c>
      <c r="G16" s="215" cm="1">
        <f t="array" ref="G16">IF($D$21="VDO 2021 - Final",
IF(G12=
ROUNDUP(
(INDEX(OP_TotalRates_RES_1[[Ausnet]:[United Energy]],MATCH("Anytime - supply",OP_TotalRates_RES_1[Rate name],0),MATCH(G$10,OP_TotalRates_RES_1[[#Headers],[Ausnet]:[United Energy]],0))*DiY)+
(IFERROR((INDEX(OP_TotalRates_RES_1[[Ausnet]:[United Energy]],MATCH("Block 1",OP_TotalRates_RES_1[Rate name],0),MATCH(G$10,OP_TotalRates_RES_1[[#Headers],[Ausnet]:[United Energy]],0))*
INDEX(Input_Usage[],MATCH($D12&amp;" - Block 1",Input_Usage[Ref],0),MATCH($D$21,Inputs!$C$147:$BA$147,0))),0)+
IFERROR((INDEX(OP_TotalRates_RES_1[[Ausnet]:[United Energy]],MATCH("Balance",OP_TotalRates_RES_1[Rate name],0),MATCH(G$10,OP_TotalRates_RES_1[[#Headers],[Ausnet]:[United Energy]],0))*
INDEX(Input_Usage[],MATCH($D12&amp;" - Balance",Input_Usage[Ref],0),MATCH($D$21,Inputs!$C$147:$BA$147,0))),0)+
IFERROR((INDEX(OP_TotalRates_RES_1[[Ausnet]:[United Energy]],MATCH("Single rate",OP_TotalRates_RES_1[Rate name],0),MATCH(G$10,OP_TotalRates_RES_1[[#Headers],[Ausnet]:[United Energy]],0))*
INDEX(Input_Usage[],MATCH($D12&amp;" - Annual",Input_Usage[Ref],0),MATCH($D$21,Inputs!$C$147:$BA$147,0))),0)),0),0,1),
IF(G12=
ROUNDUP(
(INDEX(OP_TotalRates_RES_1[[Ausnet]:[United Energy]],MATCH("TOU - supply",OP_TotalRates_RES_1[Rate name],0),MATCH(G$10,OP_TotalRates_RES_1[[#Headers],[Ausnet]:[United Energy]],0))*DiY)+
(INDEX(OP_TotalRates_RES_1[[Ausnet]:[United Energy]],MATCH("Peak",OP_TotalRates_RES_1[Rate name],0),MATCH(G$10,OP_TotalRates_RES_1[[#Headers],[Ausnet]:[United Energy]],0))*
INDEX(Input_Usage[],MATCH($D12&amp;" - Peak",Input_Usage[Profile name]&amp;" - "&amp;Input_Usage[Usage type],0),MATCH($D$21,Inputs!$C$147:$BA$147,0)))+
IFERROR((INDEX(OP_TotalRates_RES_1[[Ausnet]:[United Energy]],MATCH("TOU - Shoulder",OP_TotalRates_RES_1[Rate name],0),MATCH(G$10,OP_TotalRates_RES_1[[#Headers],[Ausnet]:[United Energy]],0))*
INDEX(Input_Usage[],MATCH($D12&amp;" - Shoulder",Input_Usage[Profile name]&amp;" - "&amp;Input_Usage[Usage type],0),MATCH($D$21,Inputs!$C$147:$BA$147,0))),0)+
(INDEX(OP_TotalRates_RES_1[[Ausnet]:[United Energy]],MATCH("Off peak",OP_TotalRates_RES_1[Rate name],0),MATCH(G$10,OP_TotalRates_RES_1[[#Headers],[Ausnet]:[United Energy]],0))*
INDEX(Input_Usage[],MATCH($D12&amp;" - Off peak",Input_Usage[Profile name]&amp;" - "&amp;Input_Usage[Usage type],0),MATCH($D$21,Inputs!$C$147:$BA$147,0))),0),0,1))</f>
        <v>0</v>
      </c>
      <c r="H16" s="215" cm="1">
        <f t="array" ref="H16">IF($D$21="VDO 2021 - Final",
IF(H12=
ROUNDUP(
(INDEX(OP_TotalRates_RES_1[[Ausnet]:[United Energy]],MATCH("Anytime - supply",OP_TotalRates_RES_1[Rate name],0),MATCH(H$10,OP_TotalRates_RES_1[[#Headers],[Ausnet]:[United Energy]],0))*DiY)+
(IFERROR((INDEX(OP_TotalRates_RES_1[[Ausnet]:[United Energy]],MATCH("Block 1",OP_TotalRates_RES_1[Rate name],0),MATCH(H$10,OP_TotalRates_RES_1[[#Headers],[Ausnet]:[United Energy]],0))*
INDEX(Input_Usage[],MATCH($D12&amp;" - Block 1",Input_Usage[Ref],0),MATCH($D$21,Inputs!$C$147:$BA$147,0))),0)+
IFERROR((INDEX(OP_TotalRates_RES_1[[Ausnet]:[United Energy]],MATCH("Balance",OP_TotalRates_RES_1[Rate name],0),MATCH(H$10,OP_TotalRates_RES_1[[#Headers],[Ausnet]:[United Energy]],0))*
INDEX(Input_Usage[],MATCH($D12&amp;" - Balance",Input_Usage[Ref],0),MATCH($D$21,Inputs!$C$147:$BA$147,0))),0)+
IFERROR((INDEX(OP_TotalRates_RES_1[[Ausnet]:[United Energy]],MATCH("Single rate",OP_TotalRates_RES_1[Rate name],0),MATCH(H$10,OP_TotalRates_RES_1[[#Headers],[Ausnet]:[United Energy]],0))*
INDEX(Input_Usage[],MATCH($D12&amp;" - Annual",Input_Usage[Ref],0),MATCH($D$21,Inputs!$C$147:$BA$147,0))),0)),0),0,1),
IF(H12=
ROUNDUP(
(INDEX(OP_TotalRates_RES_1[[Ausnet]:[United Energy]],MATCH("TOU - supply",OP_TotalRates_RES_1[Rate name],0),MATCH(H$10,OP_TotalRates_RES_1[[#Headers],[Ausnet]:[United Energy]],0))*DiY)+
(INDEX(OP_TotalRates_RES_1[[Ausnet]:[United Energy]],MATCH("Peak",OP_TotalRates_RES_1[Rate name],0),MATCH(H$10,OP_TotalRates_RES_1[[#Headers],[Ausnet]:[United Energy]],0))*
INDEX(Input_Usage[],MATCH($D12&amp;" - Peak",Input_Usage[Profile name]&amp;" - "&amp;Input_Usage[Usage type],0),MATCH($D$21,Inputs!$C$147:$BA$147,0)))+
IFERROR((INDEX(OP_TotalRates_RES_1[[Ausnet]:[United Energy]],MATCH("TOU - Shoulder",OP_TotalRates_RES_1[Rate name],0),MATCH(H$10,OP_TotalRates_RES_1[[#Headers],[Ausnet]:[United Energy]],0))*
INDEX(Input_Usage[],MATCH($D12&amp;" - Shoulder",Input_Usage[Profile name]&amp;" - "&amp;Input_Usage[Usage type],0),MATCH($D$21,Inputs!$C$147:$BA$147,0))),0)+
(INDEX(OP_TotalRates_RES_1[[Ausnet]:[United Energy]],MATCH("Off peak",OP_TotalRates_RES_1[Rate name],0),MATCH(H$10,OP_TotalRates_RES_1[[#Headers],[Ausnet]:[United Energy]],0))*
INDEX(Input_Usage[],MATCH($D12&amp;" - Off peak",Input_Usage[Profile name]&amp;" - "&amp;Input_Usage[Usage type],0),MATCH($D$21,Inputs!$C$147:$BA$147,0))),0),0,1))</f>
        <v>0</v>
      </c>
      <c r="I16" s="215" cm="1">
        <f t="array" ref="I16">IF($D$21="VDO 2021 - Final",
IF(I12=
ROUNDUP(
(INDEX(OP_TotalRates_RES_1[[Ausnet]:[United Energy]],MATCH("Anytime - supply",OP_TotalRates_RES_1[Rate name],0),MATCH(I$10,OP_TotalRates_RES_1[[#Headers],[Ausnet]:[United Energy]],0))*DiY)+
(IFERROR((INDEX(OP_TotalRates_RES_1[[Ausnet]:[United Energy]],MATCH("Block 1",OP_TotalRates_RES_1[Rate name],0),MATCH(I$10,OP_TotalRates_RES_1[[#Headers],[Ausnet]:[United Energy]],0))*
INDEX(Input_Usage[],MATCH($D12&amp;" - Block 1",Input_Usage[Ref],0),MATCH($D$21,Inputs!$C$147:$BA$147,0))),0)+
IFERROR((INDEX(OP_TotalRates_RES_1[[Ausnet]:[United Energy]],MATCH("Balance",OP_TotalRates_RES_1[Rate name],0),MATCH(I$10,OP_TotalRates_RES_1[[#Headers],[Ausnet]:[United Energy]],0))*
INDEX(Input_Usage[],MATCH($D12&amp;" - Balance",Input_Usage[Ref],0),MATCH($D$21,Inputs!$C$147:$BA$147,0))),0)+
IFERROR((INDEX(OP_TotalRates_RES_1[[Ausnet]:[United Energy]],MATCH("Single rate",OP_TotalRates_RES_1[Rate name],0),MATCH(I$10,OP_TotalRates_RES_1[[#Headers],[Ausnet]:[United Energy]],0))*
INDEX(Input_Usage[],MATCH($D12&amp;" - Annual",Input_Usage[Ref],0),MATCH($D$21,Inputs!$C$147:$BA$147,0))),0)),0),0,1),
IF(I12=
ROUNDUP(
(INDEX(OP_TotalRates_RES_1[[Ausnet]:[United Energy]],MATCH("TOU - supply",OP_TotalRates_RES_1[Rate name],0),MATCH(I$10,OP_TotalRates_RES_1[[#Headers],[Ausnet]:[United Energy]],0))*DiY)+
(INDEX(OP_TotalRates_RES_1[[Ausnet]:[United Energy]],MATCH("Peak",OP_TotalRates_RES_1[Rate name],0),MATCH(I$10,OP_TotalRates_RES_1[[#Headers],[Ausnet]:[United Energy]],0))*
INDEX(Input_Usage[],MATCH($D12&amp;" - Peak",Input_Usage[Profile name]&amp;" - "&amp;Input_Usage[Usage type],0),MATCH($D$21,Inputs!$C$147:$BA$147,0)))+
IFERROR((INDEX(OP_TotalRates_RES_1[[Ausnet]:[United Energy]],MATCH("TOU - Shoulder",OP_TotalRates_RES_1[Rate name],0),MATCH(I$10,OP_TotalRates_RES_1[[#Headers],[Ausnet]:[United Energy]],0))*
INDEX(Input_Usage[],MATCH($D12&amp;" - Shoulder",Input_Usage[Profile name]&amp;" - "&amp;Input_Usage[Usage type],0),MATCH($D$21,Inputs!$C$147:$BA$147,0))),0)+
(INDEX(OP_TotalRates_RES_1[[Ausnet]:[United Energy]],MATCH("Off peak",OP_TotalRates_RES_1[Rate name],0),MATCH(I$10,OP_TotalRates_RES_1[[#Headers],[Ausnet]:[United Energy]],0))*
INDEX(Input_Usage[],MATCH($D12&amp;" - Off peak",Input_Usage[Profile name]&amp;" - "&amp;Input_Usage[Usage type],0),MATCH($D$21,Inputs!$C$147:$BA$147,0))),0),0,1))</f>
        <v>0</v>
      </c>
      <c r="K16" s="139"/>
      <c r="M16" s="215" cm="1">
        <f t="array" ref="M16">IF($D$21="VDO 2021 - Final",
IF(M12=
ROUNDUP(
(INDEX(OP_TotalRates_SME_1[[Ausnet]:[United Energy]],MATCH("Anytime - supply",OP_TotalRates_SME_1[Rate name],0),MATCH(M$24,OP_TotalRates_SME_1[[#Headers],[Ausnet]:[United Energy]],0))*DiY)+
(IFERROR((INDEX(OP_TotalRates_SME_1[[Ausnet]:[United Energy]],MATCH("Block 1",OP_TotalRates_SME_1[Rate name],0),MATCH(M$24,OP_TotalRates_SME_1[[#Headers],[Ausnet]:[United Energy]],0))*
INDEX(Input_Usage[],MATCH($L12&amp;" - Block 1",Input_Usage[Profile name]&amp;" - "&amp;Input_Usage[Usage type],0),MATCH($D$21,Inputs!$C$147:$BA$147,0))),0)+
IFERROR((INDEX(OP_TotalRates_SME_1[[Ausnet]:[United Energy]],MATCH("Balance",OP_TotalRates_SME_1[Rate name],0),MATCH(M$24,OP_TotalRates_SME_1[[#Headers],[Ausnet]:[United Energy]],0))*
INDEX(Input_Usage[],MATCH($L12&amp;" - Balance",Input_Usage[Profile name]&amp;" - "&amp;Input_Usage[Usage type],0),MATCH($D$21,Inputs!$C$147:$BA$147,0))),0)+
IFERROR((INDEX(OP_TotalRates_SME_1[[Ausnet]:[United Energy]],MATCH("Single rate",OP_TotalRates_SME_1[Rate name],0),MATCH(M$24,OP_TotalRates_SME_1[[#Headers],[Ausnet]:[United Energy]],0))*
INDEX(Input_Usage[],MATCH($L12&amp;" - Annual",Input_Usage[Profile name]&amp;" - "&amp;Input_Usage[Usage type],0),MATCH($D$21,Inputs!$C$147:$BA$147,0))),0)),0),0,1),
IF(M12=
ROUNDUP(
(INDEX(OP_TotalRates_SME_1[[Ausnet]:[United Energy]],MATCH("TOU - supply",OP_TotalRates_SME_1[Rate name],0),MATCH(M$24,OP_TotalRates_SME_1[[#Headers],[Ausnet]:[United Energy]],0))*DiY)+
(INDEX(OP_TotalRates_SME_1[[Ausnet]:[United Energy]],MATCH("Peak",OP_TotalRates_SME_1[Rate name],0),MATCH(M$24,OP_TotalRates_SME_1[[#Headers],[Ausnet]:[United Energy]],0))*
INDEX(Input_Usage[],MATCH($L12&amp;" - Peak",Input_Usage[Profile name]&amp;" - "&amp;Input_Usage[Usage type],0),MATCH($D$21,Inputs!$C$147:$BA$147,0)))+
IFERROR((INDEX(OP_TotalRates_SME_1[[Ausnet]:[United Energy]],MATCH("TOU - Shoulder",OP_TotalRates_SME_1[Rate name],0),MATCH(M$24,OP_TotalRates_SME_1[[#Headers],[Ausnet]:[United Energy]],0))*
INDEX(Input_Usage[],MATCH($L12&amp;" - Shoulder",Input_Usage[Profile name]&amp;" - "&amp;Input_Usage[Usage type],0),MATCH($D$21,Inputs!$C$147:$BA$147,0))),0)+
(INDEX(OP_TotalRates_SME_1[[Ausnet]:[United Energy]],MATCH("Off peak",OP_TotalRates_SME_1[Rate name],0),MATCH(M$24,OP_TotalRates_SME_1[[#Headers],[Ausnet]:[United Energy]],0))*
INDEX(Input_Usage[],MATCH($L12&amp;" - Off peak",Input_Usage[Profile name]&amp;" - "&amp;Input_Usage[Usage type],0),MATCH($D$21,Inputs!$C$147:$BA$147,0))),0),0,1))</f>
        <v>0</v>
      </c>
      <c r="N16" s="215" cm="1">
        <f t="array" ref="N16">IF($D$21="VDO 2021 - Final",
IF(N12=
ROUNDUP(
(INDEX(OP_TotalRates_SME_1[[Ausnet]:[United Energy]],MATCH("Anytime - supply",OP_TotalRates_SME_1[Rate name],0),MATCH(N$24,OP_TotalRates_SME_1[[#Headers],[Ausnet]:[United Energy]],0))*DiY)+
(IFERROR((INDEX(OP_TotalRates_SME_1[[Ausnet]:[United Energy]],MATCH("Block 1",OP_TotalRates_SME_1[Rate name],0),MATCH(N$24,OP_TotalRates_SME_1[[#Headers],[Ausnet]:[United Energy]],0))*
INDEX(Input_Usage[],MATCH($L12&amp;" - Block 1",Input_Usage[Profile name]&amp;" - "&amp;Input_Usage[Usage type],0),MATCH($D$21,Inputs!$C$147:$BA$147,0))),0)+
IFERROR((INDEX(OP_TotalRates_SME_1[[Ausnet]:[United Energy]],MATCH("Balance",OP_TotalRates_SME_1[Rate name],0),MATCH(N$24,OP_TotalRates_SME_1[[#Headers],[Ausnet]:[United Energy]],0))*
INDEX(Input_Usage[],MATCH($L12&amp;" - Balance",Input_Usage[Profile name]&amp;" - "&amp;Input_Usage[Usage type],0),MATCH($D$21,Inputs!$C$147:$BA$147,0))),0)+
IFERROR((INDEX(OP_TotalRates_SME_1[[Ausnet]:[United Energy]],MATCH("Single rate",OP_TotalRates_SME_1[Rate name],0),MATCH(N$24,OP_TotalRates_SME_1[[#Headers],[Ausnet]:[United Energy]],0))*
INDEX(Input_Usage[],MATCH($L12&amp;" - Annual",Input_Usage[Profile name]&amp;" - "&amp;Input_Usage[Usage type],0),MATCH($D$21,Inputs!$C$147:$BA$147,0))),0)),0),0,1),
IF(N12=
ROUNDUP(
(INDEX(OP_TotalRates_SME_1[[Ausnet]:[United Energy]],MATCH("TOU - supply",OP_TotalRates_SME_1[Rate name],0),MATCH(N$24,OP_TotalRates_SME_1[[#Headers],[Ausnet]:[United Energy]],0))*DiY)+
(INDEX(OP_TotalRates_SME_1[[Ausnet]:[United Energy]],MATCH("Peak",OP_TotalRates_SME_1[Rate name],0),MATCH(N$24,OP_TotalRates_SME_1[[#Headers],[Ausnet]:[United Energy]],0))*
INDEX(Input_Usage[],MATCH($L12&amp;" - Peak",Input_Usage[Profile name]&amp;" - "&amp;Input_Usage[Usage type],0),MATCH($D$21,Inputs!$C$147:$BA$147,0)))+
IFERROR((INDEX(OP_TotalRates_SME_1[[Ausnet]:[United Energy]],MATCH("TOU - Shoulder",OP_TotalRates_SME_1[Rate name],0),MATCH(N$24,OP_TotalRates_SME_1[[#Headers],[Ausnet]:[United Energy]],0))*
INDEX(Input_Usage[],MATCH($L12&amp;" - Shoulder",Input_Usage[Profile name]&amp;" - "&amp;Input_Usage[Usage type],0),MATCH($D$21,Inputs!$C$147:$BA$147,0))),0)+
(INDEX(OP_TotalRates_SME_1[[Ausnet]:[United Energy]],MATCH("Off peak",OP_TotalRates_SME_1[Rate name],0),MATCH(N$24,OP_TotalRates_SME_1[[#Headers],[Ausnet]:[United Energy]],0))*
INDEX(Input_Usage[],MATCH($L12&amp;" - Off peak",Input_Usage[Profile name]&amp;" - "&amp;Input_Usage[Usage type],0),MATCH($D$21,Inputs!$C$147:$BA$147,0))),0),0,1))</f>
        <v>0</v>
      </c>
      <c r="O16" s="215" cm="1">
        <f t="array" ref="O16">IF($D$21="VDO 2021 - Final",
IF(O12=
ROUNDUP(
(INDEX(OP_TotalRates_SME_1[[Ausnet]:[United Energy]],MATCH("Anytime - supply",OP_TotalRates_SME_1[Rate name],0),MATCH(O$24,OP_TotalRates_SME_1[[#Headers],[Ausnet]:[United Energy]],0))*DiY)+
(IFERROR((INDEX(OP_TotalRates_SME_1[[Ausnet]:[United Energy]],MATCH("Block 1",OP_TotalRates_SME_1[Rate name],0),MATCH(O$24,OP_TotalRates_SME_1[[#Headers],[Ausnet]:[United Energy]],0))*
INDEX(Input_Usage[],MATCH($L12&amp;" - Block 1",Input_Usage[Profile name]&amp;" - "&amp;Input_Usage[Usage type],0),MATCH($D$21,Inputs!$C$147:$BA$147,0))),0)+
IFERROR((INDEX(OP_TotalRates_SME_1[[Ausnet]:[United Energy]],MATCH("Balance",OP_TotalRates_SME_1[Rate name],0),MATCH(O$24,OP_TotalRates_SME_1[[#Headers],[Ausnet]:[United Energy]],0))*
INDEX(Input_Usage[],MATCH($L12&amp;" - Balance",Input_Usage[Profile name]&amp;" - "&amp;Input_Usage[Usage type],0),MATCH($D$21,Inputs!$C$147:$BA$147,0))),0)+
IFERROR((INDEX(OP_TotalRates_SME_1[[Ausnet]:[United Energy]],MATCH("Single rate",OP_TotalRates_SME_1[Rate name],0),MATCH(O$24,OP_TotalRates_SME_1[[#Headers],[Ausnet]:[United Energy]],0))*
INDEX(Input_Usage[],MATCH($L12&amp;" - Annual",Input_Usage[Profile name]&amp;" - "&amp;Input_Usage[Usage type],0),MATCH($D$21,Inputs!$C$147:$BA$147,0))),0)),0),0,1),
IF(O12=
ROUNDUP(
(INDEX(OP_TotalRates_SME_1[[Ausnet]:[United Energy]],MATCH("TOU - supply",OP_TotalRates_SME_1[Rate name],0),MATCH(O$24,OP_TotalRates_SME_1[[#Headers],[Ausnet]:[United Energy]],0))*DiY)+
(INDEX(OP_TotalRates_SME_1[[Ausnet]:[United Energy]],MATCH("Peak",OP_TotalRates_SME_1[Rate name],0),MATCH(O$24,OP_TotalRates_SME_1[[#Headers],[Ausnet]:[United Energy]],0))*
INDEX(Input_Usage[],MATCH($L12&amp;" - Peak",Input_Usage[Profile name]&amp;" - "&amp;Input_Usage[Usage type],0),MATCH($D$21,Inputs!$C$147:$BA$147,0)))+
IFERROR((INDEX(OP_TotalRates_SME_1[[Ausnet]:[United Energy]],MATCH("TOU - Shoulder",OP_TotalRates_SME_1[Rate name],0),MATCH(O$24,OP_TotalRates_SME_1[[#Headers],[Ausnet]:[United Energy]],0))*
INDEX(Input_Usage[],MATCH($L12&amp;" - Shoulder",Input_Usage[Profile name]&amp;" - "&amp;Input_Usage[Usage type],0),MATCH($D$21,Inputs!$C$147:$BA$147,0))),0)+
(INDEX(OP_TotalRates_SME_1[[Ausnet]:[United Energy]],MATCH("Off peak",OP_TotalRates_SME_1[Rate name],0),MATCH(O$24,OP_TotalRates_SME_1[[#Headers],[Ausnet]:[United Energy]],0))*
INDEX(Input_Usage[],MATCH($L12&amp;" - Off peak",Input_Usage[Profile name]&amp;" - "&amp;Input_Usage[Usage type],0),MATCH($D$21,Inputs!$C$147:$BA$147,0))),0),0,1))</f>
        <v>0</v>
      </c>
      <c r="P16" s="215" cm="1">
        <f t="array" ref="P16">IF($D$21="VDO 2021 - Final",
IF(P12=
ROUNDUP(
(INDEX(OP_TotalRates_SME_1[[Ausnet]:[United Energy]],MATCH("Anytime - supply",OP_TotalRates_SME_1[Rate name],0),MATCH(P$24,OP_TotalRates_SME_1[[#Headers],[Ausnet]:[United Energy]],0))*DiY)+
(IFERROR((INDEX(OP_TotalRates_SME_1[[Ausnet]:[United Energy]],MATCH("Block 1",OP_TotalRates_SME_1[Rate name],0),MATCH(P$24,OP_TotalRates_SME_1[[#Headers],[Ausnet]:[United Energy]],0))*
INDEX(Input_Usage[],MATCH($L12&amp;" - Block 1",Input_Usage[Profile name]&amp;" - "&amp;Input_Usage[Usage type],0),MATCH($D$21,Inputs!$C$147:$BA$147,0))),0)+
IFERROR((INDEX(OP_TotalRates_SME_1[[Ausnet]:[United Energy]],MATCH("Balance",OP_TotalRates_SME_1[Rate name],0),MATCH(P$24,OP_TotalRates_SME_1[[#Headers],[Ausnet]:[United Energy]],0))*
INDEX(Input_Usage[],MATCH($L12&amp;" - Balance",Input_Usage[Profile name]&amp;" - "&amp;Input_Usage[Usage type],0),MATCH($D$21,Inputs!$C$147:$BA$147,0))),0)+
IFERROR((INDEX(OP_TotalRates_SME_1[[Ausnet]:[United Energy]],MATCH("Single rate",OP_TotalRates_SME_1[Rate name],0),MATCH(P$24,OP_TotalRates_SME_1[[#Headers],[Ausnet]:[United Energy]],0))*
INDEX(Input_Usage[],MATCH($L12&amp;" - Annual",Input_Usage[Profile name]&amp;" - "&amp;Input_Usage[Usage type],0),MATCH($D$21,Inputs!$C$147:$BA$147,0))),0)),0),0,1),
IF(P12=
ROUNDUP(
(INDEX(OP_TotalRates_SME_1[[Ausnet]:[United Energy]],MATCH("TOU - supply",OP_TotalRates_SME_1[Rate name],0),MATCH(P$24,OP_TotalRates_SME_1[[#Headers],[Ausnet]:[United Energy]],0))*DiY)+
(INDEX(OP_TotalRates_SME_1[[Ausnet]:[United Energy]],MATCH("Peak",OP_TotalRates_SME_1[Rate name],0),MATCH(P$24,OP_TotalRates_SME_1[[#Headers],[Ausnet]:[United Energy]],0))*
INDEX(Input_Usage[],MATCH($L12&amp;" - Peak",Input_Usage[Profile name]&amp;" - "&amp;Input_Usage[Usage type],0),MATCH($D$21,Inputs!$C$147:$BA$147,0)))+
IFERROR((INDEX(OP_TotalRates_SME_1[[Ausnet]:[United Energy]],MATCH("TOU - Shoulder",OP_TotalRates_SME_1[Rate name],0),MATCH(P$24,OP_TotalRates_SME_1[[#Headers],[Ausnet]:[United Energy]],0))*
INDEX(Input_Usage[],MATCH($L12&amp;" - Shoulder",Input_Usage[Profile name]&amp;" - "&amp;Input_Usage[Usage type],0),MATCH($D$21,Inputs!$C$147:$BA$147,0))),0)+
(INDEX(OP_TotalRates_SME_1[[Ausnet]:[United Energy]],MATCH("Off peak",OP_TotalRates_SME_1[Rate name],0),MATCH(P$24,OP_TotalRates_SME_1[[#Headers],[Ausnet]:[United Energy]],0))*
INDEX(Input_Usage[],MATCH($L12&amp;" - Off peak",Input_Usage[Profile name]&amp;" - "&amp;Input_Usage[Usage type],0),MATCH($D$21,Inputs!$C$147:$BA$147,0))),0),0,1))</f>
        <v>0</v>
      </c>
      <c r="Q16" s="215" cm="1">
        <f t="array" ref="Q16">IF($D$21="VDO 2021 - Final",
IF(Q12=
ROUNDUP(
(INDEX(OP_TotalRates_SME_1[[Ausnet]:[United Energy]],MATCH("Anytime - supply",OP_TotalRates_SME_1[Rate name],0),MATCH(Q$24,OP_TotalRates_SME_1[[#Headers],[Ausnet]:[United Energy]],0))*DiY)+
(IFERROR((INDEX(OP_TotalRates_SME_1[[Ausnet]:[United Energy]],MATCH("Block 1",OP_TotalRates_SME_1[Rate name],0),MATCH(Q$24,OP_TotalRates_SME_1[[#Headers],[Ausnet]:[United Energy]],0))*
INDEX(Input_Usage[],MATCH($L12&amp;" - Block 1",Input_Usage[Profile name]&amp;" - "&amp;Input_Usage[Usage type],0),MATCH($D$21,Inputs!$C$147:$BA$147,0))),0)+
IFERROR((INDEX(OP_TotalRates_SME_1[[Ausnet]:[United Energy]],MATCH("Balance",OP_TotalRates_SME_1[Rate name],0),MATCH(Q$24,OP_TotalRates_SME_1[[#Headers],[Ausnet]:[United Energy]],0))*
INDEX(Input_Usage[],MATCH($L12&amp;" - Balance",Input_Usage[Profile name]&amp;" - "&amp;Input_Usage[Usage type],0),MATCH($D$21,Inputs!$C$147:$BA$147,0))),0)+
IFERROR((INDEX(OP_TotalRates_SME_1[[Ausnet]:[United Energy]],MATCH("Single rate",OP_TotalRates_SME_1[Rate name],0),MATCH(Q$24,OP_TotalRates_SME_1[[#Headers],[Ausnet]:[United Energy]],0))*
INDEX(Input_Usage[],MATCH($L12&amp;" - Annual",Input_Usage[Profile name]&amp;" - "&amp;Input_Usage[Usage type],0),MATCH($D$21,Inputs!$C$147:$BA$147,0))),0)),0),0,1),
IF(Q12=
ROUNDUP(
(INDEX(OP_TotalRates_SME_1[[Ausnet]:[United Energy]],MATCH("TOU - supply",OP_TotalRates_SME_1[Rate name],0),MATCH(Q$24,OP_TotalRates_SME_1[[#Headers],[Ausnet]:[United Energy]],0))*DiY)+
(INDEX(OP_TotalRates_SME_1[[Ausnet]:[United Energy]],MATCH("Peak",OP_TotalRates_SME_1[Rate name],0),MATCH(Q$24,OP_TotalRates_SME_1[[#Headers],[Ausnet]:[United Energy]],0))*
INDEX(Input_Usage[],MATCH($L12&amp;" - Peak",Input_Usage[Profile name]&amp;" - "&amp;Input_Usage[Usage type],0),MATCH($D$21,Inputs!$C$147:$BA$147,0)))+
IFERROR((INDEX(OP_TotalRates_SME_1[[Ausnet]:[United Energy]],MATCH("TOU - Shoulder",OP_TotalRates_SME_1[Rate name],0),MATCH(Q$24,OP_TotalRates_SME_1[[#Headers],[Ausnet]:[United Energy]],0))*
INDEX(Input_Usage[],MATCH($L12&amp;" - Shoulder",Input_Usage[Profile name]&amp;" - "&amp;Input_Usage[Usage type],0),MATCH($D$21,Inputs!$C$147:$BA$147,0))),0)+
(INDEX(OP_TotalRates_SME_1[[Ausnet]:[United Energy]],MATCH("Off peak",OP_TotalRates_SME_1[Rate name],0),MATCH(Q$24,OP_TotalRates_SME_1[[#Headers],[Ausnet]:[United Energy]],0))*
INDEX(Input_Usage[],MATCH($L12&amp;" - Off peak",Input_Usage[Profile name]&amp;" - "&amp;Input_Usage[Usage type],0),MATCH($D$21,Inputs!$C$147:$BA$147,0))),0),0,1))</f>
        <v>0</v>
      </c>
    </row>
    <row r="17" spans="1:18" ht="15.75" hidden="1" x14ac:dyDescent="0.25">
      <c r="E17" s="215" cm="1">
        <f t="array" ref="E17">IF($D$21="VDO 2021 - Final",
IF(E13=
ROUNDUP(
(INDEX(OP_TotalRates_RES_1[[Ausnet]:[United Energy]],MATCH("Anytime - supply",OP_TotalRates_RES_1[Rate name],0),MATCH(E$10,OP_TotalRates_RES_1[[#Headers],[Ausnet]:[United Energy]],0))*DiY)+
(IFERROR((INDEX(OP_TotalRates_RES_1[[Ausnet]:[United Energy]],MATCH("Block 1",OP_TotalRates_RES_1[Rate name],0),MATCH(E$10,OP_TotalRates_RES_1[[#Headers],[Ausnet]:[United Energy]],0))*
INDEX(Input_Usage[],MATCH($D13&amp;" - Block 1",Input_Usage[Ref],0),MATCH($D$21,Inputs!$C$147:$BA$147,0))),0)+
IFERROR((INDEX(OP_TotalRates_RES_1[[Ausnet]:[United Energy]],MATCH("Balance",OP_TotalRates_RES_1[Rate name],0),MATCH(E$10,OP_TotalRates_RES_1[[#Headers],[Ausnet]:[United Energy]],0))*
INDEX(Input_Usage[],MATCH($D13&amp;" - Balance",Input_Usage[Ref],0),MATCH($D$21,Inputs!$C$147:$BA$147,0))),0)+
IFERROR((INDEX(OP_TotalRates_RES_1[[Ausnet]:[United Energy]],MATCH("Single rate",OP_TotalRates_RES_1[Rate name],0),MATCH(E$10,OP_TotalRates_RES_1[[#Headers],[Ausnet]:[United Energy]],0))*
INDEX(Input_Usage[],MATCH($D13&amp;" - Annual",Input_Usage[Ref],0),MATCH($D$21,Inputs!$C$147:$BA$147,0))),0)),0),0,1),
IF(E13=
ROUNDUP(
(INDEX(OP_TotalRates_RES_1[[Ausnet]:[United Energy]],MATCH("TOU - supply",OP_TotalRates_RES_1[Rate name],0),MATCH(E$10,OP_TotalRates_RES_1[[#Headers],[Ausnet]:[United Energy]],0))*DiY)+
(INDEX(OP_TotalRates_RES_1[[Ausnet]:[United Energy]],MATCH("Peak",OP_TotalRates_RES_1[Rate name],0),MATCH(E$10,OP_TotalRates_RES_1[[#Headers],[Ausnet]:[United Energy]],0))*
INDEX(Input_Usage[],MATCH($D13&amp;" - Peak",Input_Usage[Profile name]&amp;" - "&amp;Input_Usage[Usage type],0),MATCH($D$21,Inputs!$C$147:$BA$147,0)))+
IFERROR((INDEX(OP_TotalRates_RES_1[[Ausnet]:[United Energy]],MATCH("TOU - Shoulder",OP_TotalRates_RES_1[Rate name],0),MATCH(E$10,OP_TotalRates_RES_1[[#Headers],[Ausnet]:[United Energy]],0))*
INDEX(Input_Usage[],MATCH($D13&amp;" - Shoulder",Input_Usage[Profile name]&amp;" - "&amp;Input_Usage[Usage type],0),MATCH($D$21,Inputs!$C$147:$BA$147,0))),0)+
(INDEX(OP_TotalRates_RES_1[[Ausnet]:[United Energy]],MATCH("Off peak",OP_TotalRates_RES_1[Rate name],0),MATCH(E$10,OP_TotalRates_RES_1[[#Headers],[Ausnet]:[United Energy]],0))*
INDEX(Input_Usage[],MATCH($D13&amp;" - Off peak",Input_Usage[Profile name]&amp;" - "&amp;Input_Usage[Usage type],0),MATCH($D$21,Inputs!$C$147:$BA$147,0))),0),0,1))</f>
        <v>0</v>
      </c>
      <c r="F17" s="215" cm="1">
        <f t="array" ref="F17">IF($D$21="VDO 2021 - Final",
IF(F13=
ROUNDUP(
(INDEX(OP_TotalRates_RES_1[[Ausnet]:[United Energy]],MATCH("Anytime - supply",OP_TotalRates_RES_1[Rate name],0),MATCH(F$10,OP_TotalRates_RES_1[[#Headers],[Ausnet]:[United Energy]],0))*DiY)+
(IFERROR((INDEX(OP_TotalRates_RES_1[[Ausnet]:[United Energy]],MATCH("Block 1",OP_TotalRates_RES_1[Rate name],0),MATCH(F$10,OP_TotalRates_RES_1[[#Headers],[Ausnet]:[United Energy]],0))*
INDEX(Input_Usage[],MATCH($D13&amp;" - Block 1",Input_Usage[Ref],0),MATCH($D$21,Inputs!$C$147:$BA$147,0))),0)+
IFERROR((INDEX(OP_TotalRates_RES_1[[Ausnet]:[United Energy]],MATCH("Balance",OP_TotalRates_RES_1[Rate name],0),MATCH(F$10,OP_TotalRates_RES_1[[#Headers],[Ausnet]:[United Energy]],0))*
INDEX(Input_Usage[],MATCH($D13&amp;" - Balance",Input_Usage[Ref],0),MATCH($D$21,Inputs!$C$147:$BA$147,0))),0)+
IFERROR((INDEX(OP_TotalRates_RES_1[[Ausnet]:[United Energy]],MATCH("Single rate",OP_TotalRates_RES_1[Rate name],0),MATCH(F$10,OP_TotalRates_RES_1[[#Headers],[Ausnet]:[United Energy]],0))*
INDEX(Input_Usage[],MATCH($D13&amp;" - Annual",Input_Usage[Ref],0),MATCH($D$21,Inputs!$C$147:$BA$147,0))),0)),0),0,1),
IF(F13=
ROUNDUP(
(INDEX(OP_TotalRates_RES_1[[Ausnet]:[United Energy]],MATCH("TOU - supply",OP_TotalRates_RES_1[Rate name],0),MATCH(F$10,OP_TotalRates_RES_1[[#Headers],[Ausnet]:[United Energy]],0))*DiY)+
(INDEX(OP_TotalRates_RES_1[[Ausnet]:[United Energy]],MATCH("Peak",OP_TotalRates_RES_1[Rate name],0),MATCH(F$10,OP_TotalRates_RES_1[[#Headers],[Ausnet]:[United Energy]],0))*
INDEX(Input_Usage[],MATCH($D13&amp;" - Peak",Input_Usage[Profile name]&amp;" - "&amp;Input_Usage[Usage type],0),MATCH($D$21,Inputs!$C$147:$BA$147,0)))+
IFERROR((INDEX(OP_TotalRates_RES_1[[Ausnet]:[United Energy]],MATCH("TOU - Shoulder",OP_TotalRates_RES_1[Rate name],0),MATCH(F$10,OP_TotalRates_RES_1[[#Headers],[Ausnet]:[United Energy]],0))*
INDEX(Input_Usage[],MATCH($D13&amp;" - Shoulder",Input_Usage[Profile name]&amp;" - "&amp;Input_Usage[Usage type],0),MATCH($D$21,Inputs!$C$147:$BA$147,0))),0)+
(INDEX(OP_TotalRates_RES_1[[Ausnet]:[United Energy]],MATCH("Off peak",OP_TotalRates_RES_1[Rate name],0),MATCH(F$10,OP_TotalRates_RES_1[[#Headers],[Ausnet]:[United Energy]],0))*
INDEX(Input_Usage[],MATCH($D13&amp;" - Off peak",Input_Usage[Profile name]&amp;" - "&amp;Input_Usage[Usage type],0),MATCH($D$21,Inputs!$C$147:$BA$147,0))),0),0,1))</f>
        <v>0</v>
      </c>
      <c r="G17" s="215" cm="1">
        <f t="array" ref="G17">IF($D$21="VDO 2021 - Final",
IF(G13=
ROUNDUP(
(INDEX(OP_TotalRates_RES_1[[Ausnet]:[United Energy]],MATCH("Anytime - supply",OP_TotalRates_RES_1[Rate name],0),MATCH(G$10,OP_TotalRates_RES_1[[#Headers],[Ausnet]:[United Energy]],0))*DiY)+
(IFERROR((INDEX(OP_TotalRates_RES_1[[Ausnet]:[United Energy]],MATCH("Block 1",OP_TotalRates_RES_1[Rate name],0),MATCH(G$10,OP_TotalRates_RES_1[[#Headers],[Ausnet]:[United Energy]],0))*
INDEX(Input_Usage[],MATCH($D13&amp;" - Block 1",Input_Usage[Ref],0),MATCH($D$21,Inputs!$C$147:$BA$147,0))),0)+
IFERROR((INDEX(OP_TotalRates_RES_1[[Ausnet]:[United Energy]],MATCH("Balance",OP_TotalRates_RES_1[Rate name],0),MATCH(G$10,OP_TotalRates_RES_1[[#Headers],[Ausnet]:[United Energy]],0))*
INDEX(Input_Usage[],MATCH($D13&amp;" - Balance",Input_Usage[Ref],0),MATCH($D$21,Inputs!$C$147:$BA$147,0))),0)+
IFERROR((INDEX(OP_TotalRates_RES_1[[Ausnet]:[United Energy]],MATCH("Single rate",OP_TotalRates_RES_1[Rate name],0),MATCH(G$10,OP_TotalRates_RES_1[[#Headers],[Ausnet]:[United Energy]],0))*
INDEX(Input_Usage[],MATCH($D13&amp;" - Annual",Input_Usage[Ref],0),MATCH($D$21,Inputs!$C$147:$BA$147,0))),0)),0),0,1),
IF(G13=
ROUNDUP(
(INDEX(OP_TotalRates_RES_1[[Ausnet]:[United Energy]],MATCH("TOU - supply",OP_TotalRates_RES_1[Rate name],0),MATCH(G$10,OP_TotalRates_RES_1[[#Headers],[Ausnet]:[United Energy]],0))*DiY)+
(INDEX(OP_TotalRates_RES_1[[Ausnet]:[United Energy]],MATCH("Peak",OP_TotalRates_RES_1[Rate name],0),MATCH(G$10,OP_TotalRates_RES_1[[#Headers],[Ausnet]:[United Energy]],0))*
INDEX(Input_Usage[],MATCH($D13&amp;" - Peak",Input_Usage[Profile name]&amp;" - "&amp;Input_Usage[Usage type],0),MATCH($D$21,Inputs!$C$147:$BA$147,0)))+
IFERROR((INDEX(OP_TotalRates_RES_1[[Ausnet]:[United Energy]],MATCH("TOU - Shoulder",OP_TotalRates_RES_1[Rate name],0),MATCH(G$10,OP_TotalRates_RES_1[[#Headers],[Ausnet]:[United Energy]],0))*
INDEX(Input_Usage[],MATCH($D13&amp;" - Shoulder",Input_Usage[Profile name]&amp;" - "&amp;Input_Usage[Usage type],0),MATCH($D$21,Inputs!$C$147:$BA$147,0))),0)+
(INDEX(OP_TotalRates_RES_1[[Ausnet]:[United Energy]],MATCH("Off peak",OP_TotalRates_RES_1[Rate name],0),MATCH(G$10,OP_TotalRates_RES_1[[#Headers],[Ausnet]:[United Energy]],0))*
INDEX(Input_Usage[],MATCH($D13&amp;" - Off peak",Input_Usage[Profile name]&amp;" - "&amp;Input_Usage[Usage type],0),MATCH($D$21,Inputs!$C$147:$BA$147,0))),0),0,1))</f>
        <v>0</v>
      </c>
      <c r="H17" s="215" cm="1">
        <f t="array" ref="H17">IF($D$21="VDO 2021 - Final",
IF(H13=
ROUNDUP(
(INDEX(OP_TotalRates_RES_1[[Ausnet]:[United Energy]],MATCH("Anytime - supply",OP_TotalRates_RES_1[Rate name],0),MATCH(H$10,OP_TotalRates_RES_1[[#Headers],[Ausnet]:[United Energy]],0))*DiY)+
(IFERROR((INDEX(OP_TotalRates_RES_1[[Ausnet]:[United Energy]],MATCH("Block 1",OP_TotalRates_RES_1[Rate name],0),MATCH(H$10,OP_TotalRates_RES_1[[#Headers],[Ausnet]:[United Energy]],0))*
INDEX(Input_Usage[],MATCH($D13&amp;" - Block 1",Input_Usage[Ref],0),MATCH($D$21,Inputs!$C$147:$BA$147,0))),0)+
IFERROR((INDEX(OP_TotalRates_RES_1[[Ausnet]:[United Energy]],MATCH("Balance",OP_TotalRates_RES_1[Rate name],0),MATCH(H$10,OP_TotalRates_RES_1[[#Headers],[Ausnet]:[United Energy]],0))*
INDEX(Input_Usage[],MATCH($D13&amp;" - Balance",Input_Usage[Ref],0),MATCH($D$21,Inputs!$C$147:$BA$147,0))),0)+
IFERROR((INDEX(OP_TotalRates_RES_1[[Ausnet]:[United Energy]],MATCH("Single rate",OP_TotalRates_RES_1[Rate name],0),MATCH(H$10,OP_TotalRates_RES_1[[#Headers],[Ausnet]:[United Energy]],0))*
INDEX(Input_Usage[],MATCH($D13&amp;" - Annual",Input_Usage[Ref],0),MATCH($D$21,Inputs!$C$147:$BA$147,0))),0)),0),0,1),
IF(H13=
ROUNDUP(
(INDEX(OP_TotalRates_RES_1[[Ausnet]:[United Energy]],MATCH("TOU - supply",OP_TotalRates_RES_1[Rate name],0),MATCH(H$10,OP_TotalRates_RES_1[[#Headers],[Ausnet]:[United Energy]],0))*DiY)+
(INDEX(OP_TotalRates_RES_1[[Ausnet]:[United Energy]],MATCH("Peak",OP_TotalRates_RES_1[Rate name],0),MATCH(H$10,OP_TotalRates_RES_1[[#Headers],[Ausnet]:[United Energy]],0))*
INDEX(Input_Usage[],MATCH($D13&amp;" - Peak",Input_Usage[Profile name]&amp;" - "&amp;Input_Usage[Usage type],0),MATCH($D$21,Inputs!$C$147:$BA$147,0)))+
IFERROR((INDEX(OP_TotalRates_RES_1[[Ausnet]:[United Energy]],MATCH("TOU - Shoulder",OP_TotalRates_RES_1[Rate name],0),MATCH(H$10,OP_TotalRates_RES_1[[#Headers],[Ausnet]:[United Energy]],0))*
INDEX(Input_Usage[],MATCH($D13&amp;" - Shoulder",Input_Usage[Profile name]&amp;" - "&amp;Input_Usage[Usage type],0),MATCH($D$21,Inputs!$C$147:$BA$147,0))),0)+
(INDEX(OP_TotalRates_RES_1[[Ausnet]:[United Energy]],MATCH("Off peak",OP_TotalRates_RES_1[Rate name],0),MATCH(H$10,OP_TotalRates_RES_1[[#Headers],[Ausnet]:[United Energy]],0))*
INDEX(Input_Usage[],MATCH($D13&amp;" - Off peak",Input_Usage[Profile name]&amp;" - "&amp;Input_Usage[Usage type],0),MATCH($D$21,Inputs!$C$147:$BA$147,0))),0),0,1))</f>
        <v>0</v>
      </c>
      <c r="I17" s="215" cm="1">
        <f t="array" ref="I17">IF($D$21="VDO 2021 - Final",
IF(I13=
ROUNDUP(
(INDEX(OP_TotalRates_RES_1[[Ausnet]:[United Energy]],MATCH("Anytime - supply",OP_TotalRates_RES_1[Rate name],0),MATCH(I$10,OP_TotalRates_RES_1[[#Headers],[Ausnet]:[United Energy]],0))*DiY)+
(IFERROR((INDEX(OP_TotalRates_RES_1[[Ausnet]:[United Energy]],MATCH("Block 1",OP_TotalRates_RES_1[Rate name],0),MATCH(I$10,OP_TotalRates_RES_1[[#Headers],[Ausnet]:[United Energy]],0))*
INDEX(Input_Usage[],MATCH($D13&amp;" - Block 1",Input_Usage[Ref],0),MATCH($D$21,Inputs!$C$147:$BA$147,0))),0)+
IFERROR((INDEX(OP_TotalRates_RES_1[[Ausnet]:[United Energy]],MATCH("Balance",OP_TotalRates_RES_1[Rate name],0),MATCH(I$10,OP_TotalRates_RES_1[[#Headers],[Ausnet]:[United Energy]],0))*
INDEX(Input_Usage[],MATCH($D13&amp;" - Balance",Input_Usage[Ref],0),MATCH($D$21,Inputs!$C$147:$BA$147,0))),0)+
IFERROR((INDEX(OP_TotalRates_RES_1[[Ausnet]:[United Energy]],MATCH("Single rate",OP_TotalRates_RES_1[Rate name],0),MATCH(I$10,OP_TotalRates_RES_1[[#Headers],[Ausnet]:[United Energy]],0))*
INDEX(Input_Usage[],MATCH($D13&amp;" - Annual",Input_Usage[Ref],0),MATCH($D$21,Inputs!$C$147:$BA$147,0))),0)),0),0,1),
IF(I13=
ROUNDUP(
(INDEX(OP_TotalRates_RES_1[[Ausnet]:[United Energy]],MATCH("TOU - supply",OP_TotalRates_RES_1[Rate name],0),MATCH(I$10,OP_TotalRates_RES_1[[#Headers],[Ausnet]:[United Energy]],0))*DiY)+
(INDEX(OP_TotalRates_RES_1[[Ausnet]:[United Energy]],MATCH("Peak",OP_TotalRates_RES_1[Rate name],0),MATCH(I$10,OP_TotalRates_RES_1[[#Headers],[Ausnet]:[United Energy]],0))*
INDEX(Input_Usage[],MATCH($D13&amp;" - Peak",Input_Usage[Profile name]&amp;" - "&amp;Input_Usage[Usage type],0),MATCH($D$21,Inputs!$C$147:$BA$147,0)))+
IFERROR((INDEX(OP_TotalRates_RES_1[[Ausnet]:[United Energy]],MATCH("TOU - Shoulder",OP_TotalRates_RES_1[Rate name],0),MATCH(I$10,OP_TotalRates_RES_1[[#Headers],[Ausnet]:[United Energy]],0))*
INDEX(Input_Usage[],MATCH($D13&amp;" - Shoulder",Input_Usage[Profile name]&amp;" - "&amp;Input_Usage[Usage type],0),MATCH($D$21,Inputs!$C$147:$BA$147,0))),0)+
(INDEX(OP_TotalRates_RES_1[[Ausnet]:[United Energy]],MATCH("Off peak",OP_TotalRates_RES_1[Rate name],0),MATCH(I$10,OP_TotalRates_RES_1[[#Headers],[Ausnet]:[United Energy]],0))*
INDEX(Input_Usage[],MATCH($D13&amp;" - Off peak",Input_Usage[Profile name]&amp;" - "&amp;Input_Usage[Usage type],0),MATCH($D$21,Inputs!$C$147:$BA$147,0))),0),0,1))</f>
        <v>0</v>
      </c>
      <c r="K17" s="139"/>
      <c r="M17" s="215" cm="1">
        <f t="array" ref="M17">IF($D$21="VDO 2021 - Final",
IF(M13=
ROUNDUP(
(INDEX(OP_TotalRates_SME_1[[Ausnet]:[United Energy]],MATCH("Anytime - supply",OP_TotalRates_SME_1[Rate name],0),MATCH(M$24,OP_TotalRates_SME_1[[#Headers],[Ausnet]:[United Energy]],0))*DiY)+
(IFERROR((INDEX(OP_TotalRates_SME_1[[Ausnet]:[United Energy]],MATCH("Block 1",OP_TotalRates_SME_1[Rate name],0),MATCH(M$24,OP_TotalRates_SME_1[[#Headers],[Ausnet]:[United Energy]],0))*
INDEX(Input_Usage[],MATCH($L13&amp;" - Block 1",Input_Usage[Profile name]&amp;" - "&amp;Input_Usage[Usage type],0),MATCH($D$21,Inputs!$C$147:$BA$147,0))),0)+
IFERROR((INDEX(OP_TotalRates_SME_1[[Ausnet]:[United Energy]],MATCH("Balance",OP_TotalRates_SME_1[Rate name],0),MATCH(M$24,OP_TotalRates_SME_1[[#Headers],[Ausnet]:[United Energy]],0))*
INDEX(Input_Usage[],MATCH($L13&amp;" - Balance",Input_Usage[Profile name]&amp;" - "&amp;Input_Usage[Usage type],0),MATCH($D$21,Inputs!$C$147:$BA$147,0))),0)+
IFERROR((INDEX(OP_TotalRates_SME_1[[Ausnet]:[United Energy]],MATCH("Single rate",OP_TotalRates_SME_1[Rate name],0),MATCH(M$24,OP_TotalRates_SME_1[[#Headers],[Ausnet]:[United Energy]],0))*
INDEX(Input_Usage[],MATCH($L13&amp;" - Annual",Input_Usage[Profile name]&amp;" - "&amp;Input_Usage[Usage type],0),MATCH($D$21,Inputs!$C$147:$BA$147,0))),0)),0),0,1),
IF(M13=
ROUNDUP(
(INDEX(OP_TotalRates_SME_1[[Ausnet]:[United Energy]],MATCH("TOU - supply",OP_TotalRates_SME_1[Rate name],0),MATCH(M$24,OP_TotalRates_SME_1[[#Headers],[Ausnet]:[United Energy]],0))*DiY)+
(INDEX(OP_TotalRates_SME_1[[Ausnet]:[United Energy]],MATCH("Peak",OP_TotalRates_SME_1[Rate name],0),MATCH(M$24,OP_TotalRates_SME_1[[#Headers],[Ausnet]:[United Energy]],0))*
INDEX(Input_Usage[],MATCH($L13&amp;" - Peak",Input_Usage[Profile name]&amp;" - "&amp;Input_Usage[Usage type],0),MATCH($D$21,Inputs!$C$147:$BA$147,0)))+
IFERROR((INDEX(OP_TotalRates_SME_1[[Ausnet]:[United Energy]],MATCH("TOU - Shoulder",OP_TotalRates_SME_1[Rate name],0),MATCH(M$24,OP_TotalRates_SME_1[[#Headers],[Ausnet]:[United Energy]],0))*
INDEX(Input_Usage[],MATCH($L13&amp;" - Shoulder",Input_Usage[Profile name]&amp;" - "&amp;Input_Usage[Usage type],0),MATCH($D$21,Inputs!$C$147:$BA$147,0))),0)+
(INDEX(OP_TotalRates_SME_1[[Ausnet]:[United Energy]],MATCH("Off peak",OP_TotalRates_SME_1[Rate name],0),MATCH(M$24,OP_TotalRates_SME_1[[#Headers],[Ausnet]:[United Energy]],0))*
INDEX(Input_Usage[],MATCH($L13&amp;" - Off peak",Input_Usage[Profile name]&amp;" - "&amp;Input_Usage[Usage type],0),MATCH($D$21,Inputs!$C$147:$BA$147,0))),0),0,1))</f>
        <v>0</v>
      </c>
      <c r="N17" s="215" cm="1">
        <f t="array" ref="N17">IF($D$21="VDO 2021 - Final",
IF(N13=
ROUNDUP(
(INDEX(OP_TotalRates_SME_1[[Ausnet]:[United Energy]],MATCH("Anytime - supply",OP_TotalRates_SME_1[Rate name],0),MATCH(N$24,OP_TotalRates_SME_1[[#Headers],[Ausnet]:[United Energy]],0))*DiY)+
(IFERROR((INDEX(OP_TotalRates_SME_1[[Ausnet]:[United Energy]],MATCH("Block 1",OP_TotalRates_SME_1[Rate name],0),MATCH(N$24,OP_TotalRates_SME_1[[#Headers],[Ausnet]:[United Energy]],0))*
INDEX(Input_Usage[],MATCH($L13&amp;" - Block 1",Input_Usage[Profile name]&amp;" - "&amp;Input_Usage[Usage type],0),MATCH($D$21,Inputs!$C$147:$BA$147,0))),0)+
IFERROR((INDEX(OP_TotalRates_SME_1[[Ausnet]:[United Energy]],MATCH("Balance",OP_TotalRates_SME_1[Rate name],0),MATCH(N$24,OP_TotalRates_SME_1[[#Headers],[Ausnet]:[United Energy]],0))*
INDEX(Input_Usage[],MATCH($L13&amp;" - Balance",Input_Usage[Profile name]&amp;" - "&amp;Input_Usage[Usage type],0),MATCH($D$21,Inputs!$C$147:$BA$147,0))),0)+
IFERROR((INDEX(OP_TotalRates_SME_1[[Ausnet]:[United Energy]],MATCH("Single rate",OP_TotalRates_SME_1[Rate name],0),MATCH(N$24,OP_TotalRates_SME_1[[#Headers],[Ausnet]:[United Energy]],0))*
INDEX(Input_Usage[],MATCH($L13&amp;" - Annual",Input_Usage[Profile name]&amp;" - "&amp;Input_Usage[Usage type],0),MATCH($D$21,Inputs!$C$147:$BA$147,0))),0)),0),0,1),
IF(N13=
ROUNDUP(
(INDEX(OP_TotalRates_SME_1[[Ausnet]:[United Energy]],MATCH("TOU - supply",OP_TotalRates_SME_1[Rate name],0),MATCH(N$24,OP_TotalRates_SME_1[[#Headers],[Ausnet]:[United Energy]],0))*DiY)+
(INDEX(OP_TotalRates_SME_1[[Ausnet]:[United Energy]],MATCH("Peak",OP_TotalRates_SME_1[Rate name],0),MATCH(N$24,OP_TotalRates_SME_1[[#Headers],[Ausnet]:[United Energy]],0))*
INDEX(Input_Usage[],MATCH($L13&amp;" - Peak",Input_Usage[Profile name]&amp;" - "&amp;Input_Usage[Usage type],0),MATCH($D$21,Inputs!$C$147:$BA$147,0)))+
IFERROR((INDEX(OP_TotalRates_SME_1[[Ausnet]:[United Energy]],MATCH("TOU - Shoulder",OP_TotalRates_SME_1[Rate name],0),MATCH(N$24,OP_TotalRates_SME_1[[#Headers],[Ausnet]:[United Energy]],0))*
INDEX(Input_Usage[],MATCH($L13&amp;" - Shoulder",Input_Usage[Profile name]&amp;" - "&amp;Input_Usage[Usage type],0),MATCH($D$21,Inputs!$C$147:$BA$147,0))),0)+
(INDEX(OP_TotalRates_SME_1[[Ausnet]:[United Energy]],MATCH("Off peak",OP_TotalRates_SME_1[Rate name],0),MATCH(N$24,OP_TotalRates_SME_1[[#Headers],[Ausnet]:[United Energy]],0))*
INDEX(Input_Usage[],MATCH($L13&amp;" - Off peak",Input_Usage[Profile name]&amp;" - "&amp;Input_Usage[Usage type],0),MATCH($D$21,Inputs!$C$147:$BA$147,0))),0),0,1))</f>
        <v>0</v>
      </c>
      <c r="O17" s="215" cm="1">
        <f t="array" ref="O17">IF($D$21="VDO 2021 - Final",
IF(O13=
ROUNDUP(
(INDEX(OP_TotalRates_SME_1[[Ausnet]:[United Energy]],MATCH("Anytime - supply",OP_TotalRates_SME_1[Rate name],0),MATCH(O$24,OP_TotalRates_SME_1[[#Headers],[Ausnet]:[United Energy]],0))*DiY)+
(IFERROR((INDEX(OP_TotalRates_SME_1[[Ausnet]:[United Energy]],MATCH("Block 1",OP_TotalRates_SME_1[Rate name],0),MATCH(O$24,OP_TotalRates_SME_1[[#Headers],[Ausnet]:[United Energy]],0))*
INDEX(Input_Usage[],MATCH($L13&amp;" - Block 1",Input_Usage[Profile name]&amp;" - "&amp;Input_Usage[Usage type],0),MATCH($D$21,Inputs!$C$147:$BA$147,0))),0)+
IFERROR((INDEX(OP_TotalRates_SME_1[[Ausnet]:[United Energy]],MATCH("Balance",OP_TotalRates_SME_1[Rate name],0),MATCH(O$24,OP_TotalRates_SME_1[[#Headers],[Ausnet]:[United Energy]],0))*
INDEX(Input_Usage[],MATCH($L13&amp;" - Balance",Input_Usage[Profile name]&amp;" - "&amp;Input_Usage[Usage type],0),MATCH($D$21,Inputs!$C$147:$BA$147,0))),0)+
IFERROR((INDEX(OP_TotalRates_SME_1[[Ausnet]:[United Energy]],MATCH("Single rate",OP_TotalRates_SME_1[Rate name],0),MATCH(O$24,OP_TotalRates_SME_1[[#Headers],[Ausnet]:[United Energy]],0))*
INDEX(Input_Usage[],MATCH($L13&amp;" - Annual",Input_Usage[Profile name]&amp;" - "&amp;Input_Usage[Usage type],0),MATCH($D$21,Inputs!$C$147:$BA$147,0))),0)),0),0,1),
IF(O13=
ROUNDUP(
(INDEX(OP_TotalRates_SME_1[[Ausnet]:[United Energy]],MATCH("TOU - supply",OP_TotalRates_SME_1[Rate name],0),MATCH(O$24,OP_TotalRates_SME_1[[#Headers],[Ausnet]:[United Energy]],0))*DiY)+
(INDEX(OP_TotalRates_SME_1[[Ausnet]:[United Energy]],MATCH("Peak",OP_TotalRates_SME_1[Rate name],0),MATCH(O$24,OP_TotalRates_SME_1[[#Headers],[Ausnet]:[United Energy]],0))*
INDEX(Input_Usage[],MATCH($L13&amp;" - Peak",Input_Usage[Profile name]&amp;" - "&amp;Input_Usage[Usage type],0),MATCH($D$21,Inputs!$C$147:$BA$147,0)))+
IFERROR((INDEX(OP_TotalRates_SME_1[[Ausnet]:[United Energy]],MATCH("TOU - Shoulder",OP_TotalRates_SME_1[Rate name],0),MATCH(O$24,OP_TotalRates_SME_1[[#Headers],[Ausnet]:[United Energy]],0))*
INDEX(Input_Usage[],MATCH($L13&amp;" - Shoulder",Input_Usage[Profile name]&amp;" - "&amp;Input_Usage[Usage type],0),MATCH($D$21,Inputs!$C$147:$BA$147,0))),0)+
(INDEX(OP_TotalRates_SME_1[[Ausnet]:[United Energy]],MATCH("Off peak",OP_TotalRates_SME_1[Rate name],0),MATCH(O$24,OP_TotalRates_SME_1[[#Headers],[Ausnet]:[United Energy]],0))*
INDEX(Input_Usage[],MATCH($L13&amp;" - Off peak",Input_Usage[Profile name]&amp;" - "&amp;Input_Usage[Usage type],0),MATCH($D$21,Inputs!$C$147:$BA$147,0))),0),0,1))</f>
        <v>0</v>
      </c>
      <c r="P17" s="215" cm="1">
        <f t="array" ref="P17">IF($D$21="VDO 2021 - Final",
IF(P13=
ROUNDUP(
(INDEX(OP_TotalRates_SME_1[[Ausnet]:[United Energy]],MATCH("Anytime - supply",OP_TotalRates_SME_1[Rate name],0),MATCH(P$24,OP_TotalRates_SME_1[[#Headers],[Ausnet]:[United Energy]],0))*DiY)+
(IFERROR((INDEX(OP_TotalRates_SME_1[[Ausnet]:[United Energy]],MATCH("Block 1",OP_TotalRates_SME_1[Rate name],0),MATCH(P$24,OP_TotalRates_SME_1[[#Headers],[Ausnet]:[United Energy]],0))*
INDEX(Input_Usage[],MATCH($L13&amp;" - Block 1",Input_Usage[Profile name]&amp;" - "&amp;Input_Usage[Usage type],0),MATCH($D$21,Inputs!$C$147:$BA$147,0))),0)+
IFERROR((INDEX(OP_TotalRates_SME_1[[Ausnet]:[United Energy]],MATCH("Balance",OP_TotalRates_SME_1[Rate name],0),MATCH(P$24,OP_TotalRates_SME_1[[#Headers],[Ausnet]:[United Energy]],0))*
INDEX(Input_Usage[],MATCH($L13&amp;" - Balance",Input_Usage[Profile name]&amp;" - "&amp;Input_Usage[Usage type],0),MATCH($D$21,Inputs!$C$147:$BA$147,0))),0)+
IFERROR((INDEX(OP_TotalRates_SME_1[[Ausnet]:[United Energy]],MATCH("Single rate",OP_TotalRates_SME_1[Rate name],0),MATCH(P$24,OP_TotalRates_SME_1[[#Headers],[Ausnet]:[United Energy]],0))*
INDEX(Input_Usage[],MATCH($L13&amp;" - Annual",Input_Usage[Profile name]&amp;" - "&amp;Input_Usage[Usage type],0),MATCH($D$21,Inputs!$C$147:$BA$147,0))),0)),0),0,1),
IF(P13=
ROUNDUP(
(INDEX(OP_TotalRates_SME_1[[Ausnet]:[United Energy]],MATCH("TOU - supply",OP_TotalRates_SME_1[Rate name],0),MATCH(P$24,OP_TotalRates_SME_1[[#Headers],[Ausnet]:[United Energy]],0))*DiY)+
(INDEX(OP_TotalRates_SME_1[[Ausnet]:[United Energy]],MATCH("Peak",OP_TotalRates_SME_1[Rate name],0),MATCH(P$24,OP_TotalRates_SME_1[[#Headers],[Ausnet]:[United Energy]],0))*
INDEX(Input_Usage[],MATCH($L13&amp;" - Peak",Input_Usage[Profile name]&amp;" - "&amp;Input_Usage[Usage type],0),MATCH($D$21,Inputs!$C$147:$BA$147,0)))+
IFERROR((INDEX(OP_TotalRates_SME_1[[Ausnet]:[United Energy]],MATCH("TOU - Shoulder",OP_TotalRates_SME_1[Rate name],0),MATCH(P$24,OP_TotalRates_SME_1[[#Headers],[Ausnet]:[United Energy]],0))*
INDEX(Input_Usage[],MATCH($L13&amp;" - Shoulder",Input_Usage[Profile name]&amp;" - "&amp;Input_Usage[Usage type],0),MATCH($D$21,Inputs!$C$147:$BA$147,0))),0)+
(INDEX(OP_TotalRates_SME_1[[Ausnet]:[United Energy]],MATCH("Off peak",OP_TotalRates_SME_1[Rate name],0),MATCH(P$24,OP_TotalRates_SME_1[[#Headers],[Ausnet]:[United Energy]],0))*
INDEX(Input_Usage[],MATCH($L13&amp;" - Off peak",Input_Usage[Profile name]&amp;" - "&amp;Input_Usage[Usage type],0),MATCH($D$21,Inputs!$C$147:$BA$147,0))),0),0,1))</f>
        <v>0</v>
      </c>
      <c r="Q17" s="215" cm="1">
        <f t="array" ref="Q17">IF($D$21="VDO 2021 - Final",
IF(Q13=
ROUNDUP(
(INDEX(OP_TotalRates_SME_1[[Ausnet]:[United Energy]],MATCH("Anytime - supply",OP_TotalRates_SME_1[Rate name],0),MATCH(Q$24,OP_TotalRates_SME_1[[#Headers],[Ausnet]:[United Energy]],0))*DiY)+
(IFERROR((INDEX(OP_TotalRates_SME_1[[Ausnet]:[United Energy]],MATCH("Block 1",OP_TotalRates_SME_1[Rate name],0),MATCH(Q$24,OP_TotalRates_SME_1[[#Headers],[Ausnet]:[United Energy]],0))*
INDEX(Input_Usage[],MATCH($L13&amp;" - Block 1",Input_Usage[Profile name]&amp;" - "&amp;Input_Usage[Usage type],0),MATCH($D$21,Inputs!$C$147:$BA$147,0))),0)+
IFERROR((INDEX(OP_TotalRates_SME_1[[Ausnet]:[United Energy]],MATCH("Balance",OP_TotalRates_SME_1[Rate name],0),MATCH(Q$24,OP_TotalRates_SME_1[[#Headers],[Ausnet]:[United Energy]],0))*
INDEX(Input_Usage[],MATCH($L13&amp;" - Balance",Input_Usage[Profile name]&amp;" - "&amp;Input_Usage[Usage type],0),MATCH($D$21,Inputs!$C$147:$BA$147,0))),0)+
IFERROR((INDEX(OP_TotalRates_SME_1[[Ausnet]:[United Energy]],MATCH("Single rate",OP_TotalRates_SME_1[Rate name],0),MATCH(Q$24,OP_TotalRates_SME_1[[#Headers],[Ausnet]:[United Energy]],0))*
INDEX(Input_Usage[],MATCH($L13&amp;" - Annual",Input_Usage[Profile name]&amp;" - "&amp;Input_Usage[Usage type],0),MATCH($D$21,Inputs!$C$147:$BA$147,0))),0)),0),0,1),
IF(Q13=
ROUNDUP(
(INDEX(OP_TotalRates_SME_1[[Ausnet]:[United Energy]],MATCH("TOU - supply",OP_TotalRates_SME_1[Rate name],0),MATCH(Q$24,OP_TotalRates_SME_1[[#Headers],[Ausnet]:[United Energy]],0))*DiY)+
(INDEX(OP_TotalRates_SME_1[[Ausnet]:[United Energy]],MATCH("Peak",OP_TotalRates_SME_1[Rate name],0),MATCH(Q$24,OP_TotalRates_SME_1[[#Headers],[Ausnet]:[United Energy]],0))*
INDEX(Input_Usage[],MATCH($L13&amp;" - Peak",Input_Usage[Profile name]&amp;" - "&amp;Input_Usage[Usage type],0),MATCH($D$21,Inputs!$C$147:$BA$147,0)))+
IFERROR((INDEX(OP_TotalRates_SME_1[[Ausnet]:[United Energy]],MATCH("TOU - Shoulder",OP_TotalRates_SME_1[Rate name],0),MATCH(Q$24,OP_TotalRates_SME_1[[#Headers],[Ausnet]:[United Energy]],0))*
INDEX(Input_Usage[],MATCH($L13&amp;" - Shoulder",Input_Usage[Profile name]&amp;" - "&amp;Input_Usage[Usage type],0),MATCH($D$21,Inputs!$C$147:$BA$147,0))),0)+
(INDEX(OP_TotalRates_SME_1[[Ausnet]:[United Energy]],MATCH("Off peak",OP_TotalRates_SME_1[Rate name],0),MATCH(Q$24,OP_TotalRates_SME_1[[#Headers],[Ausnet]:[United Energy]],0))*
INDEX(Input_Usage[],MATCH($L13&amp;" - Off peak",Input_Usage[Profile name]&amp;" - "&amp;Input_Usage[Usage type],0),MATCH($D$21,Inputs!$C$147:$BA$147,0))),0),0,1))</f>
        <v>0</v>
      </c>
    </row>
    <row r="18" spans="1:18" x14ac:dyDescent="0.25">
      <c r="E18" s="7"/>
      <c r="F18" s="7"/>
      <c r="G18" s="7"/>
      <c r="H18" s="7"/>
      <c r="I18" s="7"/>
      <c r="K18" s="139"/>
    </row>
    <row r="19" spans="1:18" ht="16.5" thickBot="1" x14ac:dyDescent="0.3">
      <c r="A19" s="1" t="s">
        <v>35</v>
      </c>
      <c r="B19" s="161">
        <f ca="1">MAX(B$3:B18)+0.01</f>
        <v>15.02</v>
      </c>
      <c r="C19" s="200" t="str">
        <f>"CMAB amounts - "&amp;Calc_Rates!$D$266</f>
        <v>CMAB amounts - VDO 2023-24 - Final</v>
      </c>
      <c r="D19" s="200"/>
      <c r="E19" s="200"/>
      <c r="F19" s="200"/>
      <c r="G19" s="200"/>
      <c r="H19" s="200"/>
      <c r="I19" s="200"/>
      <c r="J19" s="200"/>
      <c r="K19" s="200"/>
      <c r="L19" s="200"/>
      <c r="M19" s="200"/>
      <c r="N19" s="200"/>
      <c r="O19" s="200"/>
      <c r="P19" s="200"/>
      <c r="Q19" s="200"/>
      <c r="R19" s="200"/>
    </row>
    <row r="21" spans="1:18" ht="15.75" x14ac:dyDescent="0.25">
      <c r="C21" s="39" t="s">
        <v>47</v>
      </c>
      <c r="D21" s="30" t="str">
        <f>Calc_Rates!$D$266</f>
        <v>VDO 2023-24 - Final</v>
      </c>
    </row>
    <row r="23" spans="1:18" ht="15.75" x14ac:dyDescent="0.25">
      <c r="C23" s="24" t="s">
        <v>66</v>
      </c>
      <c r="K23" s="24" t="s">
        <v>67</v>
      </c>
    </row>
    <row r="24" spans="1:18" ht="15.75" x14ac:dyDescent="0.25">
      <c r="C24" s="32" t="s">
        <v>57</v>
      </c>
      <c r="D24" s="32" t="s">
        <v>85</v>
      </c>
      <c r="E24" s="43" t="s">
        <v>59</v>
      </c>
      <c r="F24" s="43" t="s">
        <v>60</v>
      </c>
      <c r="G24" s="43" t="s">
        <v>61</v>
      </c>
      <c r="H24" s="43" t="s">
        <v>62</v>
      </c>
      <c r="I24" s="43" t="s">
        <v>63</v>
      </c>
      <c r="K24" s="32" t="s">
        <v>57</v>
      </c>
      <c r="L24" s="32" t="s">
        <v>85</v>
      </c>
      <c r="M24" s="43" t="s">
        <v>59</v>
      </c>
      <c r="N24" s="43" t="s">
        <v>60</v>
      </c>
      <c r="O24" s="43" t="s">
        <v>61</v>
      </c>
      <c r="P24" s="43" t="s">
        <v>62</v>
      </c>
      <c r="Q24" s="43" t="s">
        <v>63</v>
      </c>
    </row>
    <row r="25" spans="1:18" hidden="1" x14ac:dyDescent="0.25">
      <c r="C25" s="18" t="s">
        <v>66</v>
      </c>
      <c r="D25" s="18" t="s">
        <v>86</v>
      </c>
      <c r="E25" s="226">
        <f>IFERROR(
IF($D$7="VDO 2021 - Final",
ROUNDUP(
(INDEX(OP_TotalRates_RES_2[[Ausnet]:[United Energy]],MATCH("Anytime - supply",OP_TotalRates_RES_2[[Rate name]:[Rate name]],0),MATCH(E$24,OP_TotalRates_RES_2[[#Headers],[Ausnet]:[United Energy]],0))*DiPY)+
(IFERROR((INDEX(OP_TotalRates_RES_2[[Ausnet]:[United Energy]],MATCH("Block 1",OP_TotalRates_RES_2[[Rate name]:[Rate name]],0),MATCH(E$24,OP_TotalRates_RES_2[[#Headers],[Ausnet]:[United Energy]],0))*
INDEX(Input_Usage[],MATCH($D25&amp;" - Block 1",Input_Usage[[Ref]:[Ref]],0),MATCH($D$7,Inputs!$C$147:$BA$147,0))),0)+
IFERROR((INDEX(OP_TotalRates_RES_2[[Ausnet]:[United Energy]],MATCH("Balance",OP_TotalRates_RES_2[[Rate name]:[Rate name]],0),MATCH(E$24,OP_TotalRates_RES_2[[#Headers],[Ausnet]:[United Energy]],0))*
INDEX(Input_Usage[],MATCH($D25&amp;" - Balance",Input_Usage[[Ref]:[Ref]],0),MATCH($D$7,Inputs!$C$147:$BA$147,0))),0)+
IFERROR((INDEX(OP_TotalRates_RES_2[[Ausnet]:[United Energy]],MATCH("Single rate",OP_TotalRates_RES_2[[Rate name]:[Rate name]],0),MATCH(E$24,OP_TotalRates_RES_2[[#Headers],[Ausnet]:[United Energy]],0))*
INDEX(Input_Usage[],MATCH($D25&amp;" - Annual",Input_Usage[[Ref]:[Ref]],0),MATCH($D$7,Inputs!$C$147:$BA$147,0))),0)),0),
ROUNDUP(
(INDEX(OP_TotalRates_RES_2[[Ausnet]:[United Energy]],MATCH("TOU - supply",OP_TotalRates_RES_2[[Rate name]:[Rate name]],0),MATCH(E$24,OP_TotalRates_RES_2[[#Headers],[Ausnet]:[United Energy]],0))*DiPY)+
(INDEX(OP_TotalRates_RES_2[[Ausnet]:[United Energy]],MATCH("Peak",OP_TotalRates_RES_2[[Rate name]:[Rate name]],0),MATCH(E$24,OP_TotalRates_RES_2[[#Headers],[Ausnet]:[United Energy]],0))*
INDEX(Input_Usage[],MATCH($D25&amp;" - Peak",Input_Usage[[Ref]:[Ref]],0),MATCH($D$7,Inputs!$C$147:$BA$147,0)))+
IFERROR((INDEX(OP_TotalRates_RES_2[[Ausnet]:[United Energy]],MATCH("TOU - Shoulder",OP_TotalRates_RES_2[[Rate name]:[Rate name]],0),MATCH(E$24,OP_TotalRates_RES_2[[#Headers],[Ausnet]:[United Energy]],0))*
INDEX(Input_Usage[],MATCH($D25&amp;" - Shoulder",Input_Usage[[Ref]:[Ref]],0),MATCH($D$7,Inputs!$C$147:$BA$147,0))),0)+
(INDEX(OP_TotalRates_RES_2[[Ausnet]:[United Energy]],MATCH("Off peak",OP_TotalRates_RES_2[[Rate name]:[Rate name]],0),MATCH(E$24,OP_TotalRates_RES_2[[#Headers],[Ausnet]:[United Energy]],0))*
INDEX(Input_Usage[],MATCH($D25&amp;" - Off peak",Input_Usage[[Ref]:[Ref]],0),MATCH($D$7,Inputs!$C$147:$BA$147,0))),0)),"-")</f>
        <v>1195</v>
      </c>
      <c r="F25" s="226">
        <f>IFERROR(
IF($D$7="VDO 2021 - Final",
ROUNDUP(
(INDEX(OP_TotalRates_RES_2[[Ausnet]:[United Energy]],MATCH("Anytime - supply",OP_TotalRates_RES_2[[Rate name]:[Rate name]],0),MATCH(F$24,OP_TotalRates_RES_2[[#Headers],[Ausnet]:[United Energy]],0))*DiPY)+
(IFERROR((INDEX(OP_TotalRates_RES_2[[Ausnet]:[United Energy]],MATCH("Block 1",OP_TotalRates_RES_2[[Rate name]:[Rate name]],0),MATCH(F$24,OP_TotalRates_RES_2[[#Headers],[Ausnet]:[United Energy]],0))*
INDEX(Input_Usage[],MATCH($D25&amp;" - Block 1",Input_Usage[[Ref]:[Ref]],0),MATCH($D$7,Inputs!$C$147:$BA$147,0))),0)+
IFERROR((INDEX(OP_TotalRates_RES_2[[Ausnet]:[United Energy]],MATCH("Balance",OP_TotalRates_RES_2[[Rate name]:[Rate name]],0),MATCH(F$24,OP_TotalRates_RES_2[[#Headers],[Ausnet]:[United Energy]],0))*
INDEX(Input_Usage[],MATCH($D25&amp;" - Balance",Input_Usage[[Ref]:[Ref]],0),MATCH($D$7,Inputs!$C$147:$BA$147,0))),0)+
IFERROR((INDEX(OP_TotalRates_RES_2[[Ausnet]:[United Energy]],MATCH("Single rate",OP_TotalRates_RES_2[[Rate name]:[Rate name]],0),MATCH(F$24,OP_TotalRates_RES_2[[#Headers],[Ausnet]:[United Energy]],0))*
INDEX(Input_Usage[],MATCH($D25&amp;" - Annual",Input_Usage[[Ref]:[Ref]],0),MATCH($D$7,Inputs!$C$147:$BA$147,0))),0)),0),
ROUNDUP(
(INDEX(OP_TotalRates_RES_2[[Ausnet]:[United Energy]],MATCH("TOU - supply",OP_TotalRates_RES_2[[Rate name]:[Rate name]],0),MATCH(F$24,OP_TotalRates_RES_2[[#Headers],[Ausnet]:[United Energy]],0))*DiPY)+
(INDEX(OP_TotalRates_RES_2[[Ausnet]:[United Energy]],MATCH("Peak",OP_TotalRates_RES_2[[Rate name]:[Rate name]],0),MATCH(F$24,OP_TotalRates_RES_2[[#Headers],[Ausnet]:[United Energy]],0))*
INDEX(Input_Usage[],MATCH($D25&amp;" - Peak",Input_Usage[[Ref]:[Ref]],0),MATCH($D$7,Inputs!$C$147:$BA$147,0)))+
IFERROR((INDEX(OP_TotalRates_RES_2[[Ausnet]:[United Energy]],MATCH("TOU - Shoulder",OP_TotalRates_RES_2[[Rate name]:[Rate name]],0),MATCH(F$24,OP_TotalRates_RES_2[[#Headers],[Ausnet]:[United Energy]],0))*
INDEX(Input_Usage[],MATCH($D25&amp;" - Shoulder",Input_Usage[[Ref]:[Ref]],0),MATCH($D$7,Inputs!$C$147:$BA$147,0))),0)+
(INDEX(OP_TotalRates_RES_2[[Ausnet]:[United Energy]],MATCH("Off peak",OP_TotalRates_RES_2[[Rate name]:[Rate name]],0),MATCH(F$24,OP_TotalRates_RES_2[[#Headers],[Ausnet]:[United Energy]],0))*
INDEX(Input_Usage[],MATCH($D25&amp;" - Off peak",Input_Usage[[Ref]:[Ref]],0),MATCH($D$7,Inputs!$C$147:$BA$147,0))),0)),"-")</f>
        <v>995</v>
      </c>
      <c r="G25" s="226">
        <f>IFERROR(
IF($D$7="VDO 2021 - Final",
ROUNDUP(
(INDEX(OP_TotalRates_RES_2[[Ausnet]:[United Energy]],MATCH("Anytime - supply",OP_TotalRates_RES_2[[Rate name]:[Rate name]],0),MATCH(G$24,OP_TotalRates_RES_2[[#Headers],[Ausnet]:[United Energy]],0))*DiPY)+
(IFERROR((INDEX(OP_TotalRates_RES_2[[Ausnet]:[United Energy]],MATCH("Block 1",OP_TotalRates_RES_2[[Rate name]:[Rate name]],0),MATCH(G$24,OP_TotalRates_RES_2[[#Headers],[Ausnet]:[United Energy]],0))*
INDEX(Input_Usage[],MATCH($D25&amp;" - Block 1",Input_Usage[[Ref]:[Ref]],0),MATCH($D$7,Inputs!$C$147:$BA$147,0))),0)+
IFERROR((INDEX(OP_TotalRates_RES_2[[Ausnet]:[United Energy]],MATCH("Balance",OP_TotalRates_RES_2[[Rate name]:[Rate name]],0),MATCH(G$24,OP_TotalRates_RES_2[[#Headers],[Ausnet]:[United Energy]],0))*
INDEX(Input_Usage[],MATCH($D25&amp;" - Balance",Input_Usage[[Ref]:[Ref]],0),MATCH($D$7,Inputs!$C$147:$BA$147,0))),0)+
IFERROR((INDEX(OP_TotalRates_RES_2[[Ausnet]:[United Energy]],MATCH("Single rate",OP_TotalRates_RES_2[[Rate name]:[Rate name]],0),MATCH(G$24,OP_TotalRates_RES_2[[#Headers],[Ausnet]:[United Energy]],0))*
INDEX(Input_Usage[],MATCH($D25&amp;" - Annual",Input_Usage[[Ref]:[Ref]],0),MATCH($D$7,Inputs!$C$147:$BA$147,0))),0)),0),
ROUNDUP(
(INDEX(OP_TotalRates_RES_2[[Ausnet]:[United Energy]],MATCH("TOU - supply",OP_TotalRates_RES_2[[Rate name]:[Rate name]],0),MATCH(G$24,OP_TotalRates_RES_2[[#Headers],[Ausnet]:[United Energy]],0))*DiPY)+
(INDEX(OP_TotalRates_RES_2[[Ausnet]:[United Energy]],MATCH("Peak",OP_TotalRates_RES_2[[Rate name]:[Rate name]],0),MATCH(G$24,OP_TotalRates_RES_2[[#Headers],[Ausnet]:[United Energy]],0))*
INDEX(Input_Usage[],MATCH($D25&amp;" - Peak",Input_Usage[[Ref]:[Ref]],0),MATCH($D$7,Inputs!$C$147:$BA$147,0)))+
IFERROR((INDEX(OP_TotalRates_RES_2[[Ausnet]:[United Energy]],MATCH("TOU - Shoulder",OP_TotalRates_RES_2[[Rate name]:[Rate name]],0),MATCH(G$24,OP_TotalRates_RES_2[[#Headers],[Ausnet]:[United Energy]],0))*
INDEX(Input_Usage[],MATCH($D25&amp;" - Shoulder",Input_Usage[[Ref]:[Ref]],0),MATCH($D$7,Inputs!$C$147:$BA$147,0))),0)+
(INDEX(OP_TotalRates_RES_2[[Ausnet]:[United Energy]],MATCH("Off peak",OP_TotalRates_RES_2[[Rate name]:[Rate name]],0),MATCH(G$24,OP_TotalRates_RES_2[[#Headers],[Ausnet]:[United Energy]],0))*
INDEX(Input_Usage[],MATCH($D25&amp;" - Off peak",Input_Usage[[Ref]:[Ref]],0),MATCH($D$7,Inputs!$C$147:$BA$147,0))),0)),"-")</f>
        <v>1041</v>
      </c>
      <c r="H25" s="226">
        <f>IFERROR(
IF($D$7="VDO 2021 - Final",
ROUNDUP(
(INDEX(OP_TotalRates_RES_2[[Ausnet]:[United Energy]],MATCH("Anytime - supply",OP_TotalRates_RES_2[[Rate name]:[Rate name]],0),MATCH(H$24,OP_TotalRates_RES_2[[#Headers],[Ausnet]:[United Energy]],0))*DiPY)+
(IFERROR((INDEX(OP_TotalRates_RES_2[[Ausnet]:[United Energy]],MATCH("Block 1",OP_TotalRates_RES_2[[Rate name]:[Rate name]],0),MATCH(H$24,OP_TotalRates_RES_2[[#Headers],[Ausnet]:[United Energy]],0))*
INDEX(Input_Usage[],MATCH($D25&amp;" - Block 1",Input_Usage[[Ref]:[Ref]],0),MATCH($D$7,Inputs!$C$147:$BA$147,0))),0)+
IFERROR((INDEX(OP_TotalRates_RES_2[[Ausnet]:[United Energy]],MATCH("Balance",OP_TotalRates_RES_2[[Rate name]:[Rate name]],0),MATCH(H$24,OP_TotalRates_RES_2[[#Headers],[Ausnet]:[United Energy]],0))*
INDEX(Input_Usage[],MATCH($D25&amp;" - Balance",Input_Usage[[Ref]:[Ref]],0),MATCH($D$7,Inputs!$C$147:$BA$147,0))),0)+
IFERROR((INDEX(OP_TotalRates_RES_2[[Ausnet]:[United Energy]],MATCH("Single rate",OP_TotalRates_RES_2[[Rate name]:[Rate name]],0),MATCH(H$24,OP_TotalRates_RES_2[[#Headers],[Ausnet]:[United Energy]],0))*
INDEX(Input_Usage[],MATCH($D25&amp;" - Annual",Input_Usage[[Ref]:[Ref]],0),MATCH($D$7,Inputs!$C$147:$BA$147,0))),0)),0),
ROUNDUP(
(INDEX(OP_TotalRates_RES_2[[Ausnet]:[United Energy]],MATCH("TOU - supply",OP_TotalRates_RES_2[[Rate name]:[Rate name]],0),MATCH(H$24,OP_TotalRates_RES_2[[#Headers],[Ausnet]:[United Energy]],0))*DiPY)+
(INDEX(OP_TotalRates_RES_2[[Ausnet]:[United Energy]],MATCH("Peak",OP_TotalRates_RES_2[[Rate name]:[Rate name]],0),MATCH(H$24,OP_TotalRates_RES_2[[#Headers],[Ausnet]:[United Energy]],0))*
INDEX(Input_Usage[],MATCH($D25&amp;" - Peak",Input_Usage[[Ref]:[Ref]],0),MATCH($D$7,Inputs!$C$147:$BA$147,0)))+
IFERROR((INDEX(OP_TotalRates_RES_2[[Ausnet]:[United Energy]],MATCH("TOU - Shoulder",OP_TotalRates_RES_2[[Rate name]:[Rate name]],0),MATCH(H$24,OP_TotalRates_RES_2[[#Headers],[Ausnet]:[United Energy]],0))*
INDEX(Input_Usage[],MATCH($D25&amp;" - Shoulder",Input_Usage[[Ref]:[Ref]],0),MATCH($D$7,Inputs!$C$147:$BA$147,0))),0)+
(INDEX(OP_TotalRates_RES_2[[Ausnet]:[United Energy]],MATCH("Off peak",OP_TotalRates_RES_2[[Rate name]:[Rate name]],0),MATCH(H$24,OP_TotalRates_RES_2[[#Headers],[Ausnet]:[United Energy]],0))*
INDEX(Input_Usage[],MATCH($D25&amp;" - Off peak",Input_Usage[[Ref]:[Ref]],0),MATCH($D$7,Inputs!$C$147:$BA$147,0))),0)),"-")</f>
        <v>1129</v>
      </c>
      <c r="I25" s="226">
        <f>IFERROR(
IF($D$7="VDO 2021 - Final",
ROUNDUP(
(INDEX(OP_TotalRates_RES_2[[Ausnet]:[United Energy]],MATCH("Anytime - supply",OP_TotalRates_RES_2[[Rate name]:[Rate name]],0),MATCH(I$24,OP_TotalRates_RES_2[[#Headers],[Ausnet]:[United Energy]],0))*DiPY)+
(IFERROR((INDEX(OP_TotalRates_RES_2[[Ausnet]:[United Energy]],MATCH("Block 1",OP_TotalRates_RES_2[[Rate name]:[Rate name]],0),MATCH(I$24,OP_TotalRates_RES_2[[#Headers],[Ausnet]:[United Energy]],0))*
INDEX(Input_Usage[],MATCH($D25&amp;" - Block 1",Input_Usage[[Ref]:[Ref]],0),MATCH($D$7,Inputs!$C$147:$BA$147,0))),0)+
IFERROR((INDEX(OP_TotalRates_RES_2[[Ausnet]:[United Energy]],MATCH("Balance",OP_TotalRates_RES_2[[Rate name]:[Rate name]],0),MATCH(I$24,OP_TotalRates_RES_2[[#Headers],[Ausnet]:[United Energy]],0))*
INDEX(Input_Usage[],MATCH($D25&amp;" - Balance",Input_Usage[[Ref]:[Ref]],0),MATCH($D$7,Inputs!$C$147:$BA$147,0))),0)+
IFERROR((INDEX(OP_TotalRates_RES_2[[Ausnet]:[United Energy]],MATCH("Single rate",OP_TotalRates_RES_2[[Rate name]:[Rate name]],0),MATCH(I$24,OP_TotalRates_RES_2[[#Headers],[Ausnet]:[United Energy]],0))*
INDEX(Input_Usage[],MATCH($D25&amp;" - Annual",Input_Usage[[Ref]:[Ref]],0),MATCH($D$7,Inputs!$C$147:$BA$147,0))),0)),0),
ROUNDUP(
(INDEX(OP_TotalRates_RES_2[[Ausnet]:[United Energy]],MATCH("TOU - supply",OP_TotalRates_RES_2[[Rate name]:[Rate name]],0),MATCH(I$24,OP_TotalRates_RES_2[[#Headers],[Ausnet]:[United Energy]],0))*DiPY)+
(INDEX(OP_TotalRates_RES_2[[Ausnet]:[United Energy]],MATCH("Peak",OP_TotalRates_RES_2[[Rate name]:[Rate name]],0),MATCH(I$24,OP_TotalRates_RES_2[[#Headers],[Ausnet]:[United Energy]],0))*
INDEX(Input_Usage[],MATCH($D25&amp;" - Peak",Input_Usage[[Ref]:[Ref]],0),MATCH($D$7,Inputs!$C$147:$BA$147,0)))+
IFERROR((INDEX(OP_TotalRates_RES_2[[Ausnet]:[United Energy]],MATCH("TOU - Shoulder",OP_TotalRates_RES_2[[Rate name]:[Rate name]],0),MATCH(I$24,OP_TotalRates_RES_2[[#Headers],[Ausnet]:[United Energy]],0))*
INDEX(Input_Usage[],MATCH($D25&amp;" - Shoulder",Input_Usage[[Ref]:[Ref]],0),MATCH($D$7,Inputs!$C$147:$BA$147,0))),0)+
(INDEX(OP_TotalRates_RES_2[[Ausnet]:[United Energy]],MATCH("Off peak",OP_TotalRates_RES_2[[Rate name]:[Rate name]],0),MATCH(I$24,OP_TotalRates_RES_2[[#Headers],[Ausnet]:[United Energy]],0))*
INDEX(Input_Usage[],MATCH($D25&amp;" - Off peak",Input_Usage[[Ref]:[Ref]],0),MATCH($D$7,Inputs!$C$147:$BA$147,0))),0)),"-")</f>
        <v>1025</v>
      </c>
      <c r="K25" s="18" t="s">
        <v>67</v>
      </c>
      <c r="L25" s="18" t="s">
        <v>87</v>
      </c>
      <c r="M25" s="226">
        <f>IFERROR(
IF($D$7="VDO 2021 - Final",
ROUNDUP(
(INDEX(OP_TotalRates_SME_2[[Ausnet]:[United Energy]],MATCH("Anytime - supply",OP_TotalRates_SME_2[[Rate name]:[Rate name]],0),MATCH(M$24,OP_TotalRates_SME_2[[#Headers],[Ausnet]:[United Energy]],0))*DiPY)+
(IFERROR((INDEX(OP_TotalRates_SME_2[[Ausnet]:[United Energy]],MATCH("Block 1",OP_TotalRates_SME_2[[Rate name]:[Rate name]],0),MATCH(M$24,OP_TotalRates_SME_2[[#Headers],[Ausnet]:[United Energy]],0))*
INDEX(Input_Usage[],MATCH($L25&amp;" - Block 1",Input_Usage[[Ref]:[Ref]],0),MATCH($D$7,Inputs!$C$147:$BA$147,0))),0)+
IFERROR((INDEX(OP_TotalRates_SME_2[[Ausnet]:[United Energy]],MATCH("Balance",OP_TotalRates_SME_2[[Rate name]:[Rate name]],0),MATCH(M$24,OP_TotalRates_SME_2[[#Headers],[Ausnet]:[United Energy]],0))*
INDEX(Input_Usage[],MATCH($L25&amp;" - Balance",Input_Usage[[Ref]:[Ref]],0),MATCH($D$7,Inputs!$C$147:$BA$147,0))),0)+
IFERROR((INDEX(OP_TotalRates_SME_2[[Ausnet]:[United Energy]],MATCH("Single rate",OP_TotalRates_SME_2[[Rate name]:[Rate name]],0),MATCH(M$24,OP_TotalRates_SME_2[[#Headers],[Ausnet]:[United Energy]],0))*
INDEX(Input_Usage[],MATCH($L25&amp;" - Annual",Input_Usage[[Ref]:[Ref]],0),MATCH($D$7,Inputs!$C$147:$BA$147,0))),0)),0),
ROUNDUP(
(INDEX(OP_TotalRates_SME_2[[Ausnet]:[United Energy]],MATCH("TOU - supply",OP_TotalRates_SME_2[[Rate name]:[Rate name]],0),MATCH(M$24,OP_TotalRates_SME_2[[#Headers],[Ausnet]:[United Energy]],0))*DiPY)+
(INDEX(OP_TotalRates_SME_2[[Ausnet]:[United Energy]],MATCH("Peak",OP_TotalRates_SME_2[[Rate name]:[Rate name]],0),MATCH(M$24,OP_TotalRates_SME_2[[#Headers],[Ausnet]:[United Energy]],0))*
INDEX(Input_Usage[],MATCH($L25&amp;" - Peak",Input_Usage[[Ref]:[Ref]],0),MATCH($D$7,Inputs!$C$147:$BA$147,0)))+
IFERROR((INDEX(OP_TotalRates_SME_2[[Ausnet]:[United Energy]],MATCH("TOU - Shoulder",OP_TotalRates_SME_2[[Rate name]:[Rate name]],0),MATCH(M$24,OP_TotalRates_SME_2[[#Headers],[Ausnet]:[United Energy]],0))*
INDEX(Input_Usage[],MATCH($L25&amp;" - Shoulder",Input_Usage[[Ref]:[Ref]],0),MATCH($D$7,Inputs!$C$147:$BA$147,0))),0)+
(INDEX(OP_TotalRates_SME_2[[Ausnet]:[United Energy]],MATCH("Off peak",OP_TotalRates_SME_2[[Rate name]:[Rate name]],0),MATCH(M$24,OP_TotalRates_SME_2[[#Headers],[Ausnet]:[United Energy]],0))*
INDEX(Input_Usage[],MATCH($L25&amp;" - Off peak",Input_Usage[[Ref]:[Ref]],0),MATCH($D$7,Inputs!$C$147:$BA$147,0))),0)),"-")</f>
        <v>3871</v>
      </c>
      <c r="N25" s="226">
        <f>IFERROR(
IF($D$7="VDO 2021 - Final",
ROUNDUP(
(INDEX(OP_TotalRates_SME_2[[Ausnet]:[United Energy]],MATCH("Anytime - supply",OP_TotalRates_SME_2[[Rate name]:[Rate name]],0),MATCH(N$24,OP_TotalRates_SME_2[[#Headers],[Ausnet]:[United Energy]],0))*DiPY)+
(IFERROR((INDEX(OP_TotalRates_SME_2[[Ausnet]:[United Energy]],MATCH("Block 1",OP_TotalRates_SME_2[[Rate name]:[Rate name]],0),MATCH(N$24,OP_TotalRates_SME_2[[#Headers],[Ausnet]:[United Energy]],0))*
INDEX(Input_Usage[],MATCH($L25&amp;" - Block 1",Input_Usage[[Ref]:[Ref]],0),MATCH($D$7,Inputs!$C$147:$BA$147,0))),0)+
IFERROR((INDEX(OP_TotalRates_SME_2[[Ausnet]:[United Energy]],MATCH("Balance",OP_TotalRates_SME_2[[Rate name]:[Rate name]],0),MATCH(N$24,OP_TotalRates_SME_2[[#Headers],[Ausnet]:[United Energy]],0))*
INDEX(Input_Usage[],MATCH($L25&amp;" - Balance",Input_Usage[[Ref]:[Ref]],0),MATCH($D$7,Inputs!$C$147:$BA$147,0))),0)+
IFERROR((INDEX(OP_TotalRates_SME_2[[Ausnet]:[United Energy]],MATCH("Single rate",OP_TotalRates_SME_2[[Rate name]:[Rate name]],0),MATCH(N$24,OP_TotalRates_SME_2[[#Headers],[Ausnet]:[United Energy]],0))*
INDEX(Input_Usage[],MATCH($L25&amp;" - Annual",Input_Usage[[Ref]:[Ref]],0),MATCH($D$7,Inputs!$C$147:$BA$147,0))),0)),0),
ROUNDUP(
(INDEX(OP_TotalRates_SME_2[[Ausnet]:[United Energy]],MATCH("TOU - supply",OP_TotalRates_SME_2[[Rate name]:[Rate name]],0),MATCH(N$24,OP_TotalRates_SME_2[[#Headers],[Ausnet]:[United Energy]],0))*DiPY)+
(INDEX(OP_TotalRates_SME_2[[Ausnet]:[United Energy]],MATCH("Peak",OP_TotalRates_SME_2[[Rate name]:[Rate name]],0),MATCH(N$24,OP_TotalRates_SME_2[[#Headers],[Ausnet]:[United Energy]],0))*
INDEX(Input_Usage[],MATCH($L25&amp;" - Peak",Input_Usage[[Ref]:[Ref]],0),MATCH($D$7,Inputs!$C$147:$BA$147,0)))+
IFERROR((INDEX(OP_TotalRates_SME_2[[Ausnet]:[United Energy]],MATCH("TOU - Shoulder",OP_TotalRates_SME_2[[Rate name]:[Rate name]],0),MATCH(N$24,OP_TotalRates_SME_2[[#Headers],[Ausnet]:[United Energy]],0))*
INDEX(Input_Usage[],MATCH($L25&amp;" - Shoulder",Input_Usage[[Ref]:[Ref]],0),MATCH($D$7,Inputs!$C$147:$BA$147,0))),0)+
(INDEX(OP_TotalRates_SME_2[[Ausnet]:[United Energy]],MATCH("Off peak",OP_TotalRates_SME_2[[Rate name]:[Rate name]],0),MATCH(N$24,OP_TotalRates_SME_2[[#Headers],[Ausnet]:[United Energy]],0))*
INDEX(Input_Usage[],MATCH($L25&amp;" - Off peak",Input_Usage[[Ref]:[Ref]],0),MATCH($D$7,Inputs!$C$147:$BA$147,0))),0)),"-")</f>
        <v>3309</v>
      </c>
      <c r="O25" s="226">
        <f>IFERROR(
IF($D$7="VDO 2021 - Final",
ROUNDUP(
(INDEX(OP_TotalRates_SME_2[[Ausnet]:[United Energy]],MATCH("Anytime - supply",OP_TotalRates_SME_2[[Rate name]:[Rate name]],0),MATCH(O$24,OP_TotalRates_SME_2[[#Headers],[Ausnet]:[United Energy]],0))*DiPY)+
(IFERROR((INDEX(OP_TotalRates_SME_2[[Ausnet]:[United Energy]],MATCH("Block 1",OP_TotalRates_SME_2[[Rate name]:[Rate name]],0),MATCH(O$24,OP_TotalRates_SME_2[[#Headers],[Ausnet]:[United Energy]],0))*
INDEX(Input_Usage[],MATCH($L25&amp;" - Block 1",Input_Usage[[Ref]:[Ref]],0),MATCH($D$7,Inputs!$C$147:$BA$147,0))),0)+
IFERROR((INDEX(OP_TotalRates_SME_2[[Ausnet]:[United Energy]],MATCH("Balance",OP_TotalRates_SME_2[[Rate name]:[Rate name]],0),MATCH(O$24,OP_TotalRates_SME_2[[#Headers],[Ausnet]:[United Energy]],0))*
INDEX(Input_Usage[],MATCH($L25&amp;" - Balance",Input_Usage[[Ref]:[Ref]],0),MATCH($D$7,Inputs!$C$147:$BA$147,0))),0)+
IFERROR((INDEX(OP_TotalRates_SME_2[[Ausnet]:[United Energy]],MATCH("Single rate",OP_TotalRates_SME_2[[Rate name]:[Rate name]],0),MATCH(O$24,OP_TotalRates_SME_2[[#Headers],[Ausnet]:[United Energy]],0))*
INDEX(Input_Usage[],MATCH($L25&amp;" - Annual",Input_Usage[[Ref]:[Ref]],0),MATCH($D$7,Inputs!$C$147:$BA$147,0))),0)),0),
ROUNDUP(
(INDEX(OP_TotalRates_SME_2[[Ausnet]:[United Energy]],MATCH("TOU - supply",OP_TotalRates_SME_2[[Rate name]:[Rate name]],0),MATCH(O$24,OP_TotalRates_SME_2[[#Headers],[Ausnet]:[United Energy]],0))*DiPY)+
(INDEX(OP_TotalRates_SME_2[[Ausnet]:[United Energy]],MATCH("Peak",OP_TotalRates_SME_2[[Rate name]:[Rate name]],0),MATCH(O$24,OP_TotalRates_SME_2[[#Headers],[Ausnet]:[United Energy]],0))*
INDEX(Input_Usage[],MATCH($L25&amp;" - Peak",Input_Usage[[Ref]:[Ref]],0),MATCH($D$7,Inputs!$C$147:$BA$147,0)))+
IFERROR((INDEX(OP_TotalRates_SME_2[[Ausnet]:[United Energy]],MATCH("TOU - Shoulder",OP_TotalRates_SME_2[[Rate name]:[Rate name]],0),MATCH(O$24,OP_TotalRates_SME_2[[#Headers],[Ausnet]:[United Energy]],0))*
INDEX(Input_Usage[],MATCH($L25&amp;" - Shoulder",Input_Usage[[Ref]:[Ref]],0),MATCH($D$7,Inputs!$C$147:$BA$147,0))),0)+
(INDEX(OP_TotalRates_SME_2[[Ausnet]:[United Energy]],MATCH("Off peak",OP_TotalRates_SME_2[[Rate name]:[Rate name]],0),MATCH(O$24,OP_TotalRates_SME_2[[#Headers],[Ausnet]:[United Energy]],0))*
INDEX(Input_Usage[],MATCH($L25&amp;" - Off peak",Input_Usage[[Ref]:[Ref]],0),MATCH($D$7,Inputs!$C$147:$BA$147,0))),0)),"-")</f>
        <v>3599</v>
      </c>
      <c r="P25" s="226">
        <f>IFERROR(
IF($D$7="VDO 2021 - Final",
ROUNDUP(
(INDEX(OP_TotalRates_SME_2[[Ausnet]:[United Energy]],MATCH("Anytime - supply",OP_TotalRates_SME_2[[Rate name]:[Rate name]],0),MATCH(P$24,OP_TotalRates_SME_2[[#Headers],[Ausnet]:[United Energy]],0))*DiPY)+
(IFERROR((INDEX(OP_TotalRates_SME_2[[Ausnet]:[United Energy]],MATCH("Block 1",OP_TotalRates_SME_2[[Rate name]:[Rate name]],0),MATCH(P$24,OP_TotalRates_SME_2[[#Headers],[Ausnet]:[United Energy]],0))*
INDEX(Input_Usage[],MATCH($L25&amp;" - Block 1",Input_Usage[[Ref]:[Ref]],0),MATCH($D$7,Inputs!$C$147:$BA$147,0))),0)+
IFERROR((INDEX(OP_TotalRates_SME_2[[Ausnet]:[United Energy]],MATCH("Balance",OP_TotalRates_SME_2[[Rate name]:[Rate name]],0),MATCH(P$24,OP_TotalRates_SME_2[[#Headers],[Ausnet]:[United Energy]],0))*
INDEX(Input_Usage[],MATCH($L25&amp;" - Balance",Input_Usage[[Ref]:[Ref]],0),MATCH($D$7,Inputs!$C$147:$BA$147,0))),0)+
IFERROR((INDEX(OP_TotalRates_SME_2[[Ausnet]:[United Energy]],MATCH("Single rate",OP_TotalRates_SME_2[[Rate name]:[Rate name]],0),MATCH(P$24,OP_TotalRates_SME_2[[#Headers],[Ausnet]:[United Energy]],0))*
INDEX(Input_Usage[],MATCH($L25&amp;" - Annual",Input_Usage[[Ref]:[Ref]],0),MATCH($D$7,Inputs!$C$147:$BA$147,0))),0)),0),
ROUNDUP(
(INDEX(OP_TotalRates_SME_2[[Ausnet]:[United Energy]],MATCH("TOU - supply",OP_TotalRates_SME_2[[Rate name]:[Rate name]],0),MATCH(P$24,OP_TotalRates_SME_2[[#Headers],[Ausnet]:[United Energy]],0))*DiPY)+
(INDEX(OP_TotalRates_SME_2[[Ausnet]:[United Energy]],MATCH("Peak",OP_TotalRates_SME_2[[Rate name]:[Rate name]],0),MATCH(P$24,OP_TotalRates_SME_2[[#Headers],[Ausnet]:[United Energy]],0))*
INDEX(Input_Usage[],MATCH($L25&amp;" - Peak",Input_Usage[[Ref]:[Ref]],0),MATCH($D$7,Inputs!$C$147:$BA$147,0)))+
IFERROR((INDEX(OP_TotalRates_SME_2[[Ausnet]:[United Energy]],MATCH("TOU - Shoulder",OP_TotalRates_SME_2[[Rate name]:[Rate name]],0),MATCH(P$24,OP_TotalRates_SME_2[[#Headers],[Ausnet]:[United Energy]],0))*
INDEX(Input_Usage[],MATCH($L25&amp;" - Shoulder",Input_Usage[[Ref]:[Ref]],0),MATCH($D$7,Inputs!$C$147:$BA$147,0))),0)+
(INDEX(OP_TotalRates_SME_2[[Ausnet]:[United Energy]],MATCH("Off peak",OP_TotalRates_SME_2[[Rate name]:[Rate name]],0),MATCH(P$24,OP_TotalRates_SME_2[[#Headers],[Ausnet]:[United Energy]],0))*
INDEX(Input_Usage[],MATCH($L25&amp;" - Off peak",Input_Usage[[Ref]:[Ref]],0),MATCH($D$7,Inputs!$C$147:$BA$147,0))),0)),"-")</f>
        <v>3669</v>
      </c>
      <c r="Q25" s="226">
        <f>IFERROR(
IF($D$7="VDO 2021 - Final",
ROUNDUP(
(INDEX(OP_TotalRates_SME_2[[Ausnet]:[United Energy]],MATCH("Anytime - supply",OP_TotalRates_SME_2[[Rate name]:[Rate name]],0),MATCH(Q$24,OP_TotalRates_SME_2[[#Headers],[Ausnet]:[United Energy]],0))*DiPY)+
(IFERROR((INDEX(OP_TotalRates_SME_2[[Ausnet]:[United Energy]],MATCH("Block 1",OP_TotalRates_SME_2[[Rate name]:[Rate name]],0),MATCH(Q$24,OP_TotalRates_SME_2[[#Headers],[Ausnet]:[United Energy]],0))*
INDEX(Input_Usage[],MATCH($L25&amp;" - Block 1",Input_Usage[[Ref]:[Ref]],0),MATCH($D$7,Inputs!$C$147:$BA$147,0))),0)+
IFERROR((INDEX(OP_TotalRates_SME_2[[Ausnet]:[United Energy]],MATCH("Balance",OP_TotalRates_SME_2[[Rate name]:[Rate name]],0),MATCH(Q$24,OP_TotalRates_SME_2[[#Headers],[Ausnet]:[United Energy]],0))*
INDEX(Input_Usage[],MATCH($L25&amp;" - Balance",Input_Usage[[Ref]:[Ref]],0),MATCH($D$7,Inputs!$C$147:$BA$147,0))),0)+
IFERROR((INDEX(OP_TotalRates_SME_2[[Ausnet]:[United Energy]],MATCH("Single rate",OP_TotalRates_SME_2[[Rate name]:[Rate name]],0),MATCH(Q$24,OP_TotalRates_SME_2[[#Headers],[Ausnet]:[United Energy]],0))*
INDEX(Input_Usage[],MATCH($L25&amp;" - Annual",Input_Usage[[Ref]:[Ref]],0),MATCH($D$7,Inputs!$C$147:$BA$147,0))),0)),0),
ROUNDUP(
(INDEX(OP_TotalRates_SME_2[[Ausnet]:[United Energy]],MATCH("TOU - supply",OP_TotalRates_SME_2[[Rate name]:[Rate name]],0),MATCH(Q$24,OP_TotalRates_SME_2[[#Headers],[Ausnet]:[United Energy]],0))*DiPY)+
(INDEX(OP_TotalRates_SME_2[[Ausnet]:[United Energy]],MATCH("Peak",OP_TotalRates_SME_2[[Rate name]:[Rate name]],0),MATCH(Q$24,OP_TotalRates_SME_2[[#Headers],[Ausnet]:[United Energy]],0))*
INDEX(Input_Usage[],MATCH($L25&amp;" - Peak",Input_Usage[[Ref]:[Ref]],0),MATCH($D$7,Inputs!$C$147:$BA$147,0)))+
IFERROR((INDEX(OP_TotalRates_SME_2[[Ausnet]:[United Energy]],MATCH("TOU - Shoulder",OP_TotalRates_SME_2[[Rate name]:[Rate name]],0),MATCH(Q$24,OP_TotalRates_SME_2[[#Headers],[Ausnet]:[United Energy]],0))*
INDEX(Input_Usage[],MATCH($L25&amp;" - Shoulder",Input_Usage[[Ref]:[Ref]],0),MATCH($D$7,Inputs!$C$147:$BA$147,0))),0)+
(INDEX(OP_TotalRates_SME_2[[Ausnet]:[United Energy]],MATCH("Off peak",OP_TotalRates_SME_2[[Rate name]:[Rate name]],0),MATCH(Q$24,OP_TotalRates_SME_2[[#Headers],[Ausnet]:[United Energy]],0))*
INDEX(Input_Usage[],MATCH($L25&amp;" - Off peak",Input_Usage[[Ref]:[Ref]],0),MATCH($D$7,Inputs!$C$147:$BA$147,0))),0)),"-")</f>
        <v>3473</v>
      </c>
    </row>
    <row r="26" spans="1:18" x14ac:dyDescent="0.25">
      <c r="C26" s="18" t="s">
        <v>66</v>
      </c>
      <c r="D26" s="18" t="s">
        <v>88</v>
      </c>
      <c r="E26" s="226">
        <f>IFERROR(
IF($D$7="VDO 2021 - Final",
ROUNDUP(
(INDEX(OP_TotalRates_RES_2[[Ausnet]:[United Energy]],MATCH("Anytime - supply",OP_TotalRates_RES_2[[Rate name]:[Rate name]],0),MATCH(E$24,OP_TotalRates_RES_2[[#Headers],[Ausnet]:[United Energy]],0))*DiPY)+
(IFERROR((INDEX(OP_TotalRates_RES_2[[Ausnet]:[United Energy]],MATCH("Block 1",OP_TotalRates_RES_2[[Rate name]:[Rate name]],0),MATCH(E$24,OP_TotalRates_RES_2[[#Headers],[Ausnet]:[United Energy]],0))*
INDEX(Input_Usage[],MATCH($D26&amp;" - Block 1",Input_Usage[[Ref]:[Ref]],0),MATCH($D$7,Inputs!$C$147:$BA$147,0))),0)+
IFERROR((INDEX(OP_TotalRates_RES_2[[Ausnet]:[United Energy]],MATCH("Balance",OP_TotalRates_RES_2[[Rate name]:[Rate name]],0),MATCH(E$24,OP_TotalRates_RES_2[[#Headers],[Ausnet]:[United Energy]],0))*
INDEX(Input_Usage[],MATCH($D26&amp;" - Balance",Input_Usage[[Ref]:[Ref]],0),MATCH($D$7,Inputs!$C$147:$BA$147,0))),0)+
IFERROR((INDEX(OP_TotalRates_RES_2[[Ausnet]:[United Energy]],MATCH("Single rate",OP_TotalRates_RES_2[[Rate name]:[Rate name]],0),MATCH(E$24,OP_TotalRates_RES_2[[#Headers],[Ausnet]:[United Energy]],0))*
INDEX(Input_Usage[],MATCH($D26&amp;" - Annual",Input_Usage[[Ref]:[Ref]],0),MATCH($D$7,Inputs!$C$147:$BA$147,0))),0)),0),
ROUNDUP(
(INDEX(OP_TotalRates_RES_2[[Ausnet]:[United Energy]],MATCH("TOU - supply",OP_TotalRates_RES_2[[Rate name]:[Rate name]],0),MATCH(E$24,OP_TotalRates_RES_2[[#Headers],[Ausnet]:[United Energy]],0))*DiPY)+
(INDEX(OP_TotalRates_RES_2[[Ausnet]:[United Energy]],MATCH("Peak",OP_TotalRates_RES_2[[Rate name]:[Rate name]],0),MATCH(E$24,OP_TotalRates_RES_2[[#Headers],[Ausnet]:[United Energy]],0))*
INDEX(Input_Usage[],MATCH($D26&amp;" - Peak",Input_Usage[[Ref]:[Ref]],0),MATCH($D$7,Inputs!$C$147:$BA$147,0)))+
IFERROR((INDEX(OP_TotalRates_RES_2[[Ausnet]:[United Energy]],MATCH("TOU - Shoulder",OP_TotalRates_RES_2[[Rate name]:[Rate name]],0),MATCH(E$24,OP_TotalRates_RES_2[[#Headers],[Ausnet]:[United Energy]],0))*
INDEX(Input_Usage[],MATCH($D26&amp;" - Shoulder",Input_Usage[[Ref]:[Ref]],0),MATCH($D$7,Inputs!$C$147:$BA$147,0))),0)+
(INDEX(OP_TotalRates_RES_2[[Ausnet]:[United Energy]],MATCH("Off peak",OP_TotalRates_RES_2[[Rate name]:[Rate name]],0),MATCH(E$24,OP_TotalRates_RES_2[[#Headers],[Ausnet]:[United Energy]],0))*
INDEX(Input_Usage[],MATCH($D26&amp;" - Off peak",Input_Usage[[Ref]:[Ref]],0),MATCH($D$7,Inputs!$C$147:$BA$147,0))),0)),"-")</f>
        <v>1905</v>
      </c>
      <c r="F26" s="226">
        <f>IFERROR(
IF($D$7="VDO 2021 - Final",
ROUNDUP(
(INDEX(OP_TotalRates_RES_2[[Ausnet]:[United Energy]],MATCH("Anytime - supply",OP_TotalRates_RES_2[[Rate name]:[Rate name]],0),MATCH(F$24,OP_TotalRates_RES_2[[#Headers],[Ausnet]:[United Energy]],0))*DiPY)+
(IFERROR((INDEX(OP_TotalRates_RES_2[[Ausnet]:[United Energy]],MATCH("Block 1",OP_TotalRates_RES_2[[Rate name]:[Rate name]],0),MATCH(F$24,OP_TotalRates_RES_2[[#Headers],[Ausnet]:[United Energy]],0))*
INDEX(Input_Usage[],MATCH($D26&amp;" - Block 1",Input_Usage[[Ref]:[Ref]],0),MATCH($D$7,Inputs!$C$147:$BA$147,0))),0)+
IFERROR((INDEX(OP_TotalRates_RES_2[[Ausnet]:[United Energy]],MATCH("Balance",OP_TotalRates_RES_2[[Rate name]:[Rate name]],0),MATCH(F$24,OP_TotalRates_RES_2[[#Headers],[Ausnet]:[United Energy]],0))*
INDEX(Input_Usage[],MATCH($D26&amp;" - Balance",Input_Usage[[Ref]:[Ref]],0),MATCH($D$7,Inputs!$C$147:$BA$147,0))),0)+
IFERROR((INDEX(OP_TotalRates_RES_2[[Ausnet]:[United Energy]],MATCH("Single rate",OP_TotalRates_RES_2[[Rate name]:[Rate name]],0),MATCH(F$24,OP_TotalRates_RES_2[[#Headers],[Ausnet]:[United Energy]],0))*
INDEX(Input_Usage[],MATCH($D26&amp;" - Annual",Input_Usage[[Ref]:[Ref]],0),MATCH($D$7,Inputs!$C$147:$BA$147,0))),0)),0),
ROUNDUP(
(INDEX(OP_TotalRates_RES_2[[Ausnet]:[United Energy]],MATCH("TOU - supply",OP_TotalRates_RES_2[[Rate name]:[Rate name]],0),MATCH(F$24,OP_TotalRates_RES_2[[#Headers],[Ausnet]:[United Energy]],0))*DiPY)+
(INDEX(OP_TotalRates_RES_2[[Ausnet]:[United Energy]],MATCH("Peak",OP_TotalRates_RES_2[[Rate name]:[Rate name]],0),MATCH(F$24,OP_TotalRates_RES_2[[#Headers],[Ausnet]:[United Energy]],0))*
INDEX(Input_Usage[],MATCH($D26&amp;" - Peak",Input_Usage[[Ref]:[Ref]],0),MATCH($D$7,Inputs!$C$147:$BA$147,0)))+
IFERROR((INDEX(OP_TotalRates_RES_2[[Ausnet]:[United Energy]],MATCH("TOU - Shoulder",OP_TotalRates_RES_2[[Rate name]:[Rate name]],0),MATCH(F$24,OP_TotalRates_RES_2[[#Headers],[Ausnet]:[United Energy]],0))*
INDEX(Input_Usage[],MATCH($D26&amp;" - Shoulder",Input_Usage[[Ref]:[Ref]],0),MATCH($D$7,Inputs!$C$147:$BA$147,0))),0)+
(INDEX(OP_TotalRates_RES_2[[Ausnet]:[United Energy]],MATCH("Off peak",OP_TotalRates_RES_2[[Rate name]:[Rate name]],0),MATCH(F$24,OP_TotalRates_RES_2[[#Headers],[Ausnet]:[United Energy]],0))*
INDEX(Input_Usage[],MATCH($D26&amp;" - Off peak",Input_Usage[[Ref]:[Ref]],0),MATCH($D$7,Inputs!$C$147:$BA$147,0))),0)),"-")</f>
        <v>1567</v>
      </c>
      <c r="G26" s="226">
        <f>IFERROR(
IF($D$7="VDO 2021 - Final",
ROUNDUP(
(INDEX(OP_TotalRates_RES_2[[Ausnet]:[United Energy]],MATCH("Anytime - supply",OP_TotalRates_RES_2[[Rate name]:[Rate name]],0),MATCH(G$24,OP_TotalRates_RES_2[[#Headers],[Ausnet]:[United Energy]],0))*DiPY)+
(IFERROR((INDEX(OP_TotalRates_RES_2[[Ausnet]:[United Energy]],MATCH("Block 1",OP_TotalRates_RES_2[[Rate name]:[Rate name]],0),MATCH(G$24,OP_TotalRates_RES_2[[#Headers],[Ausnet]:[United Energy]],0))*
INDEX(Input_Usage[],MATCH($D26&amp;" - Block 1",Input_Usage[[Ref]:[Ref]],0),MATCH($D$7,Inputs!$C$147:$BA$147,0))),0)+
IFERROR((INDEX(OP_TotalRates_RES_2[[Ausnet]:[United Energy]],MATCH("Balance",OP_TotalRates_RES_2[[Rate name]:[Rate name]],0),MATCH(G$24,OP_TotalRates_RES_2[[#Headers],[Ausnet]:[United Energy]],0))*
INDEX(Input_Usage[],MATCH($D26&amp;" - Balance",Input_Usage[[Ref]:[Ref]],0),MATCH($D$7,Inputs!$C$147:$BA$147,0))),0)+
IFERROR((INDEX(OP_TotalRates_RES_2[[Ausnet]:[United Energy]],MATCH("Single rate",OP_TotalRates_RES_2[[Rate name]:[Rate name]],0),MATCH(G$24,OP_TotalRates_RES_2[[#Headers],[Ausnet]:[United Energy]],0))*
INDEX(Input_Usage[],MATCH($D26&amp;" - Annual",Input_Usage[[Ref]:[Ref]],0),MATCH($D$7,Inputs!$C$147:$BA$147,0))),0)),0),
ROUNDUP(
(INDEX(OP_TotalRates_RES_2[[Ausnet]:[United Energy]],MATCH("TOU - supply",OP_TotalRates_RES_2[[Rate name]:[Rate name]],0),MATCH(G$24,OP_TotalRates_RES_2[[#Headers],[Ausnet]:[United Energy]],0))*DiPY)+
(INDEX(OP_TotalRates_RES_2[[Ausnet]:[United Energy]],MATCH("Peak",OP_TotalRates_RES_2[[Rate name]:[Rate name]],0),MATCH(G$24,OP_TotalRates_RES_2[[#Headers],[Ausnet]:[United Energy]],0))*
INDEX(Input_Usage[],MATCH($D26&amp;" - Peak",Input_Usage[[Ref]:[Ref]],0),MATCH($D$7,Inputs!$C$147:$BA$147,0)))+
IFERROR((INDEX(OP_TotalRates_RES_2[[Ausnet]:[United Energy]],MATCH("TOU - Shoulder",OP_TotalRates_RES_2[[Rate name]:[Rate name]],0),MATCH(G$24,OP_TotalRates_RES_2[[#Headers],[Ausnet]:[United Energy]],0))*
INDEX(Input_Usage[],MATCH($D26&amp;" - Shoulder",Input_Usage[[Ref]:[Ref]],0),MATCH($D$7,Inputs!$C$147:$BA$147,0))),0)+
(INDEX(OP_TotalRates_RES_2[[Ausnet]:[United Energy]],MATCH("Off peak",OP_TotalRates_RES_2[[Rate name]:[Rate name]],0),MATCH(G$24,OP_TotalRates_RES_2[[#Headers],[Ausnet]:[United Energy]],0))*
INDEX(Input_Usage[],MATCH($D26&amp;" - Off peak",Input_Usage[[Ref]:[Ref]],0),MATCH($D$7,Inputs!$C$147:$BA$147,0))),0)),"-")</f>
        <v>1664</v>
      </c>
      <c r="H26" s="226">
        <f>IFERROR(
IF($D$7="VDO 2021 - Final",
ROUNDUP(
(INDEX(OP_TotalRates_RES_2[[Ausnet]:[United Energy]],MATCH("Anytime - supply",OP_TotalRates_RES_2[[Rate name]:[Rate name]],0),MATCH(H$24,OP_TotalRates_RES_2[[#Headers],[Ausnet]:[United Energy]],0))*DiPY)+
(IFERROR((INDEX(OP_TotalRates_RES_2[[Ausnet]:[United Energy]],MATCH("Block 1",OP_TotalRates_RES_2[[Rate name]:[Rate name]],0),MATCH(H$24,OP_TotalRates_RES_2[[#Headers],[Ausnet]:[United Energy]],0))*
INDEX(Input_Usage[],MATCH($D26&amp;" - Block 1",Input_Usage[[Ref]:[Ref]],0),MATCH($D$7,Inputs!$C$147:$BA$147,0))),0)+
IFERROR((INDEX(OP_TotalRates_RES_2[[Ausnet]:[United Energy]],MATCH("Balance",OP_TotalRates_RES_2[[Rate name]:[Rate name]],0),MATCH(H$24,OP_TotalRates_RES_2[[#Headers],[Ausnet]:[United Energy]],0))*
INDEX(Input_Usage[],MATCH($D26&amp;" - Balance",Input_Usage[[Ref]:[Ref]],0),MATCH($D$7,Inputs!$C$147:$BA$147,0))),0)+
IFERROR((INDEX(OP_TotalRates_RES_2[[Ausnet]:[United Energy]],MATCH("Single rate",OP_TotalRates_RES_2[[Rate name]:[Rate name]],0),MATCH(H$24,OP_TotalRates_RES_2[[#Headers],[Ausnet]:[United Energy]],0))*
INDEX(Input_Usage[],MATCH($D26&amp;" - Annual",Input_Usage[[Ref]:[Ref]],0),MATCH($D$7,Inputs!$C$147:$BA$147,0))),0)),0),
ROUNDUP(
(INDEX(OP_TotalRates_RES_2[[Ausnet]:[United Energy]],MATCH("TOU - supply",OP_TotalRates_RES_2[[Rate name]:[Rate name]],0),MATCH(H$24,OP_TotalRates_RES_2[[#Headers],[Ausnet]:[United Energy]],0))*DiPY)+
(INDEX(OP_TotalRates_RES_2[[Ausnet]:[United Energy]],MATCH("Peak",OP_TotalRates_RES_2[[Rate name]:[Rate name]],0),MATCH(H$24,OP_TotalRates_RES_2[[#Headers],[Ausnet]:[United Energy]],0))*
INDEX(Input_Usage[],MATCH($D26&amp;" - Peak",Input_Usage[[Ref]:[Ref]],0),MATCH($D$7,Inputs!$C$147:$BA$147,0)))+
IFERROR((INDEX(OP_TotalRates_RES_2[[Ausnet]:[United Energy]],MATCH("TOU - Shoulder",OP_TotalRates_RES_2[[Rate name]:[Rate name]],0),MATCH(H$24,OP_TotalRates_RES_2[[#Headers],[Ausnet]:[United Energy]],0))*
INDEX(Input_Usage[],MATCH($D26&amp;" - Shoulder",Input_Usage[[Ref]:[Ref]],0),MATCH($D$7,Inputs!$C$147:$BA$147,0))),0)+
(INDEX(OP_TotalRates_RES_2[[Ausnet]:[United Energy]],MATCH("Off peak",OP_TotalRates_RES_2[[Rate name]:[Rate name]],0),MATCH(H$24,OP_TotalRates_RES_2[[#Headers],[Ausnet]:[United Energy]],0))*
INDEX(Input_Usage[],MATCH($D26&amp;" - Off peak",Input_Usage[[Ref]:[Ref]],0),MATCH($D$7,Inputs!$C$147:$BA$147,0))),0)),"-")</f>
        <v>1782</v>
      </c>
      <c r="I26" s="226">
        <f>IFERROR(
IF($D$7="VDO 2021 - Final",
ROUNDUP(
(INDEX(OP_TotalRates_RES_2[[Ausnet]:[United Energy]],MATCH("Anytime - supply",OP_TotalRates_RES_2[[Rate name]:[Rate name]],0),MATCH(I$24,OP_TotalRates_RES_2[[#Headers],[Ausnet]:[United Energy]],0))*DiPY)+
(IFERROR((INDEX(OP_TotalRates_RES_2[[Ausnet]:[United Energy]],MATCH("Block 1",OP_TotalRates_RES_2[[Rate name]:[Rate name]],0),MATCH(I$24,OP_TotalRates_RES_2[[#Headers],[Ausnet]:[United Energy]],0))*
INDEX(Input_Usage[],MATCH($D26&amp;" - Block 1",Input_Usage[[Ref]:[Ref]],0),MATCH($D$7,Inputs!$C$147:$BA$147,0))),0)+
IFERROR((INDEX(OP_TotalRates_RES_2[[Ausnet]:[United Energy]],MATCH("Balance",OP_TotalRates_RES_2[[Rate name]:[Rate name]],0),MATCH(I$24,OP_TotalRates_RES_2[[#Headers],[Ausnet]:[United Energy]],0))*
INDEX(Input_Usage[],MATCH($D26&amp;" - Balance",Input_Usage[[Ref]:[Ref]],0),MATCH($D$7,Inputs!$C$147:$BA$147,0))),0)+
IFERROR((INDEX(OP_TotalRates_RES_2[[Ausnet]:[United Energy]],MATCH("Single rate",OP_TotalRates_RES_2[[Rate name]:[Rate name]],0),MATCH(I$24,OP_TotalRates_RES_2[[#Headers],[Ausnet]:[United Energy]],0))*
INDEX(Input_Usage[],MATCH($D26&amp;" - Annual",Input_Usage[[Ref]:[Ref]],0),MATCH($D$7,Inputs!$C$147:$BA$147,0))),0)),0),
ROUNDUP(
(INDEX(OP_TotalRates_RES_2[[Ausnet]:[United Energy]],MATCH("TOU - supply",OP_TotalRates_RES_2[[Rate name]:[Rate name]],0),MATCH(I$24,OP_TotalRates_RES_2[[#Headers],[Ausnet]:[United Energy]],0))*DiPY)+
(INDEX(OP_TotalRates_RES_2[[Ausnet]:[United Energy]],MATCH("Peak",OP_TotalRates_RES_2[[Rate name]:[Rate name]],0),MATCH(I$24,OP_TotalRates_RES_2[[#Headers],[Ausnet]:[United Energy]],0))*
INDEX(Input_Usage[],MATCH($D26&amp;" - Peak",Input_Usage[[Ref]:[Ref]],0),MATCH($D$7,Inputs!$C$147:$BA$147,0)))+
IFERROR((INDEX(OP_TotalRates_RES_2[[Ausnet]:[United Energy]],MATCH("TOU - Shoulder",OP_TotalRates_RES_2[[Rate name]:[Rate name]],0),MATCH(I$24,OP_TotalRates_RES_2[[#Headers],[Ausnet]:[United Energy]],0))*
INDEX(Input_Usage[],MATCH($D26&amp;" - Shoulder",Input_Usage[[Ref]:[Ref]],0),MATCH($D$7,Inputs!$C$147:$BA$147,0))),0)+
(INDEX(OP_TotalRates_RES_2[[Ausnet]:[United Energy]],MATCH("Off peak",OP_TotalRates_RES_2[[Rate name]:[Rate name]],0),MATCH(I$24,OP_TotalRates_RES_2[[#Headers],[Ausnet]:[United Energy]],0))*
INDEX(Input_Usage[],MATCH($D26&amp;" - Off peak",Input_Usage[[Ref]:[Ref]],0),MATCH($D$7,Inputs!$C$147:$BA$147,0))),0)),"-")</f>
        <v>1654</v>
      </c>
      <c r="K26" s="18" t="s">
        <v>67</v>
      </c>
      <c r="L26" s="18" t="s">
        <v>89</v>
      </c>
      <c r="M26" s="226">
        <f>IFERROR(
IF($D$7="VDO 2021 - Final",
ROUNDUP(
(INDEX(OP_TotalRates_SME_2[[Ausnet]:[United Energy]],MATCH("Anytime - supply",OP_TotalRates_SME_2[[Rate name]:[Rate name]],0),MATCH(M$24,OP_TotalRates_SME_2[[#Headers],[Ausnet]:[United Energy]],0))*DiPY)+
(IFERROR((INDEX(OP_TotalRates_SME_2[[Ausnet]:[United Energy]],MATCH("Block 1",OP_TotalRates_SME_2[[Rate name]:[Rate name]],0),MATCH(M$24,OP_TotalRates_SME_2[[#Headers],[Ausnet]:[United Energy]],0))*
INDEX(Input_Usage[],MATCH($L26&amp;" - Block 1",Input_Usage[[Ref]:[Ref]],0),MATCH($D$7,Inputs!$C$147:$BA$147,0))),0)+
IFERROR((INDEX(OP_TotalRates_SME_2[[Ausnet]:[United Energy]],MATCH("Balance",OP_TotalRates_SME_2[[Rate name]:[Rate name]],0),MATCH(M$24,OP_TotalRates_SME_2[[#Headers],[Ausnet]:[United Energy]],0))*
INDEX(Input_Usage[],MATCH($L26&amp;" - Balance",Input_Usage[[Ref]:[Ref]],0),MATCH($D$7,Inputs!$C$147:$BA$147,0))),0)+
IFERROR((INDEX(OP_TotalRates_SME_2[[Ausnet]:[United Energy]],MATCH("Single rate",OP_TotalRates_SME_2[[Rate name]:[Rate name]],0),MATCH(M$24,OP_TotalRates_SME_2[[#Headers],[Ausnet]:[United Energy]],0))*
INDEX(Input_Usage[],MATCH($L26&amp;" - Annual",Input_Usage[[Ref]:[Ref]],0),MATCH($D$7,Inputs!$C$147:$BA$147,0))),0)),0),
ROUNDUP(
(INDEX(OP_TotalRates_SME_2[[Ausnet]:[United Energy]],MATCH("TOU - supply",OP_TotalRates_SME_2[[Rate name]:[Rate name]],0),MATCH(M$24,OP_TotalRates_SME_2[[#Headers],[Ausnet]:[United Energy]],0))*DiPY)+
(INDEX(OP_TotalRates_SME_2[[Ausnet]:[United Energy]],MATCH("Peak",OP_TotalRates_SME_2[[Rate name]:[Rate name]],0),MATCH(M$24,OP_TotalRates_SME_2[[#Headers],[Ausnet]:[United Energy]],0))*
INDEX(Input_Usage[],MATCH($L26&amp;" - Peak",Input_Usage[[Ref]:[Ref]],0),MATCH($D$7,Inputs!$C$147:$BA$147,0)))+
IFERROR((INDEX(OP_TotalRates_SME_2[[Ausnet]:[United Energy]],MATCH("TOU - Shoulder",OP_TotalRates_SME_2[[Rate name]:[Rate name]],0),MATCH(M$24,OP_TotalRates_SME_2[[#Headers],[Ausnet]:[United Energy]],0))*
INDEX(Input_Usage[],MATCH($L26&amp;" - Shoulder",Input_Usage[[Ref]:[Ref]],0),MATCH($D$7,Inputs!$C$147:$BA$147,0))),0)+
(INDEX(OP_TotalRates_SME_2[[Ausnet]:[United Energy]],MATCH("Off peak",OP_TotalRates_SME_2[[Rate name]:[Rate name]],0),MATCH(M$24,OP_TotalRates_SME_2[[#Headers],[Ausnet]:[United Energy]],0))*
INDEX(Input_Usage[],MATCH($L26&amp;" - Off peak",Input_Usage[[Ref]:[Ref]],0),MATCH($D$7,Inputs!$C$147:$BA$147,0))),0)),"-")</f>
        <v>7256</v>
      </c>
      <c r="N26" s="226">
        <f>IFERROR(
IF($D$7="VDO 2021 - Final",
ROUNDUP(
(INDEX(OP_TotalRates_SME_2[[Ausnet]:[United Energy]],MATCH("Anytime - supply",OP_TotalRates_SME_2[[Rate name]:[Rate name]],0),MATCH(N$24,OP_TotalRates_SME_2[[#Headers],[Ausnet]:[United Energy]],0))*DiPY)+
(IFERROR((INDEX(OP_TotalRates_SME_2[[Ausnet]:[United Energy]],MATCH("Block 1",OP_TotalRates_SME_2[[Rate name]:[Rate name]],0),MATCH(N$24,OP_TotalRates_SME_2[[#Headers],[Ausnet]:[United Energy]],0))*
INDEX(Input_Usage[],MATCH($L26&amp;" - Block 1",Input_Usage[[Ref]:[Ref]],0),MATCH($D$7,Inputs!$C$147:$BA$147,0))),0)+
IFERROR((INDEX(OP_TotalRates_SME_2[[Ausnet]:[United Energy]],MATCH("Balance",OP_TotalRates_SME_2[[Rate name]:[Rate name]],0),MATCH(N$24,OP_TotalRates_SME_2[[#Headers],[Ausnet]:[United Energy]],0))*
INDEX(Input_Usage[],MATCH($L26&amp;" - Balance",Input_Usage[[Ref]:[Ref]],0),MATCH($D$7,Inputs!$C$147:$BA$147,0))),0)+
IFERROR((INDEX(OP_TotalRates_SME_2[[Ausnet]:[United Energy]],MATCH("Single rate",OP_TotalRates_SME_2[[Rate name]:[Rate name]],0),MATCH(N$24,OP_TotalRates_SME_2[[#Headers],[Ausnet]:[United Energy]],0))*
INDEX(Input_Usage[],MATCH($L26&amp;" - Annual",Input_Usage[[Ref]:[Ref]],0),MATCH($D$7,Inputs!$C$147:$BA$147,0))),0)),0),
ROUNDUP(
(INDEX(OP_TotalRates_SME_2[[Ausnet]:[United Energy]],MATCH("TOU - supply",OP_TotalRates_SME_2[[Rate name]:[Rate name]],0),MATCH(N$24,OP_TotalRates_SME_2[[#Headers],[Ausnet]:[United Energy]],0))*DiPY)+
(INDEX(OP_TotalRates_SME_2[[Ausnet]:[United Energy]],MATCH("Peak",OP_TotalRates_SME_2[[Rate name]:[Rate name]],0),MATCH(N$24,OP_TotalRates_SME_2[[#Headers],[Ausnet]:[United Energy]],0))*
INDEX(Input_Usage[],MATCH($L26&amp;" - Peak",Input_Usage[[Ref]:[Ref]],0),MATCH($D$7,Inputs!$C$147:$BA$147,0)))+
IFERROR((INDEX(OP_TotalRates_SME_2[[Ausnet]:[United Energy]],MATCH("TOU - Shoulder",OP_TotalRates_SME_2[[Rate name]:[Rate name]],0),MATCH(N$24,OP_TotalRates_SME_2[[#Headers],[Ausnet]:[United Energy]],0))*
INDEX(Input_Usage[],MATCH($L26&amp;" - Shoulder",Input_Usage[[Ref]:[Ref]],0),MATCH($D$7,Inputs!$C$147:$BA$147,0))),0)+
(INDEX(OP_TotalRates_SME_2[[Ausnet]:[United Energy]],MATCH("Off peak",OP_TotalRates_SME_2[[Rate name]:[Rate name]],0),MATCH(N$24,OP_TotalRates_SME_2[[#Headers],[Ausnet]:[United Energy]],0))*
INDEX(Input_Usage[],MATCH($L26&amp;" - Off peak",Input_Usage[[Ref]:[Ref]],0),MATCH($D$7,Inputs!$C$147:$BA$147,0))),0)),"-")</f>
        <v>6126</v>
      </c>
      <c r="O26" s="226">
        <f>IFERROR(
IF($D$7="VDO 2021 - Final",
ROUNDUP(
(INDEX(OP_TotalRates_SME_2[[Ausnet]:[United Energy]],MATCH("Anytime - supply",OP_TotalRates_SME_2[[Rate name]:[Rate name]],0),MATCH(O$24,OP_TotalRates_SME_2[[#Headers],[Ausnet]:[United Energy]],0))*DiPY)+
(IFERROR((INDEX(OP_TotalRates_SME_2[[Ausnet]:[United Energy]],MATCH("Block 1",OP_TotalRates_SME_2[[Rate name]:[Rate name]],0),MATCH(O$24,OP_TotalRates_SME_2[[#Headers],[Ausnet]:[United Energy]],0))*
INDEX(Input_Usage[],MATCH($L26&amp;" - Block 1",Input_Usage[[Ref]:[Ref]],0),MATCH($D$7,Inputs!$C$147:$BA$147,0))),0)+
IFERROR((INDEX(OP_TotalRates_SME_2[[Ausnet]:[United Energy]],MATCH("Balance",OP_TotalRates_SME_2[[Rate name]:[Rate name]],0),MATCH(O$24,OP_TotalRates_SME_2[[#Headers],[Ausnet]:[United Energy]],0))*
INDEX(Input_Usage[],MATCH($L26&amp;" - Balance",Input_Usage[[Ref]:[Ref]],0),MATCH($D$7,Inputs!$C$147:$BA$147,0))),0)+
IFERROR((INDEX(OP_TotalRates_SME_2[[Ausnet]:[United Energy]],MATCH("Single rate",OP_TotalRates_SME_2[[Rate name]:[Rate name]],0),MATCH(O$24,OP_TotalRates_SME_2[[#Headers],[Ausnet]:[United Energy]],0))*
INDEX(Input_Usage[],MATCH($L26&amp;" - Annual",Input_Usage[[Ref]:[Ref]],0),MATCH($D$7,Inputs!$C$147:$BA$147,0))),0)),0),
ROUNDUP(
(INDEX(OP_TotalRates_SME_2[[Ausnet]:[United Energy]],MATCH("TOU - supply",OP_TotalRates_SME_2[[Rate name]:[Rate name]],0),MATCH(O$24,OP_TotalRates_SME_2[[#Headers],[Ausnet]:[United Energy]],0))*DiPY)+
(INDEX(OP_TotalRates_SME_2[[Ausnet]:[United Energy]],MATCH("Peak",OP_TotalRates_SME_2[[Rate name]:[Rate name]],0),MATCH(O$24,OP_TotalRates_SME_2[[#Headers],[Ausnet]:[United Energy]],0))*
INDEX(Input_Usage[],MATCH($L26&amp;" - Peak",Input_Usage[[Ref]:[Ref]],0),MATCH($D$7,Inputs!$C$147:$BA$147,0)))+
IFERROR((INDEX(OP_TotalRates_SME_2[[Ausnet]:[United Energy]],MATCH("TOU - Shoulder",OP_TotalRates_SME_2[[Rate name]:[Rate name]],0),MATCH(O$24,OP_TotalRates_SME_2[[#Headers],[Ausnet]:[United Energy]],0))*
INDEX(Input_Usage[],MATCH($L26&amp;" - Shoulder",Input_Usage[[Ref]:[Ref]],0),MATCH($D$7,Inputs!$C$147:$BA$147,0))),0)+
(INDEX(OP_TotalRates_SME_2[[Ausnet]:[United Energy]],MATCH("Off peak",OP_TotalRates_SME_2[[Rate name]:[Rate name]],0),MATCH(O$24,OP_TotalRates_SME_2[[#Headers],[Ausnet]:[United Energy]],0))*
INDEX(Input_Usage[],MATCH($L26&amp;" - Off peak",Input_Usage[[Ref]:[Ref]],0),MATCH($D$7,Inputs!$C$147:$BA$147,0))),0)),"-")</f>
        <v>6583</v>
      </c>
      <c r="P26" s="226">
        <f>IFERROR(
IF($D$7="VDO 2021 - Final",
ROUNDUP(
(INDEX(OP_TotalRates_SME_2[[Ausnet]:[United Energy]],MATCH("Anytime - supply",OP_TotalRates_SME_2[[Rate name]:[Rate name]],0),MATCH(P$24,OP_TotalRates_SME_2[[#Headers],[Ausnet]:[United Energy]],0))*DiPY)+
(IFERROR((INDEX(OP_TotalRates_SME_2[[Ausnet]:[United Energy]],MATCH("Block 1",OP_TotalRates_SME_2[[Rate name]:[Rate name]],0),MATCH(P$24,OP_TotalRates_SME_2[[#Headers],[Ausnet]:[United Energy]],0))*
INDEX(Input_Usage[],MATCH($L26&amp;" - Block 1",Input_Usage[[Ref]:[Ref]],0),MATCH($D$7,Inputs!$C$147:$BA$147,0))),0)+
IFERROR((INDEX(OP_TotalRates_SME_2[[Ausnet]:[United Energy]],MATCH("Balance",OP_TotalRates_SME_2[[Rate name]:[Rate name]],0),MATCH(P$24,OP_TotalRates_SME_2[[#Headers],[Ausnet]:[United Energy]],0))*
INDEX(Input_Usage[],MATCH($L26&amp;" - Balance",Input_Usage[[Ref]:[Ref]],0),MATCH($D$7,Inputs!$C$147:$BA$147,0))),0)+
IFERROR((INDEX(OP_TotalRates_SME_2[[Ausnet]:[United Energy]],MATCH("Single rate",OP_TotalRates_SME_2[[Rate name]:[Rate name]],0),MATCH(P$24,OP_TotalRates_SME_2[[#Headers],[Ausnet]:[United Energy]],0))*
INDEX(Input_Usage[],MATCH($L26&amp;" - Annual",Input_Usage[[Ref]:[Ref]],0),MATCH($D$7,Inputs!$C$147:$BA$147,0))),0)),0),
ROUNDUP(
(INDEX(OP_TotalRates_SME_2[[Ausnet]:[United Energy]],MATCH("TOU - supply",OP_TotalRates_SME_2[[Rate name]:[Rate name]],0),MATCH(P$24,OP_TotalRates_SME_2[[#Headers],[Ausnet]:[United Energy]],0))*DiPY)+
(INDEX(OP_TotalRates_SME_2[[Ausnet]:[United Energy]],MATCH("Peak",OP_TotalRates_SME_2[[Rate name]:[Rate name]],0),MATCH(P$24,OP_TotalRates_SME_2[[#Headers],[Ausnet]:[United Energy]],0))*
INDEX(Input_Usage[],MATCH($L26&amp;" - Peak",Input_Usage[[Ref]:[Ref]],0),MATCH($D$7,Inputs!$C$147:$BA$147,0)))+
IFERROR((INDEX(OP_TotalRates_SME_2[[Ausnet]:[United Energy]],MATCH("TOU - Shoulder",OP_TotalRates_SME_2[[Rate name]:[Rate name]],0),MATCH(P$24,OP_TotalRates_SME_2[[#Headers],[Ausnet]:[United Energy]],0))*
INDEX(Input_Usage[],MATCH($L26&amp;" - Shoulder",Input_Usage[[Ref]:[Ref]],0),MATCH($D$7,Inputs!$C$147:$BA$147,0))),0)+
(INDEX(OP_TotalRates_SME_2[[Ausnet]:[United Energy]],MATCH("Off peak",OP_TotalRates_SME_2[[Rate name]:[Rate name]],0),MATCH(P$24,OP_TotalRates_SME_2[[#Headers],[Ausnet]:[United Energy]],0))*
INDEX(Input_Usage[],MATCH($L26&amp;" - Off peak",Input_Usage[[Ref]:[Ref]],0),MATCH($D$7,Inputs!$C$147:$BA$147,0))),0)),"-")</f>
        <v>6814</v>
      </c>
      <c r="Q26" s="226">
        <f>IFERROR(
IF($D$7="VDO 2021 - Final",
ROUNDUP(
(INDEX(OP_TotalRates_SME_2[[Ausnet]:[United Energy]],MATCH("Anytime - supply",OP_TotalRates_SME_2[[Rate name]:[Rate name]],0),MATCH(Q$24,OP_TotalRates_SME_2[[#Headers],[Ausnet]:[United Energy]],0))*DiPY)+
(IFERROR((INDEX(OP_TotalRates_SME_2[[Ausnet]:[United Energy]],MATCH("Block 1",OP_TotalRates_SME_2[[Rate name]:[Rate name]],0),MATCH(Q$24,OP_TotalRates_SME_2[[#Headers],[Ausnet]:[United Energy]],0))*
INDEX(Input_Usage[],MATCH($L26&amp;" - Block 1",Input_Usage[[Ref]:[Ref]],0),MATCH($D$7,Inputs!$C$147:$BA$147,0))),0)+
IFERROR((INDEX(OP_TotalRates_SME_2[[Ausnet]:[United Energy]],MATCH("Balance",OP_TotalRates_SME_2[[Rate name]:[Rate name]],0),MATCH(Q$24,OP_TotalRates_SME_2[[#Headers],[Ausnet]:[United Energy]],0))*
INDEX(Input_Usage[],MATCH($L26&amp;" - Balance",Input_Usage[[Ref]:[Ref]],0),MATCH($D$7,Inputs!$C$147:$BA$147,0))),0)+
IFERROR((INDEX(OP_TotalRates_SME_2[[Ausnet]:[United Energy]],MATCH("Single rate",OP_TotalRates_SME_2[[Rate name]:[Rate name]],0),MATCH(Q$24,OP_TotalRates_SME_2[[#Headers],[Ausnet]:[United Energy]],0))*
INDEX(Input_Usage[],MATCH($L26&amp;" - Annual",Input_Usage[[Ref]:[Ref]],0),MATCH($D$7,Inputs!$C$147:$BA$147,0))),0)),0),
ROUNDUP(
(INDEX(OP_TotalRates_SME_2[[Ausnet]:[United Energy]],MATCH("TOU - supply",OP_TotalRates_SME_2[[Rate name]:[Rate name]],0),MATCH(Q$24,OP_TotalRates_SME_2[[#Headers],[Ausnet]:[United Energy]],0))*DiPY)+
(INDEX(OP_TotalRates_SME_2[[Ausnet]:[United Energy]],MATCH("Peak",OP_TotalRates_SME_2[[Rate name]:[Rate name]],0),MATCH(Q$24,OP_TotalRates_SME_2[[#Headers],[Ausnet]:[United Energy]],0))*
INDEX(Input_Usage[],MATCH($L26&amp;" - Peak",Input_Usage[[Ref]:[Ref]],0),MATCH($D$7,Inputs!$C$147:$BA$147,0)))+
IFERROR((INDEX(OP_TotalRates_SME_2[[Ausnet]:[United Energy]],MATCH("TOU - Shoulder",OP_TotalRates_SME_2[[Rate name]:[Rate name]],0),MATCH(Q$24,OP_TotalRates_SME_2[[#Headers],[Ausnet]:[United Energy]],0))*
INDEX(Input_Usage[],MATCH($L26&amp;" - Shoulder",Input_Usage[[Ref]:[Ref]],0),MATCH($D$7,Inputs!$C$147:$BA$147,0))),0)+
(INDEX(OP_TotalRates_SME_2[[Ausnet]:[United Energy]],MATCH("Off peak",OP_TotalRates_SME_2[[Rate name]:[Rate name]],0),MATCH(Q$24,OP_TotalRates_SME_2[[#Headers],[Ausnet]:[United Energy]],0))*
INDEX(Input_Usage[],MATCH($L26&amp;" - Off peak",Input_Usage[[Ref]:[Ref]],0),MATCH($D$7,Inputs!$C$147:$BA$147,0))),0)),"-")</f>
        <v>6491</v>
      </c>
    </row>
    <row r="27" spans="1:18" hidden="1" x14ac:dyDescent="0.25">
      <c r="C27" s="33" t="s">
        <v>66</v>
      </c>
      <c r="D27" s="33" t="s">
        <v>90</v>
      </c>
      <c r="E27" s="226">
        <f>IFERROR(
IF($D$7="VDO 2021 - Final",
ROUNDUP(
(INDEX(OP_TotalRates_RES_2[[Ausnet]:[United Energy]],MATCH("Anytime - supply",OP_TotalRates_RES_2[[Rate name]:[Rate name]],0),MATCH(E$24,OP_TotalRates_RES_2[[#Headers],[Ausnet]:[United Energy]],0))*DiPY)+
(IFERROR((INDEX(OP_TotalRates_RES_2[[Ausnet]:[United Energy]],MATCH("Block 1",OP_TotalRates_RES_2[[Rate name]:[Rate name]],0),MATCH(E$24,OP_TotalRates_RES_2[[#Headers],[Ausnet]:[United Energy]],0))*
INDEX(Input_Usage[],MATCH($D27&amp;" - Block 1",Input_Usage[[Ref]:[Ref]],0),MATCH($D$7,Inputs!$C$147:$BA$147,0))),0)+
IFERROR((INDEX(OP_TotalRates_RES_2[[Ausnet]:[United Energy]],MATCH("Balance",OP_TotalRates_RES_2[[Rate name]:[Rate name]],0),MATCH(E$24,OP_TotalRates_RES_2[[#Headers],[Ausnet]:[United Energy]],0))*
INDEX(Input_Usage[],MATCH($D27&amp;" - Balance",Input_Usage[[Ref]:[Ref]],0),MATCH($D$7,Inputs!$C$147:$BA$147,0))),0)+
IFERROR((INDEX(OP_TotalRates_RES_2[[Ausnet]:[United Energy]],MATCH("Single rate",OP_TotalRates_RES_2[[Rate name]:[Rate name]],0),MATCH(E$24,OP_TotalRates_RES_2[[#Headers],[Ausnet]:[United Energy]],0))*
INDEX(Input_Usage[],MATCH($D27&amp;" - Annual",Input_Usage[[Ref]:[Ref]],0),MATCH($D$7,Inputs!$C$147:$BA$147,0))),0)),0),
ROUNDUP(
(INDEX(OP_TotalRates_RES_2[[Ausnet]:[United Energy]],MATCH("TOU - supply",OP_TotalRates_RES_2[[Rate name]:[Rate name]],0),MATCH(E$24,OP_TotalRates_RES_2[[#Headers],[Ausnet]:[United Energy]],0))*DiPY)+
(INDEX(OP_TotalRates_RES_2[[Ausnet]:[United Energy]],MATCH("Peak",OP_TotalRates_RES_2[[Rate name]:[Rate name]],0),MATCH(E$24,OP_TotalRates_RES_2[[#Headers],[Ausnet]:[United Energy]],0))*
INDEX(Input_Usage[],MATCH($D27&amp;" - Peak",Input_Usage[[Ref]:[Ref]],0),MATCH($D$7,Inputs!$C$147:$BA$147,0)))+
IFERROR((INDEX(OP_TotalRates_RES_2[[Ausnet]:[United Energy]],MATCH("TOU - Shoulder",OP_TotalRates_RES_2[[Rate name]:[Rate name]],0),MATCH(E$24,OP_TotalRates_RES_2[[#Headers],[Ausnet]:[United Energy]],0))*
INDEX(Input_Usage[],MATCH($D27&amp;" - Shoulder",Input_Usage[[Ref]:[Ref]],0),MATCH($D$7,Inputs!$C$147:$BA$147,0))),0)+
(INDEX(OP_TotalRates_RES_2[[Ausnet]:[United Energy]],MATCH("Off peak",OP_TotalRates_RES_2[[Rate name]:[Rate name]],0),MATCH(E$24,OP_TotalRates_RES_2[[#Headers],[Ausnet]:[United Energy]],0))*
INDEX(Input_Usage[],MATCH($D27&amp;" - Off peak",Input_Usage[[Ref]:[Ref]],0),MATCH($D$7,Inputs!$C$147:$BA$147,0))),0)),"-")</f>
        <v>3325</v>
      </c>
      <c r="F27" s="226">
        <f>IFERROR(
IF($D$7="VDO 2021 - Final",
ROUNDUP(
(INDEX(OP_TotalRates_RES_2[[Ausnet]:[United Energy]],MATCH("Anytime - supply",OP_TotalRates_RES_2[[Rate name]:[Rate name]],0),MATCH(F$24,OP_TotalRates_RES_2[[#Headers],[Ausnet]:[United Energy]],0))*DiPY)+
(IFERROR((INDEX(OP_TotalRates_RES_2[[Ausnet]:[United Energy]],MATCH("Block 1",OP_TotalRates_RES_2[[Rate name]:[Rate name]],0),MATCH(F$24,OP_TotalRates_RES_2[[#Headers],[Ausnet]:[United Energy]],0))*
INDEX(Input_Usage[],MATCH($D27&amp;" - Block 1",Input_Usage[[Ref]:[Ref]],0),MATCH($D$7,Inputs!$C$147:$BA$147,0))),0)+
IFERROR((INDEX(OP_TotalRates_RES_2[[Ausnet]:[United Energy]],MATCH("Balance",OP_TotalRates_RES_2[[Rate name]:[Rate name]],0),MATCH(F$24,OP_TotalRates_RES_2[[#Headers],[Ausnet]:[United Energy]],0))*
INDEX(Input_Usage[],MATCH($D27&amp;" - Balance",Input_Usage[[Ref]:[Ref]],0),MATCH($D$7,Inputs!$C$147:$BA$147,0))),0)+
IFERROR((INDEX(OP_TotalRates_RES_2[[Ausnet]:[United Energy]],MATCH("Single rate",OP_TotalRates_RES_2[[Rate name]:[Rate name]],0),MATCH(F$24,OP_TotalRates_RES_2[[#Headers],[Ausnet]:[United Energy]],0))*
INDEX(Input_Usage[],MATCH($D27&amp;" - Annual",Input_Usage[[Ref]:[Ref]],0),MATCH($D$7,Inputs!$C$147:$BA$147,0))),0)),0),
ROUNDUP(
(INDEX(OP_TotalRates_RES_2[[Ausnet]:[United Energy]],MATCH("TOU - supply",OP_TotalRates_RES_2[[Rate name]:[Rate name]],0),MATCH(F$24,OP_TotalRates_RES_2[[#Headers],[Ausnet]:[United Energy]],0))*DiPY)+
(INDEX(OP_TotalRates_RES_2[[Ausnet]:[United Energy]],MATCH("Peak",OP_TotalRates_RES_2[[Rate name]:[Rate name]],0),MATCH(F$24,OP_TotalRates_RES_2[[#Headers],[Ausnet]:[United Energy]],0))*
INDEX(Input_Usage[],MATCH($D27&amp;" - Peak",Input_Usage[[Ref]:[Ref]],0),MATCH($D$7,Inputs!$C$147:$BA$147,0)))+
IFERROR((INDEX(OP_TotalRates_RES_2[[Ausnet]:[United Energy]],MATCH("TOU - Shoulder",OP_TotalRates_RES_2[[Rate name]:[Rate name]],0),MATCH(F$24,OP_TotalRates_RES_2[[#Headers],[Ausnet]:[United Energy]],0))*
INDEX(Input_Usage[],MATCH($D27&amp;" - Shoulder",Input_Usage[[Ref]:[Ref]],0),MATCH($D$7,Inputs!$C$147:$BA$147,0))),0)+
(INDEX(OP_TotalRates_RES_2[[Ausnet]:[United Energy]],MATCH("Off peak",OP_TotalRates_RES_2[[Rate name]:[Rate name]],0),MATCH(F$24,OP_TotalRates_RES_2[[#Headers],[Ausnet]:[United Energy]],0))*
INDEX(Input_Usage[],MATCH($D27&amp;" - Off peak",Input_Usage[[Ref]:[Ref]],0),MATCH($D$7,Inputs!$C$147:$BA$147,0))),0)),"-")</f>
        <v>2713</v>
      </c>
      <c r="G27" s="226">
        <f>IFERROR(
IF($D$7="VDO 2021 - Final",
ROUNDUP(
(INDEX(OP_TotalRates_RES_2[[Ausnet]:[United Energy]],MATCH("Anytime - supply",OP_TotalRates_RES_2[[Rate name]:[Rate name]],0),MATCH(G$24,OP_TotalRates_RES_2[[#Headers],[Ausnet]:[United Energy]],0))*DiPY)+
(IFERROR((INDEX(OP_TotalRates_RES_2[[Ausnet]:[United Energy]],MATCH("Block 1",OP_TotalRates_RES_2[[Rate name]:[Rate name]],0),MATCH(G$24,OP_TotalRates_RES_2[[#Headers],[Ausnet]:[United Energy]],0))*
INDEX(Input_Usage[],MATCH($D27&amp;" - Block 1",Input_Usage[[Ref]:[Ref]],0),MATCH($D$7,Inputs!$C$147:$BA$147,0))),0)+
IFERROR((INDEX(OP_TotalRates_RES_2[[Ausnet]:[United Energy]],MATCH("Balance",OP_TotalRates_RES_2[[Rate name]:[Rate name]],0),MATCH(G$24,OP_TotalRates_RES_2[[#Headers],[Ausnet]:[United Energy]],0))*
INDEX(Input_Usage[],MATCH($D27&amp;" - Balance",Input_Usage[[Ref]:[Ref]],0),MATCH($D$7,Inputs!$C$147:$BA$147,0))),0)+
IFERROR((INDEX(OP_TotalRates_RES_2[[Ausnet]:[United Energy]],MATCH("Single rate",OP_TotalRates_RES_2[[Rate name]:[Rate name]],0),MATCH(G$24,OP_TotalRates_RES_2[[#Headers],[Ausnet]:[United Energy]],0))*
INDEX(Input_Usage[],MATCH($D27&amp;" - Annual",Input_Usage[[Ref]:[Ref]],0),MATCH($D$7,Inputs!$C$147:$BA$147,0))),0)),0),
ROUNDUP(
(INDEX(OP_TotalRates_RES_2[[Ausnet]:[United Energy]],MATCH("TOU - supply",OP_TotalRates_RES_2[[Rate name]:[Rate name]],0),MATCH(G$24,OP_TotalRates_RES_2[[#Headers],[Ausnet]:[United Energy]],0))*DiPY)+
(INDEX(OP_TotalRates_RES_2[[Ausnet]:[United Energy]],MATCH("Peak",OP_TotalRates_RES_2[[Rate name]:[Rate name]],0),MATCH(G$24,OP_TotalRates_RES_2[[#Headers],[Ausnet]:[United Energy]],0))*
INDEX(Input_Usage[],MATCH($D27&amp;" - Peak",Input_Usage[[Ref]:[Ref]],0),MATCH($D$7,Inputs!$C$147:$BA$147,0)))+
IFERROR((INDEX(OP_TotalRates_RES_2[[Ausnet]:[United Energy]],MATCH("TOU - Shoulder",OP_TotalRates_RES_2[[Rate name]:[Rate name]],0),MATCH(G$24,OP_TotalRates_RES_2[[#Headers],[Ausnet]:[United Energy]],0))*
INDEX(Input_Usage[],MATCH($D27&amp;" - Shoulder",Input_Usage[[Ref]:[Ref]],0),MATCH($D$7,Inputs!$C$147:$BA$147,0))),0)+
(INDEX(OP_TotalRates_RES_2[[Ausnet]:[United Energy]],MATCH("Off peak",OP_TotalRates_RES_2[[Rate name]:[Rate name]],0),MATCH(G$24,OP_TotalRates_RES_2[[#Headers],[Ausnet]:[United Energy]],0))*
INDEX(Input_Usage[],MATCH($D27&amp;" - Off peak",Input_Usage[[Ref]:[Ref]],0),MATCH($D$7,Inputs!$C$147:$BA$147,0))),0)),"-")</f>
        <v>2908</v>
      </c>
      <c r="H27" s="226">
        <f>IFERROR(
IF($D$7="VDO 2021 - Final",
ROUNDUP(
(INDEX(OP_TotalRates_RES_2[[Ausnet]:[United Energy]],MATCH("Anytime - supply",OP_TotalRates_RES_2[[Rate name]:[Rate name]],0),MATCH(H$24,OP_TotalRates_RES_2[[#Headers],[Ausnet]:[United Energy]],0))*DiPY)+
(IFERROR((INDEX(OP_TotalRates_RES_2[[Ausnet]:[United Energy]],MATCH("Block 1",OP_TotalRates_RES_2[[Rate name]:[Rate name]],0),MATCH(H$24,OP_TotalRates_RES_2[[#Headers],[Ausnet]:[United Energy]],0))*
INDEX(Input_Usage[],MATCH($D27&amp;" - Block 1",Input_Usage[[Ref]:[Ref]],0),MATCH($D$7,Inputs!$C$147:$BA$147,0))),0)+
IFERROR((INDEX(OP_TotalRates_RES_2[[Ausnet]:[United Energy]],MATCH("Balance",OP_TotalRates_RES_2[[Rate name]:[Rate name]],0),MATCH(H$24,OP_TotalRates_RES_2[[#Headers],[Ausnet]:[United Energy]],0))*
INDEX(Input_Usage[],MATCH($D27&amp;" - Balance",Input_Usage[[Ref]:[Ref]],0),MATCH($D$7,Inputs!$C$147:$BA$147,0))),0)+
IFERROR((INDEX(OP_TotalRates_RES_2[[Ausnet]:[United Energy]],MATCH("Single rate",OP_TotalRates_RES_2[[Rate name]:[Rate name]],0),MATCH(H$24,OP_TotalRates_RES_2[[#Headers],[Ausnet]:[United Energy]],0))*
INDEX(Input_Usage[],MATCH($D27&amp;" - Annual",Input_Usage[[Ref]:[Ref]],0),MATCH($D$7,Inputs!$C$147:$BA$147,0))),0)),0),
ROUNDUP(
(INDEX(OP_TotalRates_RES_2[[Ausnet]:[United Energy]],MATCH("TOU - supply",OP_TotalRates_RES_2[[Rate name]:[Rate name]],0),MATCH(H$24,OP_TotalRates_RES_2[[#Headers],[Ausnet]:[United Energy]],0))*DiPY)+
(INDEX(OP_TotalRates_RES_2[[Ausnet]:[United Energy]],MATCH("Peak",OP_TotalRates_RES_2[[Rate name]:[Rate name]],0),MATCH(H$24,OP_TotalRates_RES_2[[#Headers],[Ausnet]:[United Energy]],0))*
INDEX(Input_Usage[],MATCH($D27&amp;" - Peak",Input_Usage[[Ref]:[Ref]],0),MATCH($D$7,Inputs!$C$147:$BA$147,0)))+
IFERROR((INDEX(OP_TotalRates_RES_2[[Ausnet]:[United Energy]],MATCH("TOU - Shoulder",OP_TotalRates_RES_2[[Rate name]:[Rate name]],0),MATCH(H$24,OP_TotalRates_RES_2[[#Headers],[Ausnet]:[United Energy]],0))*
INDEX(Input_Usage[],MATCH($D27&amp;" - Shoulder",Input_Usage[[Ref]:[Ref]],0),MATCH($D$7,Inputs!$C$147:$BA$147,0))),0)+
(INDEX(OP_TotalRates_RES_2[[Ausnet]:[United Energy]],MATCH("Off peak",OP_TotalRates_RES_2[[Rate name]:[Rate name]],0),MATCH(H$24,OP_TotalRates_RES_2[[#Headers],[Ausnet]:[United Energy]],0))*
INDEX(Input_Usage[],MATCH($D27&amp;" - Off peak",Input_Usage[[Ref]:[Ref]],0),MATCH($D$7,Inputs!$C$147:$BA$147,0))),0)),"-")</f>
        <v>3088</v>
      </c>
      <c r="I27" s="226">
        <f>IFERROR(
IF($D$7="VDO 2021 - Final",
ROUNDUP(
(INDEX(OP_TotalRates_RES_2[[Ausnet]:[United Energy]],MATCH("Anytime - supply",OP_TotalRates_RES_2[[Rate name]:[Rate name]],0),MATCH(I$24,OP_TotalRates_RES_2[[#Headers],[Ausnet]:[United Energy]],0))*DiPY)+
(IFERROR((INDEX(OP_TotalRates_RES_2[[Ausnet]:[United Energy]],MATCH("Block 1",OP_TotalRates_RES_2[[Rate name]:[Rate name]],0),MATCH(I$24,OP_TotalRates_RES_2[[#Headers],[Ausnet]:[United Energy]],0))*
INDEX(Input_Usage[],MATCH($D27&amp;" - Block 1",Input_Usage[[Ref]:[Ref]],0),MATCH($D$7,Inputs!$C$147:$BA$147,0))),0)+
IFERROR((INDEX(OP_TotalRates_RES_2[[Ausnet]:[United Energy]],MATCH("Balance",OP_TotalRates_RES_2[[Rate name]:[Rate name]],0),MATCH(I$24,OP_TotalRates_RES_2[[#Headers],[Ausnet]:[United Energy]],0))*
INDEX(Input_Usage[],MATCH($D27&amp;" - Balance",Input_Usage[[Ref]:[Ref]],0),MATCH($D$7,Inputs!$C$147:$BA$147,0))),0)+
IFERROR((INDEX(OP_TotalRates_RES_2[[Ausnet]:[United Energy]],MATCH("Single rate",OP_TotalRates_RES_2[[Rate name]:[Rate name]],0),MATCH(I$24,OP_TotalRates_RES_2[[#Headers],[Ausnet]:[United Energy]],0))*
INDEX(Input_Usage[],MATCH($D27&amp;" - Annual",Input_Usage[[Ref]:[Ref]],0),MATCH($D$7,Inputs!$C$147:$BA$147,0))),0)),0),
ROUNDUP(
(INDEX(OP_TotalRates_RES_2[[Ausnet]:[United Energy]],MATCH("TOU - supply",OP_TotalRates_RES_2[[Rate name]:[Rate name]],0),MATCH(I$24,OP_TotalRates_RES_2[[#Headers],[Ausnet]:[United Energy]],0))*DiPY)+
(INDEX(OP_TotalRates_RES_2[[Ausnet]:[United Energy]],MATCH("Peak",OP_TotalRates_RES_2[[Rate name]:[Rate name]],0),MATCH(I$24,OP_TotalRates_RES_2[[#Headers],[Ausnet]:[United Energy]],0))*
INDEX(Input_Usage[],MATCH($D27&amp;" - Peak",Input_Usage[[Ref]:[Ref]],0),MATCH($D$7,Inputs!$C$147:$BA$147,0)))+
IFERROR((INDEX(OP_TotalRates_RES_2[[Ausnet]:[United Energy]],MATCH("TOU - Shoulder",OP_TotalRates_RES_2[[Rate name]:[Rate name]],0),MATCH(I$24,OP_TotalRates_RES_2[[#Headers],[Ausnet]:[United Energy]],0))*
INDEX(Input_Usage[],MATCH($D27&amp;" - Shoulder",Input_Usage[[Ref]:[Ref]],0),MATCH($D$7,Inputs!$C$147:$BA$147,0))),0)+
(INDEX(OP_TotalRates_RES_2[[Ausnet]:[United Energy]],MATCH("Off peak",OP_TotalRates_RES_2[[Rate name]:[Rate name]],0),MATCH(I$24,OP_TotalRates_RES_2[[#Headers],[Ausnet]:[United Energy]],0))*
INDEX(Input_Usage[],MATCH($D27&amp;" - Off peak",Input_Usage[[Ref]:[Ref]],0),MATCH($D$7,Inputs!$C$147:$BA$147,0))),0)),"-")</f>
        <v>2912</v>
      </c>
      <c r="K27" s="33" t="s">
        <v>67</v>
      </c>
      <c r="L27" s="33" t="s">
        <v>91</v>
      </c>
      <c r="M27" s="226">
        <f>IFERROR(
IF($D$7="VDO 2021 - Final",
ROUNDUP(
(INDEX(OP_TotalRates_SME_2[[Ausnet]:[United Energy]],MATCH("Anytime - supply",OP_TotalRates_SME_2[[Rate name]:[Rate name]],0),MATCH(M$24,OP_TotalRates_SME_2[[#Headers],[Ausnet]:[United Energy]],0))*DiPY)+
(IFERROR((INDEX(OP_TotalRates_SME_2[[Ausnet]:[United Energy]],MATCH("Block 1",OP_TotalRates_SME_2[[Rate name]:[Rate name]],0),MATCH(M$24,OP_TotalRates_SME_2[[#Headers],[Ausnet]:[United Energy]],0))*
INDEX(Input_Usage[],MATCH($L27&amp;" - Block 1",Input_Usage[[Ref]:[Ref]],0),MATCH($D$7,Inputs!$C$147:$BA$147,0))),0)+
IFERROR((INDEX(OP_TotalRates_SME_2[[Ausnet]:[United Energy]],MATCH("Balance",OP_TotalRates_SME_2[[Rate name]:[Rate name]],0),MATCH(M$24,OP_TotalRates_SME_2[[#Headers],[Ausnet]:[United Energy]],0))*
INDEX(Input_Usage[],MATCH($L27&amp;" - Balance",Input_Usage[[Ref]:[Ref]],0),MATCH($D$7,Inputs!$C$147:$BA$147,0))),0)+
IFERROR((INDEX(OP_TotalRates_SME_2[[Ausnet]:[United Energy]],MATCH("Single rate",OP_TotalRates_SME_2[[Rate name]:[Rate name]],0),MATCH(M$24,OP_TotalRates_SME_2[[#Headers],[Ausnet]:[United Energy]],0))*
INDEX(Input_Usage[],MATCH($L27&amp;" - Annual",Input_Usage[[Ref]:[Ref]],0),MATCH($D$7,Inputs!$C$147:$BA$147,0))),0)),0),
ROUNDUP(
(INDEX(OP_TotalRates_SME_2[[Ausnet]:[United Energy]],MATCH("TOU - supply",OP_TotalRates_SME_2[[Rate name]:[Rate name]],0),MATCH(M$24,OP_TotalRates_SME_2[[#Headers],[Ausnet]:[United Energy]],0))*DiPY)+
(INDEX(OP_TotalRates_SME_2[[Ausnet]:[United Energy]],MATCH("Peak",OP_TotalRates_SME_2[[Rate name]:[Rate name]],0),MATCH(M$24,OP_TotalRates_SME_2[[#Headers],[Ausnet]:[United Energy]],0))*
INDEX(Input_Usage[],MATCH($L27&amp;" - Peak",Input_Usage[[Ref]:[Ref]],0),MATCH($D$7,Inputs!$C$147:$BA$147,0)))+
IFERROR((INDEX(OP_TotalRates_SME_2[[Ausnet]:[United Energy]],MATCH("TOU - Shoulder",OP_TotalRates_SME_2[[Rate name]:[Rate name]],0),MATCH(M$24,OP_TotalRates_SME_2[[#Headers],[Ausnet]:[United Energy]],0))*
INDEX(Input_Usage[],MATCH($L27&amp;" - Shoulder",Input_Usage[[Ref]:[Ref]],0),MATCH($D$7,Inputs!$C$147:$BA$147,0))),0)+
(INDEX(OP_TotalRates_SME_2[[Ausnet]:[United Energy]],MATCH("Off peak",OP_TotalRates_SME_2[[Rate name]:[Rate name]],0),MATCH(M$24,OP_TotalRates_SME_2[[#Headers],[Ausnet]:[United Energy]],0))*
INDEX(Input_Usage[],MATCH($L27&amp;" - Off peak",Input_Usage[[Ref]:[Ref]],0),MATCH($D$7,Inputs!$C$147:$BA$147,0))),0)),"-")</f>
        <v>14026</v>
      </c>
      <c r="N27" s="226">
        <f>IFERROR(
IF($D$7="VDO 2021 - Final",
ROUNDUP(
(INDEX(OP_TotalRates_SME_2[[Ausnet]:[United Energy]],MATCH("Anytime - supply",OP_TotalRates_SME_2[[Rate name]:[Rate name]],0),MATCH(N$24,OP_TotalRates_SME_2[[#Headers],[Ausnet]:[United Energy]],0))*DiPY)+
(IFERROR((INDEX(OP_TotalRates_SME_2[[Ausnet]:[United Energy]],MATCH("Block 1",OP_TotalRates_SME_2[[Rate name]:[Rate name]],0),MATCH(N$24,OP_TotalRates_SME_2[[#Headers],[Ausnet]:[United Energy]],0))*
INDEX(Input_Usage[],MATCH($L27&amp;" - Block 1",Input_Usage[[Ref]:[Ref]],0),MATCH($D$7,Inputs!$C$147:$BA$147,0))),0)+
IFERROR((INDEX(OP_TotalRates_SME_2[[Ausnet]:[United Energy]],MATCH("Balance",OP_TotalRates_SME_2[[Rate name]:[Rate name]],0),MATCH(N$24,OP_TotalRates_SME_2[[#Headers],[Ausnet]:[United Energy]],0))*
INDEX(Input_Usage[],MATCH($L27&amp;" - Balance",Input_Usage[[Ref]:[Ref]],0),MATCH($D$7,Inputs!$C$147:$BA$147,0))),0)+
IFERROR((INDEX(OP_TotalRates_SME_2[[Ausnet]:[United Energy]],MATCH("Single rate",OP_TotalRates_SME_2[[Rate name]:[Rate name]],0),MATCH(N$24,OP_TotalRates_SME_2[[#Headers],[Ausnet]:[United Energy]],0))*
INDEX(Input_Usage[],MATCH($L27&amp;" - Annual",Input_Usage[[Ref]:[Ref]],0),MATCH($D$7,Inputs!$C$147:$BA$147,0))),0)),0),
ROUNDUP(
(INDEX(OP_TotalRates_SME_2[[Ausnet]:[United Energy]],MATCH("TOU - supply",OP_TotalRates_SME_2[[Rate name]:[Rate name]],0),MATCH(N$24,OP_TotalRates_SME_2[[#Headers],[Ausnet]:[United Energy]],0))*DiPY)+
(INDEX(OP_TotalRates_SME_2[[Ausnet]:[United Energy]],MATCH("Peak",OP_TotalRates_SME_2[[Rate name]:[Rate name]],0),MATCH(N$24,OP_TotalRates_SME_2[[#Headers],[Ausnet]:[United Energy]],0))*
INDEX(Input_Usage[],MATCH($L27&amp;" - Peak",Input_Usage[[Ref]:[Ref]],0),MATCH($D$7,Inputs!$C$147:$BA$147,0)))+
IFERROR((INDEX(OP_TotalRates_SME_2[[Ausnet]:[United Energy]],MATCH("TOU - Shoulder",OP_TotalRates_SME_2[[Rate name]:[Rate name]],0),MATCH(N$24,OP_TotalRates_SME_2[[#Headers],[Ausnet]:[United Energy]],0))*
INDEX(Input_Usage[],MATCH($L27&amp;" - Shoulder",Input_Usage[[Ref]:[Ref]],0),MATCH($D$7,Inputs!$C$147:$BA$147,0))),0)+
(INDEX(OP_TotalRates_SME_2[[Ausnet]:[United Energy]],MATCH("Off peak",OP_TotalRates_SME_2[[Rate name]:[Rate name]],0),MATCH(N$24,OP_TotalRates_SME_2[[#Headers],[Ausnet]:[United Energy]],0))*
INDEX(Input_Usage[],MATCH($L27&amp;" - Off peak",Input_Usage[[Ref]:[Ref]],0),MATCH($D$7,Inputs!$C$147:$BA$147,0))),0)),"-")</f>
        <v>11760</v>
      </c>
      <c r="O27" s="226">
        <f>IFERROR(
IF($D$7="VDO 2021 - Final",
ROUNDUP(
(INDEX(OP_TotalRates_SME_2[[Ausnet]:[United Energy]],MATCH("Anytime - supply",OP_TotalRates_SME_2[[Rate name]:[Rate name]],0),MATCH(O$24,OP_TotalRates_SME_2[[#Headers],[Ausnet]:[United Energy]],0))*DiPY)+
(IFERROR((INDEX(OP_TotalRates_SME_2[[Ausnet]:[United Energy]],MATCH("Block 1",OP_TotalRates_SME_2[[Rate name]:[Rate name]],0),MATCH(O$24,OP_TotalRates_SME_2[[#Headers],[Ausnet]:[United Energy]],0))*
INDEX(Input_Usage[],MATCH($L27&amp;" - Block 1",Input_Usage[[Ref]:[Ref]],0),MATCH($D$7,Inputs!$C$147:$BA$147,0))),0)+
IFERROR((INDEX(OP_TotalRates_SME_2[[Ausnet]:[United Energy]],MATCH("Balance",OP_TotalRates_SME_2[[Rate name]:[Rate name]],0),MATCH(O$24,OP_TotalRates_SME_2[[#Headers],[Ausnet]:[United Energy]],0))*
INDEX(Input_Usage[],MATCH($L27&amp;" - Balance",Input_Usage[[Ref]:[Ref]],0),MATCH($D$7,Inputs!$C$147:$BA$147,0))),0)+
IFERROR((INDEX(OP_TotalRates_SME_2[[Ausnet]:[United Energy]],MATCH("Single rate",OP_TotalRates_SME_2[[Rate name]:[Rate name]],0),MATCH(O$24,OP_TotalRates_SME_2[[#Headers],[Ausnet]:[United Energy]],0))*
INDEX(Input_Usage[],MATCH($L27&amp;" - Annual",Input_Usage[[Ref]:[Ref]],0),MATCH($D$7,Inputs!$C$147:$BA$147,0))),0)),0),
ROUNDUP(
(INDEX(OP_TotalRates_SME_2[[Ausnet]:[United Energy]],MATCH("TOU - supply",OP_TotalRates_SME_2[[Rate name]:[Rate name]],0),MATCH(O$24,OP_TotalRates_SME_2[[#Headers],[Ausnet]:[United Energy]],0))*DiPY)+
(INDEX(OP_TotalRates_SME_2[[Ausnet]:[United Energy]],MATCH("Peak",OP_TotalRates_SME_2[[Rate name]:[Rate name]],0),MATCH(O$24,OP_TotalRates_SME_2[[#Headers],[Ausnet]:[United Energy]],0))*
INDEX(Input_Usage[],MATCH($L27&amp;" - Peak",Input_Usage[[Ref]:[Ref]],0),MATCH($D$7,Inputs!$C$147:$BA$147,0)))+
IFERROR((INDEX(OP_TotalRates_SME_2[[Ausnet]:[United Energy]],MATCH("TOU - Shoulder",OP_TotalRates_SME_2[[Rate name]:[Rate name]],0),MATCH(O$24,OP_TotalRates_SME_2[[#Headers],[Ausnet]:[United Energy]],0))*
INDEX(Input_Usage[],MATCH($L27&amp;" - Shoulder",Input_Usage[[Ref]:[Ref]],0),MATCH($D$7,Inputs!$C$147:$BA$147,0))),0)+
(INDEX(OP_TotalRates_SME_2[[Ausnet]:[United Energy]],MATCH("Off peak",OP_TotalRates_SME_2[[Rate name]:[Rate name]],0),MATCH(O$24,OP_TotalRates_SME_2[[#Headers],[Ausnet]:[United Energy]],0))*
INDEX(Input_Usage[],MATCH($L27&amp;" - Off peak",Input_Usage[[Ref]:[Ref]],0),MATCH($D$7,Inputs!$C$147:$BA$147,0))),0)),"-")</f>
        <v>12550</v>
      </c>
      <c r="P27" s="226">
        <f>IFERROR(
IF($D$7="VDO 2021 - Final",
ROUNDUP(
(INDEX(OP_TotalRates_SME_2[[Ausnet]:[United Energy]],MATCH("Anytime - supply",OP_TotalRates_SME_2[[Rate name]:[Rate name]],0),MATCH(P$24,OP_TotalRates_SME_2[[#Headers],[Ausnet]:[United Energy]],0))*DiPY)+
(IFERROR((INDEX(OP_TotalRates_SME_2[[Ausnet]:[United Energy]],MATCH("Block 1",OP_TotalRates_SME_2[[Rate name]:[Rate name]],0),MATCH(P$24,OP_TotalRates_SME_2[[#Headers],[Ausnet]:[United Energy]],0))*
INDEX(Input_Usage[],MATCH($L27&amp;" - Block 1",Input_Usage[[Ref]:[Ref]],0),MATCH($D$7,Inputs!$C$147:$BA$147,0))),0)+
IFERROR((INDEX(OP_TotalRates_SME_2[[Ausnet]:[United Energy]],MATCH("Balance",OP_TotalRates_SME_2[[Rate name]:[Rate name]],0),MATCH(P$24,OP_TotalRates_SME_2[[#Headers],[Ausnet]:[United Energy]],0))*
INDEX(Input_Usage[],MATCH($L27&amp;" - Balance",Input_Usage[[Ref]:[Ref]],0),MATCH($D$7,Inputs!$C$147:$BA$147,0))),0)+
IFERROR((INDEX(OP_TotalRates_SME_2[[Ausnet]:[United Energy]],MATCH("Single rate",OP_TotalRates_SME_2[[Rate name]:[Rate name]],0),MATCH(P$24,OP_TotalRates_SME_2[[#Headers],[Ausnet]:[United Energy]],0))*
INDEX(Input_Usage[],MATCH($L27&amp;" - Annual",Input_Usage[[Ref]:[Ref]],0),MATCH($D$7,Inputs!$C$147:$BA$147,0))),0)),0),
ROUNDUP(
(INDEX(OP_TotalRates_SME_2[[Ausnet]:[United Energy]],MATCH("TOU - supply",OP_TotalRates_SME_2[[Rate name]:[Rate name]],0),MATCH(P$24,OP_TotalRates_SME_2[[#Headers],[Ausnet]:[United Energy]],0))*DiPY)+
(INDEX(OP_TotalRates_SME_2[[Ausnet]:[United Energy]],MATCH("Peak",OP_TotalRates_SME_2[[Rate name]:[Rate name]],0),MATCH(P$24,OP_TotalRates_SME_2[[#Headers],[Ausnet]:[United Energy]],0))*
INDEX(Input_Usage[],MATCH($L27&amp;" - Peak",Input_Usage[[Ref]:[Ref]],0),MATCH($D$7,Inputs!$C$147:$BA$147,0)))+
IFERROR((INDEX(OP_TotalRates_SME_2[[Ausnet]:[United Energy]],MATCH("TOU - Shoulder",OP_TotalRates_SME_2[[Rate name]:[Rate name]],0),MATCH(P$24,OP_TotalRates_SME_2[[#Headers],[Ausnet]:[United Energy]],0))*
INDEX(Input_Usage[],MATCH($L27&amp;" - Shoulder",Input_Usage[[Ref]:[Ref]],0),MATCH($D$7,Inputs!$C$147:$BA$147,0))),0)+
(INDEX(OP_TotalRates_SME_2[[Ausnet]:[United Energy]],MATCH("Off peak",OP_TotalRates_SME_2[[Rate name]:[Rate name]],0),MATCH(P$24,OP_TotalRates_SME_2[[#Headers],[Ausnet]:[United Energy]],0))*
INDEX(Input_Usage[],MATCH($L27&amp;" - Off peak",Input_Usage[[Ref]:[Ref]],0),MATCH($D$7,Inputs!$C$147:$BA$147,0))),0)),"-")</f>
        <v>13106</v>
      </c>
      <c r="Q27" s="226">
        <f>IFERROR(
IF($D$7="VDO 2021 - Final",
ROUNDUP(
(INDEX(OP_TotalRates_SME_2[[Ausnet]:[United Energy]],MATCH("Anytime - supply",OP_TotalRates_SME_2[[Rate name]:[Rate name]],0),MATCH(Q$24,OP_TotalRates_SME_2[[#Headers],[Ausnet]:[United Energy]],0))*DiPY)+
(IFERROR((INDEX(OP_TotalRates_SME_2[[Ausnet]:[United Energy]],MATCH("Block 1",OP_TotalRates_SME_2[[Rate name]:[Rate name]],0),MATCH(Q$24,OP_TotalRates_SME_2[[#Headers],[Ausnet]:[United Energy]],0))*
INDEX(Input_Usage[],MATCH($L27&amp;" - Block 1",Input_Usage[[Ref]:[Ref]],0),MATCH($D$7,Inputs!$C$147:$BA$147,0))),0)+
IFERROR((INDEX(OP_TotalRates_SME_2[[Ausnet]:[United Energy]],MATCH("Balance",OP_TotalRates_SME_2[[Rate name]:[Rate name]],0),MATCH(Q$24,OP_TotalRates_SME_2[[#Headers],[Ausnet]:[United Energy]],0))*
INDEX(Input_Usage[],MATCH($L27&amp;" - Balance",Input_Usage[[Ref]:[Ref]],0),MATCH($D$7,Inputs!$C$147:$BA$147,0))),0)+
IFERROR((INDEX(OP_TotalRates_SME_2[[Ausnet]:[United Energy]],MATCH("Single rate",OP_TotalRates_SME_2[[Rate name]:[Rate name]],0),MATCH(Q$24,OP_TotalRates_SME_2[[#Headers],[Ausnet]:[United Energy]],0))*
INDEX(Input_Usage[],MATCH($L27&amp;" - Annual",Input_Usage[[Ref]:[Ref]],0),MATCH($D$7,Inputs!$C$147:$BA$147,0))),0)),0),
ROUNDUP(
(INDEX(OP_TotalRates_SME_2[[Ausnet]:[United Energy]],MATCH("TOU - supply",OP_TotalRates_SME_2[[Rate name]:[Rate name]],0),MATCH(Q$24,OP_TotalRates_SME_2[[#Headers],[Ausnet]:[United Energy]],0))*DiPY)+
(INDEX(OP_TotalRates_SME_2[[Ausnet]:[United Energy]],MATCH("Peak",OP_TotalRates_SME_2[[Rate name]:[Rate name]],0),MATCH(Q$24,OP_TotalRates_SME_2[[#Headers],[Ausnet]:[United Energy]],0))*
INDEX(Input_Usage[],MATCH($L27&amp;" - Peak",Input_Usage[[Ref]:[Ref]],0),MATCH($D$7,Inputs!$C$147:$BA$147,0)))+
IFERROR((INDEX(OP_TotalRates_SME_2[[Ausnet]:[United Energy]],MATCH("TOU - Shoulder",OP_TotalRates_SME_2[[Rate name]:[Rate name]],0),MATCH(Q$24,OP_TotalRates_SME_2[[#Headers],[Ausnet]:[United Energy]],0))*
INDEX(Input_Usage[],MATCH($L27&amp;" - Shoulder",Input_Usage[[Ref]:[Ref]],0),MATCH($D$7,Inputs!$C$147:$BA$147,0))),0)+
(INDEX(OP_TotalRates_SME_2[[Ausnet]:[United Energy]],MATCH("Off peak",OP_TotalRates_SME_2[[Rate name]:[Rate name]],0),MATCH(Q$24,OP_TotalRates_SME_2[[#Headers],[Ausnet]:[United Energy]],0))*
INDEX(Input_Usage[],MATCH($L27&amp;" - Off peak",Input_Usage[[Ref]:[Ref]],0),MATCH($D$7,Inputs!$C$147:$BA$147,0))),0)),"-")</f>
        <v>12527</v>
      </c>
    </row>
    <row r="29" spans="1:18" ht="15.75" hidden="1" x14ac:dyDescent="0.25">
      <c r="E29" s="215" cm="1">
        <f t="array" ref="E29">IF($D$21="VDO 2021 - Final",
IF(E25=
ROUNDUP(
(INDEX(OP_TotalRates_RES_2[[Ausnet]:[United Energy]],MATCH("Anytime - supply",OP_TotalRates_RES_2[Rate name],0),MATCH(E$24,OP_TotalRates_RES_2[[#Headers],[Ausnet]:[United Energy]],0))*DiPY)+
(IFERROR((INDEX(OP_TotalRates_RES_2[[Ausnet]:[United Energy]],MATCH("Block 1",OP_TotalRates_RES_2[Rate name],0),MATCH(E$24,OP_TotalRates_RES_2[[#Headers],[Ausnet]:[United Energy]],0))*
INDEX(Input_Usage[],MATCH($D25&amp;" - Block 1",Input_Usage[Ref],0),MATCH($D$21,Inputs!$C$147:$BA$147,0))),0)+
IFERROR((INDEX(OP_TotalRates_RES_2[[Ausnet]:[United Energy]],MATCH("Balance",OP_TotalRates_RES_2[Rate name],0),MATCH(E$24,OP_TotalRates_RES_2[[#Headers],[Ausnet]:[United Energy]],0))*
INDEX(Input_Usage[],MATCH($D25&amp;" - Balance",Input_Usage[Ref],0),MATCH($D$21,Inputs!$C$147:$BA$147,0))),0)+
IFERROR((INDEX(OP_TotalRates_RES_2[[Ausnet]:[United Energy]],MATCH("Single rate",OP_TotalRates_RES_2[Rate name],0),MATCH(E$24,OP_TotalRates_RES_2[[#Headers],[Ausnet]:[United Energy]],0))*
INDEX(Input_Usage[],MATCH($D25&amp;" - Annual",Input_Usage[Ref],0),MATCH($D$21,Inputs!$C$147:$BA$147,0))),0)),0),0,1),
IF(E25=
ROUNDUP(
(INDEX(OP_TotalRates_RES_2[[Ausnet]:[United Energy]],MATCH("TOU - supply",OP_TotalRates_RES_2[Rate name],0),MATCH(E$24,OP_TotalRates_RES_2[[#Headers],[Ausnet]:[United Energy]],0))*DiPY)+
(INDEX(OP_TotalRates_RES_2[[Ausnet]:[United Energy]],MATCH("Peak",OP_TotalRates_RES_2[Rate name],0),MATCH(E$24,OP_TotalRates_RES_2[[#Headers],[Ausnet]:[United Energy]],0))*
INDEX(Input_Usage[],MATCH($D25&amp;" - Peak",Input_Usage[Profile name]&amp;" - "&amp;Input_Usage[Usage type],0),MATCH($D$21,Inputs!$C$147:$BA$147,0)))+
IFERROR((INDEX(OP_TotalRates_RES_2[[Ausnet]:[United Energy]],MATCH("TOU - Shoulder",OP_TotalRates_RES_2[Rate name],0),MATCH(E$24,OP_TotalRates_RES_2[[#Headers],[Ausnet]:[United Energy]],0))*
INDEX(Input_Usage[],MATCH($D25&amp;" - Shoulder",Input_Usage[Profile name]&amp;" - "&amp;Input_Usage[Usage type],0),MATCH($D$21,Inputs!$C$147:$BA$147,0))),0)+
(INDEX(OP_TotalRates_RES_2[[Ausnet]:[United Energy]],MATCH("Off peak",OP_TotalRates_RES_2[Rate name],0),MATCH(E$24,OP_TotalRates_RES_2[[#Headers],[Ausnet]:[United Energy]],0))*
INDEX(Input_Usage[],MATCH($D25&amp;" - Off peak",Input_Usage[Profile name]&amp;" - "&amp;Input_Usage[Usage type],0),MATCH($D$21,Inputs!$C$147:$BA$147,0))),0),0,1))</f>
        <v>0</v>
      </c>
      <c r="F29" s="215" cm="1">
        <f t="array" ref="F29">IF($D$21="VDO 2021 - Final",
IF(F25=
ROUNDUP(
(INDEX(OP_TotalRates_RES_2[[Ausnet]:[United Energy]],MATCH("Anytime - supply",OP_TotalRates_RES_2[Rate name],0),MATCH(F$24,OP_TotalRates_RES_2[[#Headers],[Ausnet]:[United Energy]],0))*DiPY)+
(IFERROR((INDEX(OP_TotalRates_RES_2[[Ausnet]:[United Energy]],MATCH("Block 1",OP_TotalRates_RES_2[Rate name],0),MATCH(F$24,OP_TotalRates_RES_2[[#Headers],[Ausnet]:[United Energy]],0))*
INDEX(Input_Usage[],MATCH($D25&amp;" - Block 1",Input_Usage[Ref],0),MATCH($D$21,Inputs!$C$147:$BA$147,0))),0)+
IFERROR((INDEX(OP_TotalRates_RES_2[[Ausnet]:[United Energy]],MATCH("Balance",OP_TotalRates_RES_2[Rate name],0),MATCH(F$24,OP_TotalRates_RES_2[[#Headers],[Ausnet]:[United Energy]],0))*
INDEX(Input_Usage[],MATCH($D25&amp;" - Balance",Input_Usage[Ref],0),MATCH($D$21,Inputs!$C$147:$BA$147,0))),0)+
IFERROR((INDEX(OP_TotalRates_RES_2[[Ausnet]:[United Energy]],MATCH("Single rate",OP_TotalRates_RES_2[Rate name],0),MATCH(F$24,OP_TotalRates_RES_2[[#Headers],[Ausnet]:[United Energy]],0))*
INDEX(Input_Usage[],MATCH($D25&amp;" - Annual",Input_Usage[Ref],0),MATCH($D$21,Inputs!$C$147:$BA$147,0))),0)),0),0,1),
IF(F25=
ROUNDUP(
(INDEX(OP_TotalRates_RES_2[[Ausnet]:[United Energy]],MATCH("TOU - supply",OP_TotalRates_RES_2[Rate name],0),MATCH(F$24,OP_TotalRates_RES_2[[#Headers],[Ausnet]:[United Energy]],0))*DiPY)+
(INDEX(OP_TotalRates_RES_2[[Ausnet]:[United Energy]],MATCH("Peak",OP_TotalRates_RES_2[Rate name],0),MATCH(F$24,OP_TotalRates_RES_2[[#Headers],[Ausnet]:[United Energy]],0))*
INDEX(Input_Usage[],MATCH($D25&amp;" - Peak",Input_Usage[Profile name]&amp;" - "&amp;Input_Usage[Usage type],0),MATCH($D$21,Inputs!$C$147:$BA$147,0)))+
IFERROR((INDEX(OP_TotalRates_RES_2[[Ausnet]:[United Energy]],MATCH("TOU - Shoulder",OP_TotalRates_RES_2[Rate name],0),MATCH(F$24,OP_TotalRates_RES_2[[#Headers],[Ausnet]:[United Energy]],0))*
INDEX(Input_Usage[],MATCH($D25&amp;" - Shoulder",Input_Usage[Profile name]&amp;" - "&amp;Input_Usage[Usage type],0),MATCH($D$21,Inputs!$C$147:$BA$147,0))),0)+
(INDEX(OP_TotalRates_RES_2[[Ausnet]:[United Energy]],MATCH("Off peak",OP_TotalRates_RES_2[Rate name],0),MATCH(F$24,OP_TotalRates_RES_2[[#Headers],[Ausnet]:[United Energy]],0))*
INDEX(Input_Usage[],MATCH($D25&amp;" - Off peak",Input_Usage[Profile name]&amp;" - "&amp;Input_Usage[Usage type],0),MATCH($D$21,Inputs!$C$147:$BA$147,0))),0),0,1))</f>
        <v>0</v>
      </c>
      <c r="G29" s="215" cm="1">
        <f t="array" ref="G29">IF($D$21="VDO 2021 - Final",
IF(G25=
ROUNDUP(
(INDEX(OP_TotalRates_RES_2[[Ausnet]:[United Energy]],MATCH("Anytime - supply",OP_TotalRates_RES_2[Rate name],0),MATCH(G$24,OP_TotalRates_RES_2[[#Headers],[Ausnet]:[United Energy]],0))*DiPY)+
(IFERROR((INDEX(OP_TotalRates_RES_2[[Ausnet]:[United Energy]],MATCH("Block 1",OP_TotalRates_RES_2[Rate name],0),MATCH(G$24,OP_TotalRates_RES_2[[#Headers],[Ausnet]:[United Energy]],0))*
INDEX(Input_Usage[],MATCH($D25&amp;" - Block 1",Input_Usage[Ref],0),MATCH($D$21,Inputs!$C$147:$BA$147,0))),0)+
IFERROR((INDEX(OP_TotalRates_RES_2[[Ausnet]:[United Energy]],MATCH("Balance",OP_TotalRates_RES_2[Rate name],0),MATCH(G$24,OP_TotalRates_RES_2[[#Headers],[Ausnet]:[United Energy]],0))*
INDEX(Input_Usage[],MATCH($D25&amp;" - Balance",Input_Usage[Ref],0),MATCH($D$21,Inputs!$C$147:$BA$147,0))),0)+
IFERROR((INDEX(OP_TotalRates_RES_2[[Ausnet]:[United Energy]],MATCH("Single rate",OP_TotalRates_RES_2[Rate name],0),MATCH(G$24,OP_TotalRates_RES_2[[#Headers],[Ausnet]:[United Energy]],0))*
INDEX(Input_Usage[],MATCH($D25&amp;" - Annual",Input_Usage[Ref],0),MATCH($D$21,Inputs!$C$147:$BA$147,0))),0)),0),0,1),
IF(G25=
ROUNDUP(
(INDEX(OP_TotalRates_RES_2[[Ausnet]:[United Energy]],MATCH("TOU - supply",OP_TotalRates_RES_2[Rate name],0),MATCH(G$24,OP_TotalRates_RES_2[[#Headers],[Ausnet]:[United Energy]],0))*DiPY)+
(INDEX(OP_TotalRates_RES_2[[Ausnet]:[United Energy]],MATCH("Peak",OP_TotalRates_RES_2[Rate name],0),MATCH(G$24,OP_TotalRates_RES_2[[#Headers],[Ausnet]:[United Energy]],0))*
INDEX(Input_Usage[],MATCH($D25&amp;" - Peak",Input_Usage[Profile name]&amp;" - "&amp;Input_Usage[Usage type],0),MATCH($D$21,Inputs!$C$147:$BA$147,0)))+
IFERROR((INDEX(OP_TotalRates_RES_2[[Ausnet]:[United Energy]],MATCH("TOU - Shoulder",OP_TotalRates_RES_2[Rate name],0),MATCH(G$24,OP_TotalRates_RES_2[[#Headers],[Ausnet]:[United Energy]],0))*
INDEX(Input_Usage[],MATCH($D25&amp;" - Shoulder",Input_Usage[Profile name]&amp;" - "&amp;Input_Usage[Usage type],0),MATCH($D$21,Inputs!$C$147:$BA$147,0))),0)+
(INDEX(OP_TotalRates_RES_2[[Ausnet]:[United Energy]],MATCH("Off peak",OP_TotalRates_RES_2[Rate name],0),MATCH(G$24,OP_TotalRates_RES_2[[#Headers],[Ausnet]:[United Energy]],0))*
INDEX(Input_Usage[],MATCH($D25&amp;" - Off peak",Input_Usage[Profile name]&amp;" - "&amp;Input_Usage[Usage type],0),MATCH($D$21,Inputs!$C$147:$BA$147,0))),0),0,1))</f>
        <v>0</v>
      </c>
      <c r="H29" s="215" cm="1">
        <f t="array" ref="H29">IF($D$21="VDO 2021 - Final",
IF(H25=
ROUNDUP(
(INDEX(OP_TotalRates_RES_2[[Ausnet]:[United Energy]],MATCH("Anytime - supply",OP_TotalRates_RES_2[Rate name],0),MATCH(H$24,OP_TotalRates_RES_2[[#Headers],[Ausnet]:[United Energy]],0))*DiPY)+
(IFERROR((INDEX(OP_TotalRates_RES_2[[Ausnet]:[United Energy]],MATCH("Block 1",OP_TotalRates_RES_2[Rate name],0),MATCH(H$24,OP_TotalRates_RES_2[[#Headers],[Ausnet]:[United Energy]],0))*
INDEX(Input_Usage[],MATCH($D25&amp;" - Block 1",Input_Usage[Ref],0),MATCH($D$21,Inputs!$C$147:$BA$147,0))),0)+
IFERROR((INDEX(OP_TotalRates_RES_2[[Ausnet]:[United Energy]],MATCH("Balance",OP_TotalRates_RES_2[Rate name],0),MATCH(H$24,OP_TotalRates_RES_2[[#Headers],[Ausnet]:[United Energy]],0))*
INDEX(Input_Usage[],MATCH($D25&amp;" - Balance",Input_Usage[Ref],0),MATCH($D$21,Inputs!$C$147:$BA$147,0))),0)+
IFERROR((INDEX(OP_TotalRates_RES_2[[Ausnet]:[United Energy]],MATCH("Single rate",OP_TotalRates_RES_2[Rate name],0),MATCH(H$24,OP_TotalRates_RES_2[[#Headers],[Ausnet]:[United Energy]],0))*
INDEX(Input_Usage[],MATCH($D25&amp;" - Annual",Input_Usage[Ref],0),MATCH($D$21,Inputs!$C$147:$BA$147,0))),0)),0),0,1),
IF(H25=
ROUNDUP(
(INDEX(OP_TotalRates_RES_2[[Ausnet]:[United Energy]],MATCH("TOU - supply",OP_TotalRates_RES_2[Rate name],0),MATCH(H$24,OP_TotalRates_RES_2[[#Headers],[Ausnet]:[United Energy]],0))*DiPY)+
(INDEX(OP_TotalRates_RES_2[[Ausnet]:[United Energy]],MATCH("Peak",OP_TotalRates_RES_2[Rate name],0),MATCH(H$24,OP_TotalRates_RES_2[[#Headers],[Ausnet]:[United Energy]],0))*
INDEX(Input_Usage[],MATCH($D25&amp;" - Peak",Input_Usage[Profile name]&amp;" - "&amp;Input_Usage[Usage type],0),MATCH($D$21,Inputs!$C$147:$BA$147,0)))+
IFERROR((INDEX(OP_TotalRates_RES_2[[Ausnet]:[United Energy]],MATCH("TOU - Shoulder",OP_TotalRates_RES_2[Rate name],0),MATCH(H$24,OP_TotalRates_RES_2[[#Headers],[Ausnet]:[United Energy]],0))*
INDEX(Input_Usage[],MATCH($D25&amp;" - Shoulder",Input_Usage[Profile name]&amp;" - "&amp;Input_Usage[Usage type],0),MATCH($D$21,Inputs!$C$147:$BA$147,0))),0)+
(INDEX(OP_TotalRates_RES_2[[Ausnet]:[United Energy]],MATCH("Off peak",OP_TotalRates_RES_2[Rate name],0),MATCH(H$24,OP_TotalRates_RES_2[[#Headers],[Ausnet]:[United Energy]],0))*
INDEX(Input_Usage[],MATCH($D25&amp;" - Off peak",Input_Usage[Profile name]&amp;" - "&amp;Input_Usage[Usage type],0),MATCH($D$21,Inputs!$C$147:$BA$147,0))),0),0,1))</f>
        <v>0</v>
      </c>
      <c r="I29" s="215" cm="1">
        <f t="array" ref="I29">IF($D$21="VDO 2021 - Final",
IF(I25=
ROUNDUP(
(INDEX(OP_TotalRates_RES_2[[Ausnet]:[United Energy]],MATCH("Anytime - supply",OP_TotalRates_RES_2[Rate name],0),MATCH(I$24,OP_TotalRates_RES_2[[#Headers],[Ausnet]:[United Energy]],0))*DiPY)+
(IFERROR((INDEX(OP_TotalRates_RES_2[[Ausnet]:[United Energy]],MATCH("Block 1",OP_TotalRates_RES_2[Rate name],0),MATCH(I$24,OP_TotalRates_RES_2[[#Headers],[Ausnet]:[United Energy]],0))*
INDEX(Input_Usage[],MATCH($D25&amp;" - Block 1",Input_Usage[Ref],0),MATCH($D$21,Inputs!$C$147:$BA$147,0))),0)+
IFERROR((INDEX(OP_TotalRates_RES_2[[Ausnet]:[United Energy]],MATCH("Balance",OP_TotalRates_RES_2[Rate name],0),MATCH(I$24,OP_TotalRates_RES_2[[#Headers],[Ausnet]:[United Energy]],0))*
INDEX(Input_Usage[],MATCH($D25&amp;" - Balance",Input_Usage[Ref],0),MATCH($D$21,Inputs!$C$147:$BA$147,0))),0)+
IFERROR((INDEX(OP_TotalRates_RES_2[[Ausnet]:[United Energy]],MATCH("Single rate",OP_TotalRates_RES_2[Rate name],0),MATCH(I$24,OP_TotalRates_RES_2[[#Headers],[Ausnet]:[United Energy]],0))*
INDEX(Input_Usage[],MATCH($D25&amp;" - Annual",Input_Usage[Ref],0),MATCH($D$21,Inputs!$C$147:$BA$147,0))),0)),0),0,1),
IF(I25=
ROUNDUP(
(INDEX(OP_TotalRates_RES_2[[Ausnet]:[United Energy]],MATCH("TOU - supply",OP_TotalRates_RES_2[Rate name],0),MATCH(I$24,OP_TotalRates_RES_2[[#Headers],[Ausnet]:[United Energy]],0))*DiPY)+
(INDEX(OP_TotalRates_RES_2[[Ausnet]:[United Energy]],MATCH("Peak",OP_TotalRates_RES_2[Rate name],0),MATCH(I$24,OP_TotalRates_RES_2[[#Headers],[Ausnet]:[United Energy]],0))*
INDEX(Input_Usage[],MATCH($D25&amp;" - Peak",Input_Usage[Profile name]&amp;" - "&amp;Input_Usage[Usage type],0),MATCH($D$21,Inputs!$C$147:$BA$147,0)))+
IFERROR((INDEX(OP_TotalRates_RES_2[[Ausnet]:[United Energy]],MATCH("TOU - Shoulder",OP_TotalRates_RES_2[Rate name],0),MATCH(I$24,OP_TotalRates_RES_2[[#Headers],[Ausnet]:[United Energy]],0))*
INDEX(Input_Usage[],MATCH($D25&amp;" - Shoulder",Input_Usage[Profile name]&amp;" - "&amp;Input_Usage[Usage type],0),MATCH($D$21,Inputs!$C$147:$BA$147,0))),0)+
(INDEX(OP_TotalRates_RES_2[[Ausnet]:[United Energy]],MATCH("Off peak",OP_TotalRates_RES_2[Rate name],0),MATCH(I$24,OP_TotalRates_RES_2[[#Headers],[Ausnet]:[United Energy]],0))*
INDEX(Input_Usage[],MATCH($D25&amp;" - Off peak",Input_Usage[Profile name]&amp;" - "&amp;Input_Usage[Usage type],0),MATCH($D$21,Inputs!$C$147:$BA$147,0))),0),0,1))</f>
        <v>0</v>
      </c>
      <c r="M29" s="215" cm="1">
        <f t="array" ref="M29">IF($D$21="VDO 2021 - Final",
IF(M25=
ROUNDUP(
(INDEX(OP_TotalRates_SME_2[[Ausnet]:[United Energy]],MATCH("Anytime - supply",OP_TotalRates_SME_2[Rate name],0),MATCH(M$24,OP_TotalRates_SME_2[[#Headers],[Ausnet]:[United Energy]],0))*DiPY)+
(IFERROR((INDEX(OP_TotalRates_SME_2[[Ausnet]:[United Energy]],MATCH("Block 1",OP_TotalRates_SME_2[Rate name],0),MATCH(M$24,OP_TotalRates_SME_2[[#Headers],[Ausnet]:[United Energy]],0))*
INDEX(Input_Usage[],MATCH($L25&amp;" - Block 1",Input_Usage[Profile name]&amp;" - "&amp;Input_Usage[Usage type],0),MATCH($D$21,Inputs!$C$147:$BA$147,0))),0)+
IFERROR((INDEX(OP_TotalRates_SME_2[[Ausnet]:[United Energy]],MATCH("Balance",OP_TotalRates_SME_2[Rate name],0),MATCH(M$24,OP_TotalRates_SME_2[[#Headers],[Ausnet]:[United Energy]],0))*
INDEX(Input_Usage[],MATCH($L25&amp;" - Balance",Input_Usage[Profile name]&amp;" - "&amp;Input_Usage[Usage type],0),MATCH($D$21,Inputs!$C$147:$BA$147,0))),0)+
IFERROR((INDEX(OP_TotalRates_SME_2[[Ausnet]:[United Energy]],MATCH("Single rate",OP_TotalRates_SME_2[Rate name],0),MATCH(M$24,OP_TotalRates_SME_2[[#Headers],[Ausnet]:[United Energy]],0))*
INDEX(Input_Usage[],MATCH($L25&amp;" - Annual",Input_Usage[Profile name]&amp;" - "&amp;Input_Usage[Usage type],0),MATCH($D$21,Inputs!$C$147:$BA$147,0))),0)),0),0,1),
IF(M25=
ROUNDUP(
(INDEX(OP_TotalRates_SME_2[[Ausnet]:[United Energy]],MATCH("TOU - supply",OP_TotalRates_SME_2[Rate name],0),MATCH(M$24,OP_TotalRates_SME_2[[#Headers],[Ausnet]:[United Energy]],0))*DiPY)+
(INDEX(OP_TotalRates_SME_2[[Ausnet]:[United Energy]],MATCH("Peak",OP_TotalRates_SME_2[Rate name],0),MATCH(M$24,OP_TotalRates_SME_2[[#Headers],[Ausnet]:[United Energy]],0))*
INDEX(Input_Usage[],MATCH($L25&amp;" - Peak",Input_Usage[Profile name]&amp;" - "&amp;Input_Usage[Usage type],0),MATCH($D$21,Inputs!$C$147:$BA$147,0)))+
IFERROR((INDEX(OP_TotalRates_SME_2[[Ausnet]:[United Energy]],MATCH("TOU - Shoulder",OP_TotalRates_SME_2[Rate name],0),MATCH(M$24,OP_TotalRates_SME_2[[#Headers],[Ausnet]:[United Energy]],0))*
INDEX(Input_Usage[],MATCH($L25&amp;" - Shoulder",Input_Usage[Profile name]&amp;" - "&amp;Input_Usage[Usage type],0),MATCH($D$21,Inputs!$C$147:$BA$147,0))),0)+
(INDEX(OP_TotalRates_SME_2[[Ausnet]:[United Energy]],MATCH("Off peak",OP_TotalRates_SME_2[Rate name],0),MATCH(M$24,OP_TotalRates_SME_2[[#Headers],[Ausnet]:[United Energy]],0))*
INDEX(Input_Usage[],MATCH($L25&amp;" - Off peak",Input_Usage[Profile name]&amp;" - "&amp;Input_Usage[Usage type],0),MATCH($D$21,Inputs!$C$147:$BA$147,0))),0),0,1))</f>
        <v>0</v>
      </c>
      <c r="N29" s="215" cm="1">
        <f t="array" ref="N29">IF($D$21="VDO 2021 - Final",
IF(N25=
ROUNDUP(
(INDEX(OP_TotalRates_SME_2[[Ausnet]:[United Energy]],MATCH("Anytime - supply",OP_TotalRates_SME_2[Rate name],0),MATCH(N$24,OP_TotalRates_SME_2[[#Headers],[Ausnet]:[United Energy]],0))*DiPY)+
(IFERROR((INDEX(OP_TotalRates_SME_2[[Ausnet]:[United Energy]],MATCH("Block 1",OP_TotalRates_SME_2[Rate name],0),MATCH(N$24,OP_TotalRates_SME_2[[#Headers],[Ausnet]:[United Energy]],0))*
INDEX(Input_Usage[],MATCH($L25&amp;" - Block 1",Input_Usage[Profile name]&amp;" - "&amp;Input_Usage[Usage type],0),MATCH($D$21,Inputs!$C$147:$BA$147,0))),0)+
IFERROR((INDEX(OP_TotalRates_SME_2[[Ausnet]:[United Energy]],MATCH("Balance",OP_TotalRates_SME_2[Rate name],0),MATCH(N$24,OP_TotalRates_SME_2[[#Headers],[Ausnet]:[United Energy]],0))*
INDEX(Input_Usage[],MATCH($L25&amp;" - Balance",Input_Usage[Profile name]&amp;" - "&amp;Input_Usage[Usage type],0),MATCH($D$21,Inputs!$C$147:$BA$147,0))),0)+
IFERROR((INDEX(OP_TotalRates_SME_2[[Ausnet]:[United Energy]],MATCH("Single rate",OP_TotalRates_SME_2[Rate name],0),MATCH(N$24,OP_TotalRates_SME_2[[#Headers],[Ausnet]:[United Energy]],0))*
INDEX(Input_Usage[],MATCH($L25&amp;" - Annual",Input_Usage[Profile name]&amp;" - "&amp;Input_Usage[Usage type],0),MATCH($D$21,Inputs!$C$147:$BA$147,0))),0)),0),0,1),
IF(N25=
ROUNDUP(
(INDEX(OP_TotalRates_SME_2[[Ausnet]:[United Energy]],MATCH("TOU - supply",OP_TotalRates_SME_2[Rate name],0),MATCH(N$24,OP_TotalRates_SME_2[[#Headers],[Ausnet]:[United Energy]],0))*DiPY)+
(INDEX(OP_TotalRates_SME_2[[Ausnet]:[United Energy]],MATCH("Peak",OP_TotalRates_SME_2[Rate name],0),MATCH(N$24,OP_TotalRates_SME_2[[#Headers],[Ausnet]:[United Energy]],0))*
INDEX(Input_Usage[],MATCH($L25&amp;" - Peak",Input_Usage[Profile name]&amp;" - "&amp;Input_Usage[Usage type],0),MATCH($D$21,Inputs!$C$147:$BA$147,0)))+
IFERROR((INDEX(OP_TotalRates_SME_2[[Ausnet]:[United Energy]],MATCH("TOU - Shoulder",OP_TotalRates_SME_2[Rate name],0),MATCH(N$24,OP_TotalRates_SME_2[[#Headers],[Ausnet]:[United Energy]],0))*
INDEX(Input_Usage[],MATCH($L25&amp;" - Shoulder",Input_Usage[Profile name]&amp;" - "&amp;Input_Usage[Usage type],0),MATCH($D$21,Inputs!$C$147:$BA$147,0))),0)+
(INDEX(OP_TotalRates_SME_2[[Ausnet]:[United Energy]],MATCH("Off peak",OP_TotalRates_SME_2[Rate name],0),MATCH(N$24,OP_TotalRates_SME_2[[#Headers],[Ausnet]:[United Energy]],0))*
INDEX(Input_Usage[],MATCH($L25&amp;" - Off peak",Input_Usage[Profile name]&amp;" - "&amp;Input_Usage[Usage type],0),MATCH($D$21,Inputs!$C$147:$BA$147,0))),0),0,1))</f>
        <v>0</v>
      </c>
      <c r="O29" s="215" cm="1">
        <f t="array" ref="O29">IF($D$21="VDO 2021 - Final",
IF(O25=
ROUNDUP(
(INDEX(OP_TotalRates_SME_2[[Ausnet]:[United Energy]],MATCH("Anytime - supply",OP_TotalRates_SME_2[Rate name],0),MATCH(O$24,OP_TotalRates_SME_2[[#Headers],[Ausnet]:[United Energy]],0))*DiPY)+
(IFERROR((INDEX(OP_TotalRates_SME_2[[Ausnet]:[United Energy]],MATCH("Block 1",OP_TotalRates_SME_2[Rate name],0),MATCH(O$24,OP_TotalRates_SME_2[[#Headers],[Ausnet]:[United Energy]],0))*
INDEX(Input_Usage[],MATCH($L25&amp;" - Block 1",Input_Usage[Profile name]&amp;" - "&amp;Input_Usage[Usage type],0),MATCH($D$21,Inputs!$C$147:$BA$147,0))),0)+
IFERROR((INDEX(OP_TotalRates_SME_2[[Ausnet]:[United Energy]],MATCH("Balance",OP_TotalRates_SME_2[Rate name],0),MATCH(O$24,OP_TotalRates_SME_2[[#Headers],[Ausnet]:[United Energy]],0))*
INDEX(Input_Usage[],MATCH($L25&amp;" - Balance",Input_Usage[Profile name]&amp;" - "&amp;Input_Usage[Usage type],0),MATCH($D$21,Inputs!$C$147:$BA$147,0))),0)+
IFERROR((INDEX(OP_TotalRates_SME_2[[Ausnet]:[United Energy]],MATCH("Single rate",OP_TotalRates_SME_2[Rate name],0),MATCH(O$24,OP_TotalRates_SME_2[[#Headers],[Ausnet]:[United Energy]],0))*
INDEX(Input_Usage[],MATCH($L25&amp;" - Annual",Input_Usage[Profile name]&amp;" - "&amp;Input_Usage[Usage type],0),MATCH($D$21,Inputs!$C$147:$BA$147,0))),0)),0),0,1),
IF(O25=
ROUNDUP(
(INDEX(OP_TotalRates_SME_2[[Ausnet]:[United Energy]],MATCH("TOU - supply",OP_TotalRates_SME_2[Rate name],0),MATCH(O$24,OP_TotalRates_SME_2[[#Headers],[Ausnet]:[United Energy]],0))*DiPY)+
(INDEX(OP_TotalRates_SME_2[[Ausnet]:[United Energy]],MATCH("Peak",OP_TotalRates_SME_2[Rate name],0),MATCH(O$24,OP_TotalRates_SME_2[[#Headers],[Ausnet]:[United Energy]],0))*
INDEX(Input_Usage[],MATCH($L25&amp;" - Peak",Input_Usage[Profile name]&amp;" - "&amp;Input_Usage[Usage type],0),MATCH($D$21,Inputs!$C$147:$BA$147,0)))+
IFERROR((INDEX(OP_TotalRates_SME_2[[Ausnet]:[United Energy]],MATCH("TOU - Shoulder",OP_TotalRates_SME_2[Rate name],0),MATCH(O$24,OP_TotalRates_SME_2[[#Headers],[Ausnet]:[United Energy]],0))*
INDEX(Input_Usage[],MATCH($L25&amp;" - Shoulder",Input_Usage[Profile name]&amp;" - "&amp;Input_Usage[Usage type],0),MATCH($D$21,Inputs!$C$147:$BA$147,0))),0)+
(INDEX(OP_TotalRates_SME_2[[Ausnet]:[United Energy]],MATCH("Off peak",OP_TotalRates_SME_2[Rate name],0),MATCH(O$24,OP_TotalRates_SME_2[[#Headers],[Ausnet]:[United Energy]],0))*
INDEX(Input_Usage[],MATCH($L25&amp;" - Off peak",Input_Usage[Profile name]&amp;" - "&amp;Input_Usage[Usage type],0),MATCH($D$21,Inputs!$C$147:$BA$147,0))),0),0,1))</f>
        <v>0</v>
      </c>
      <c r="P29" s="215" cm="1">
        <f t="array" ref="P29">IF($D$21="VDO 2021 - Final",
IF(P25=
ROUNDUP(
(INDEX(OP_TotalRates_SME_2[[Ausnet]:[United Energy]],MATCH("Anytime - supply",OP_TotalRates_SME_2[Rate name],0),MATCH(P$24,OP_TotalRates_SME_2[[#Headers],[Ausnet]:[United Energy]],0))*DiPY)+
(IFERROR((INDEX(OP_TotalRates_SME_2[[Ausnet]:[United Energy]],MATCH("Block 1",OP_TotalRates_SME_2[Rate name],0),MATCH(P$24,OP_TotalRates_SME_2[[#Headers],[Ausnet]:[United Energy]],0))*
INDEX(Input_Usage[],MATCH($L25&amp;" - Block 1",Input_Usage[Profile name]&amp;" - "&amp;Input_Usage[Usage type],0),MATCH($D$21,Inputs!$C$147:$BA$147,0))),0)+
IFERROR((INDEX(OP_TotalRates_SME_2[[Ausnet]:[United Energy]],MATCH("Balance",OP_TotalRates_SME_2[Rate name],0),MATCH(P$24,OP_TotalRates_SME_2[[#Headers],[Ausnet]:[United Energy]],0))*
INDEX(Input_Usage[],MATCH($L25&amp;" - Balance",Input_Usage[Profile name]&amp;" - "&amp;Input_Usage[Usage type],0),MATCH($D$21,Inputs!$C$147:$BA$147,0))),0)+
IFERROR((INDEX(OP_TotalRates_SME_2[[Ausnet]:[United Energy]],MATCH("Single rate",OP_TotalRates_SME_2[Rate name],0),MATCH(P$24,OP_TotalRates_SME_2[[#Headers],[Ausnet]:[United Energy]],0))*
INDEX(Input_Usage[],MATCH($L25&amp;" - Annual",Input_Usage[Profile name]&amp;" - "&amp;Input_Usage[Usage type],0),MATCH($D$21,Inputs!$C$147:$BA$147,0))),0)),0),0,1),
IF(P25=
ROUNDUP(
(INDEX(OP_TotalRates_SME_2[[Ausnet]:[United Energy]],MATCH("TOU - supply",OP_TotalRates_SME_2[Rate name],0),MATCH(P$24,OP_TotalRates_SME_2[[#Headers],[Ausnet]:[United Energy]],0))*DiPY)+
(INDEX(OP_TotalRates_SME_2[[Ausnet]:[United Energy]],MATCH("Peak",OP_TotalRates_SME_2[Rate name],0),MATCH(P$24,OP_TotalRates_SME_2[[#Headers],[Ausnet]:[United Energy]],0))*
INDEX(Input_Usage[],MATCH($L25&amp;" - Peak",Input_Usage[Profile name]&amp;" - "&amp;Input_Usage[Usage type],0),MATCH($D$21,Inputs!$C$147:$BA$147,0)))+
IFERROR((INDEX(OP_TotalRates_SME_2[[Ausnet]:[United Energy]],MATCH("TOU - Shoulder",OP_TotalRates_SME_2[Rate name],0),MATCH(P$24,OP_TotalRates_SME_2[[#Headers],[Ausnet]:[United Energy]],0))*
INDEX(Input_Usage[],MATCH($L25&amp;" - Shoulder",Input_Usage[Profile name]&amp;" - "&amp;Input_Usage[Usage type],0),MATCH($D$21,Inputs!$C$147:$BA$147,0))),0)+
(INDEX(OP_TotalRates_SME_2[[Ausnet]:[United Energy]],MATCH("Off peak",OP_TotalRates_SME_2[Rate name],0),MATCH(P$24,OP_TotalRates_SME_2[[#Headers],[Ausnet]:[United Energy]],0))*
INDEX(Input_Usage[],MATCH($L25&amp;" - Off peak",Input_Usage[Profile name]&amp;" - "&amp;Input_Usage[Usage type],0),MATCH($D$21,Inputs!$C$147:$BA$147,0))),0),0,1))</f>
        <v>0</v>
      </c>
      <c r="Q29" s="215" cm="1">
        <f t="array" ref="Q29">IF($D$21="VDO 2021 - Final",
IF(Q25=
ROUNDUP(
(INDEX(OP_TotalRates_SME_2[[Ausnet]:[United Energy]],MATCH("Anytime - supply",OP_TotalRates_SME_2[Rate name],0),MATCH(Q$24,OP_TotalRates_SME_2[[#Headers],[Ausnet]:[United Energy]],0))*DiPY)+
(IFERROR((INDEX(OP_TotalRates_SME_2[[Ausnet]:[United Energy]],MATCH("Block 1",OP_TotalRates_SME_2[Rate name],0),MATCH(Q$24,OP_TotalRates_SME_2[[#Headers],[Ausnet]:[United Energy]],0))*
INDEX(Input_Usage[],MATCH($L25&amp;" - Block 1",Input_Usage[Profile name]&amp;" - "&amp;Input_Usage[Usage type],0),MATCH($D$21,Inputs!$C$147:$BA$147,0))),0)+
IFERROR((INDEX(OP_TotalRates_SME_2[[Ausnet]:[United Energy]],MATCH("Balance",OP_TotalRates_SME_2[Rate name],0),MATCH(Q$24,OP_TotalRates_SME_2[[#Headers],[Ausnet]:[United Energy]],0))*
INDEX(Input_Usage[],MATCH($L25&amp;" - Balance",Input_Usage[Profile name]&amp;" - "&amp;Input_Usage[Usage type],0),MATCH($D$21,Inputs!$C$147:$BA$147,0))),0)+
IFERROR((INDEX(OP_TotalRates_SME_2[[Ausnet]:[United Energy]],MATCH("Single rate",OP_TotalRates_SME_2[Rate name],0),MATCH(Q$24,OP_TotalRates_SME_2[[#Headers],[Ausnet]:[United Energy]],0))*
INDEX(Input_Usage[],MATCH($L25&amp;" - Annual",Input_Usage[Profile name]&amp;" - "&amp;Input_Usage[Usage type],0),MATCH($D$21,Inputs!$C$147:$BA$147,0))),0)),0),0,1),
IF(Q25=
ROUNDUP(
(INDEX(OP_TotalRates_SME_2[[Ausnet]:[United Energy]],MATCH("TOU - supply",OP_TotalRates_SME_2[Rate name],0),MATCH(Q$24,OP_TotalRates_SME_2[[#Headers],[Ausnet]:[United Energy]],0))*DiPY)+
(INDEX(OP_TotalRates_SME_2[[Ausnet]:[United Energy]],MATCH("Peak",OP_TotalRates_SME_2[Rate name],0),MATCH(Q$24,OP_TotalRates_SME_2[[#Headers],[Ausnet]:[United Energy]],0))*
INDEX(Input_Usage[],MATCH($L25&amp;" - Peak",Input_Usage[Profile name]&amp;" - "&amp;Input_Usage[Usage type],0),MATCH($D$21,Inputs!$C$147:$BA$147,0)))+
IFERROR((INDEX(OP_TotalRates_SME_2[[Ausnet]:[United Energy]],MATCH("TOU - Shoulder",OP_TotalRates_SME_2[Rate name],0),MATCH(Q$24,OP_TotalRates_SME_2[[#Headers],[Ausnet]:[United Energy]],0))*
INDEX(Input_Usage[],MATCH($L25&amp;" - Shoulder",Input_Usage[Profile name]&amp;" - "&amp;Input_Usage[Usage type],0),MATCH($D$21,Inputs!$C$147:$BA$147,0))),0)+
(INDEX(OP_TotalRates_SME_2[[Ausnet]:[United Energy]],MATCH("Off peak",OP_TotalRates_SME_2[Rate name],0),MATCH(Q$24,OP_TotalRates_SME_2[[#Headers],[Ausnet]:[United Energy]],0))*
INDEX(Input_Usage[],MATCH($L25&amp;" - Off peak",Input_Usage[Profile name]&amp;" - "&amp;Input_Usage[Usage type],0),MATCH($D$21,Inputs!$C$147:$BA$147,0))),0),0,1))</f>
        <v>0</v>
      </c>
    </row>
    <row r="30" spans="1:18" ht="15.75" x14ac:dyDescent="0.25">
      <c r="E30" s="215" cm="1">
        <f t="array" ref="E30">IF($D$21="VDO 2021 - Final",
IF(E26=
ROUNDUP(
(INDEX(OP_TotalRates_RES_2[[Ausnet]:[United Energy]],MATCH("Anytime - supply",OP_TotalRates_RES_2[Rate name],0),MATCH(E$24,OP_TotalRates_RES_2[[#Headers],[Ausnet]:[United Energy]],0))*DiPY)+
(IFERROR((INDEX(OP_TotalRates_RES_2[[Ausnet]:[United Energy]],MATCH("Block 1",OP_TotalRates_RES_2[Rate name],0),MATCH(E$24,OP_TotalRates_RES_2[[#Headers],[Ausnet]:[United Energy]],0))*
INDEX(Input_Usage[],MATCH($D26&amp;" - Block 1",Input_Usage[Ref],0),MATCH($D$21,Inputs!$C$147:$BA$147,0))),0)+
IFERROR((INDEX(OP_TotalRates_RES_2[[Ausnet]:[United Energy]],MATCH("Balance",OP_TotalRates_RES_2[Rate name],0),MATCH(E$24,OP_TotalRates_RES_2[[#Headers],[Ausnet]:[United Energy]],0))*
INDEX(Input_Usage[],MATCH($D26&amp;" - Balance",Input_Usage[Ref],0),MATCH($D$21,Inputs!$C$147:$BA$147,0))),0)+
IFERROR((INDEX(OP_TotalRates_RES_2[[Ausnet]:[United Energy]],MATCH("Single rate",OP_TotalRates_RES_2[Rate name],0),MATCH(E$24,OP_TotalRates_RES_2[[#Headers],[Ausnet]:[United Energy]],0))*
INDEX(Input_Usage[],MATCH($D26&amp;" - Annual",Input_Usage[Ref],0),MATCH($D$21,Inputs!$C$147:$BA$147,0))),0)),0),0,1),
IF(E26=
ROUNDUP(
(INDEX(OP_TotalRates_RES_2[[Ausnet]:[United Energy]],MATCH("TOU - supply",OP_TotalRates_RES_2[Rate name],0),MATCH(E$24,OP_TotalRates_RES_2[[#Headers],[Ausnet]:[United Energy]],0))*DiPY)+
(INDEX(OP_TotalRates_RES_2[[Ausnet]:[United Energy]],MATCH("Peak",OP_TotalRates_RES_2[Rate name],0),MATCH(E$24,OP_TotalRates_RES_2[[#Headers],[Ausnet]:[United Energy]],0))*
INDEX(Input_Usage[],MATCH($D26&amp;" - Peak",Input_Usage[Profile name]&amp;" - "&amp;Input_Usage[Usage type],0),MATCH($D$21,Inputs!$C$147:$BA$147,0)))+
IFERROR((INDEX(OP_TotalRates_RES_2[[Ausnet]:[United Energy]],MATCH("TOU - Shoulder",OP_TotalRates_RES_2[Rate name],0),MATCH(E$24,OP_TotalRates_RES_2[[#Headers],[Ausnet]:[United Energy]],0))*
INDEX(Input_Usage[],MATCH($D26&amp;" - Shoulder",Input_Usage[Profile name]&amp;" - "&amp;Input_Usage[Usage type],0),MATCH($D$21,Inputs!$C$147:$BA$147,0))),0)+
(INDEX(OP_TotalRates_RES_2[[Ausnet]:[United Energy]],MATCH("Off peak",OP_TotalRates_RES_2[Rate name],0),MATCH(E$24,OP_TotalRates_RES_2[[#Headers],[Ausnet]:[United Energy]],0))*
INDEX(Input_Usage[],MATCH($D26&amp;" - Off peak",Input_Usage[Profile name]&amp;" - "&amp;Input_Usage[Usage type],0),MATCH($D$21,Inputs!$C$147:$BA$147,0))),0),0,1))</f>
        <v>0</v>
      </c>
      <c r="F30" s="215" cm="1">
        <f t="array" ref="F30">IF($D$21="VDO 2021 - Final",
IF(F26=
ROUNDUP(
(INDEX(OP_TotalRates_RES_2[[Ausnet]:[United Energy]],MATCH("Anytime - supply",OP_TotalRates_RES_2[Rate name],0),MATCH(F$24,OP_TotalRates_RES_2[[#Headers],[Ausnet]:[United Energy]],0))*DiPY)+
(IFERROR((INDEX(OP_TotalRates_RES_2[[Ausnet]:[United Energy]],MATCH("Block 1",OP_TotalRates_RES_2[Rate name],0),MATCH(F$24,OP_TotalRates_RES_2[[#Headers],[Ausnet]:[United Energy]],0))*
INDEX(Input_Usage[],MATCH($D26&amp;" - Block 1",Input_Usage[Ref],0),MATCH($D$21,Inputs!$C$147:$BA$147,0))),0)+
IFERROR((INDEX(OP_TotalRates_RES_2[[Ausnet]:[United Energy]],MATCH("Balance",OP_TotalRates_RES_2[Rate name],0),MATCH(F$24,OP_TotalRates_RES_2[[#Headers],[Ausnet]:[United Energy]],0))*
INDEX(Input_Usage[],MATCH($D26&amp;" - Balance",Input_Usage[Ref],0),MATCH($D$21,Inputs!$C$147:$BA$147,0))),0)+
IFERROR((INDEX(OP_TotalRates_RES_2[[Ausnet]:[United Energy]],MATCH("Single rate",OP_TotalRates_RES_2[Rate name],0),MATCH(F$24,OP_TotalRates_RES_2[[#Headers],[Ausnet]:[United Energy]],0))*
INDEX(Input_Usage[],MATCH($D26&amp;" - Annual",Input_Usage[Ref],0),MATCH($D$21,Inputs!$C$147:$BA$147,0))),0)),0),0,1),
IF(F26=
ROUNDUP(
(INDEX(OP_TotalRates_RES_2[[Ausnet]:[United Energy]],MATCH("TOU - supply",OP_TotalRates_RES_2[Rate name],0),MATCH(F$24,OP_TotalRates_RES_2[[#Headers],[Ausnet]:[United Energy]],0))*DiPY)+
(INDEX(OP_TotalRates_RES_2[[Ausnet]:[United Energy]],MATCH("Peak",OP_TotalRates_RES_2[Rate name],0),MATCH(F$24,OP_TotalRates_RES_2[[#Headers],[Ausnet]:[United Energy]],0))*
INDEX(Input_Usage[],MATCH($D26&amp;" - Peak",Input_Usage[Profile name]&amp;" - "&amp;Input_Usage[Usage type],0),MATCH($D$21,Inputs!$C$147:$BA$147,0)))+
IFERROR((INDEX(OP_TotalRates_RES_2[[Ausnet]:[United Energy]],MATCH("TOU - Shoulder",OP_TotalRates_RES_2[Rate name],0),MATCH(F$24,OP_TotalRates_RES_2[[#Headers],[Ausnet]:[United Energy]],0))*
INDEX(Input_Usage[],MATCH($D26&amp;" - Shoulder",Input_Usage[Profile name]&amp;" - "&amp;Input_Usage[Usage type],0),MATCH($D$21,Inputs!$C$147:$BA$147,0))),0)+
(INDEX(OP_TotalRates_RES_2[[Ausnet]:[United Energy]],MATCH("Off peak",OP_TotalRates_RES_2[Rate name],0),MATCH(F$24,OP_TotalRates_RES_2[[#Headers],[Ausnet]:[United Energy]],0))*
INDEX(Input_Usage[],MATCH($D26&amp;" - Off peak",Input_Usage[Profile name]&amp;" - "&amp;Input_Usage[Usage type],0),MATCH($D$21,Inputs!$C$147:$BA$147,0))),0),0,1))</f>
        <v>0</v>
      </c>
      <c r="G30" s="215" cm="1">
        <f t="array" ref="G30">IF($D$21="VDO 2021 - Final",
IF(G26=
ROUNDUP(
(INDEX(OP_TotalRates_RES_2[[Ausnet]:[United Energy]],MATCH("Anytime - supply",OP_TotalRates_RES_2[Rate name],0),MATCH(G$24,OP_TotalRates_RES_2[[#Headers],[Ausnet]:[United Energy]],0))*DiPY)+
(IFERROR((INDEX(OP_TotalRates_RES_2[[Ausnet]:[United Energy]],MATCH("Block 1",OP_TotalRates_RES_2[Rate name],0),MATCH(G$24,OP_TotalRates_RES_2[[#Headers],[Ausnet]:[United Energy]],0))*
INDEX(Input_Usage[],MATCH($D26&amp;" - Block 1",Input_Usage[Ref],0),MATCH($D$21,Inputs!$C$147:$BA$147,0))),0)+
IFERROR((INDEX(OP_TotalRates_RES_2[[Ausnet]:[United Energy]],MATCH("Balance",OP_TotalRates_RES_2[Rate name],0),MATCH(G$24,OP_TotalRates_RES_2[[#Headers],[Ausnet]:[United Energy]],0))*
INDEX(Input_Usage[],MATCH($D26&amp;" - Balance",Input_Usage[Ref],0),MATCH($D$21,Inputs!$C$147:$BA$147,0))),0)+
IFERROR((INDEX(OP_TotalRates_RES_2[[Ausnet]:[United Energy]],MATCH("Single rate",OP_TotalRates_RES_2[Rate name],0),MATCH(G$24,OP_TotalRates_RES_2[[#Headers],[Ausnet]:[United Energy]],0))*
INDEX(Input_Usage[],MATCH($D26&amp;" - Annual",Input_Usage[Ref],0),MATCH($D$21,Inputs!$C$147:$BA$147,0))),0)),0),0,1),
IF(G26=
ROUNDUP(
(INDEX(OP_TotalRates_RES_2[[Ausnet]:[United Energy]],MATCH("TOU - supply",OP_TotalRates_RES_2[Rate name],0),MATCH(G$24,OP_TotalRates_RES_2[[#Headers],[Ausnet]:[United Energy]],0))*DiPY)+
(INDEX(OP_TotalRates_RES_2[[Ausnet]:[United Energy]],MATCH("Peak",OP_TotalRates_RES_2[Rate name],0),MATCH(G$24,OP_TotalRates_RES_2[[#Headers],[Ausnet]:[United Energy]],0))*
INDEX(Input_Usage[],MATCH($D26&amp;" - Peak",Input_Usage[Profile name]&amp;" - "&amp;Input_Usage[Usage type],0),MATCH($D$21,Inputs!$C$147:$BA$147,0)))+
IFERROR((INDEX(OP_TotalRates_RES_2[[Ausnet]:[United Energy]],MATCH("TOU - Shoulder",OP_TotalRates_RES_2[Rate name],0),MATCH(G$24,OP_TotalRates_RES_2[[#Headers],[Ausnet]:[United Energy]],0))*
INDEX(Input_Usage[],MATCH($D26&amp;" - Shoulder",Input_Usage[Profile name]&amp;" - "&amp;Input_Usage[Usage type],0),MATCH($D$21,Inputs!$C$147:$BA$147,0))),0)+
(INDEX(OP_TotalRates_RES_2[[Ausnet]:[United Energy]],MATCH("Off peak",OP_TotalRates_RES_2[Rate name],0),MATCH(G$24,OP_TotalRates_RES_2[[#Headers],[Ausnet]:[United Energy]],0))*
INDEX(Input_Usage[],MATCH($D26&amp;" - Off peak",Input_Usage[Profile name]&amp;" - "&amp;Input_Usage[Usage type],0),MATCH($D$21,Inputs!$C$147:$BA$147,0))),0),0,1))</f>
        <v>0</v>
      </c>
      <c r="H30" s="215" cm="1">
        <f t="array" ref="H30">IF($D$21="VDO 2021 - Final",
IF(H26=
ROUNDUP(
(INDEX(OP_TotalRates_RES_2[[Ausnet]:[United Energy]],MATCH("Anytime - supply",OP_TotalRates_RES_2[Rate name],0),MATCH(H$24,OP_TotalRates_RES_2[[#Headers],[Ausnet]:[United Energy]],0))*DiPY)+
(IFERROR((INDEX(OP_TotalRates_RES_2[[Ausnet]:[United Energy]],MATCH("Block 1",OP_TotalRates_RES_2[Rate name],0),MATCH(H$24,OP_TotalRates_RES_2[[#Headers],[Ausnet]:[United Energy]],0))*
INDEX(Input_Usage[],MATCH($D26&amp;" - Block 1",Input_Usage[Ref],0),MATCH($D$21,Inputs!$C$147:$BA$147,0))),0)+
IFERROR((INDEX(OP_TotalRates_RES_2[[Ausnet]:[United Energy]],MATCH("Balance",OP_TotalRates_RES_2[Rate name],0),MATCH(H$24,OP_TotalRates_RES_2[[#Headers],[Ausnet]:[United Energy]],0))*
INDEX(Input_Usage[],MATCH($D26&amp;" - Balance",Input_Usage[Ref],0),MATCH($D$21,Inputs!$C$147:$BA$147,0))),0)+
IFERROR((INDEX(OP_TotalRates_RES_2[[Ausnet]:[United Energy]],MATCH("Single rate",OP_TotalRates_RES_2[Rate name],0),MATCH(H$24,OP_TotalRates_RES_2[[#Headers],[Ausnet]:[United Energy]],0))*
INDEX(Input_Usage[],MATCH($D26&amp;" - Annual",Input_Usage[Ref],0),MATCH($D$21,Inputs!$C$147:$BA$147,0))),0)),0),0,1),
IF(H26=
ROUNDUP(
(INDEX(OP_TotalRates_RES_2[[Ausnet]:[United Energy]],MATCH("TOU - supply",OP_TotalRates_RES_2[Rate name],0),MATCH(H$24,OP_TotalRates_RES_2[[#Headers],[Ausnet]:[United Energy]],0))*DiPY)+
(INDEX(OP_TotalRates_RES_2[[Ausnet]:[United Energy]],MATCH("Peak",OP_TotalRates_RES_2[Rate name],0),MATCH(H$24,OP_TotalRates_RES_2[[#Headers],[Ausnet]:[United Energy]],0))*
INDEX(Input_Usage[],MATCH($D26&amp;" - Peak",Input_Usage[Profile name]&amp;" - "&amp;Input_Usage[Usage type],0),MATCH($D$21,Inputs!$C$147:$BA$147,0)))+
IFERROR((INDEX(OP_TotalRates_RES_2[[Ausnet]:[United Energy]],MATCH("TOU - Shoulder",OP_TotalRates_RES_2[Rate name],0),MATCH(H$24,OP_TotalRates_RES_2[[#Headers],[Ausnet]:[United Energy]],0))*
INDEX(Input_Usage[],MATCH($D26&amp;" - Shoulder",Input_Usage[Profile name]&amp;" - "&amp;Input_Usage[Usage type],0),MATCH($D$21,Inputs!$C$147:$BA$147,0))),0)+
(INDEX(OP_TotalRates_RES_2[[Ausnet]:[United Energy]],MATCH("Off peak",OP_TotalRates_RES_2[Rate name],0),MATCH(H$24,OP_TotalRates_RES_2[[#Headers],[Ausnet]:[United Energy]],0))*
INDEX(Input_Usage[],MATCH($D26&amp;" - Off peak",Input_Usage[Profile name]&amp;" - "&amp;Input_Usage[Usage type],0),MATCH($D$21,Inputs!$C$147:$BA$147,0))),0),0,1))</f>
        <v>0</v>
      </c>
      <c r="I30" s="215" cm="1">
        <f t="array" ref="I30">IF($D$21="VDO 2021 - Final",
IF(I26=
ROUNDUP(
(INDEX(OP_TotalRates_RES_2[[Ausnet]:[United Energy]],MATCH("Anytime - supply",OP_TotalRates_RES_2[Rate name],0),MATCH(I$24,OP_TotalRates_RES_2[[#Headers],[Ausnet]:[United Energy]],0))*DiPY)+
(IFERROR((INDEX(OP_TotalRates_RES_2[[Ausnet]:[United Energy]],MATCH("Block 1",OP_TotalRates_RES_2[Rate name],0),MATCH(I$24,OP_TotalRates_RES_2[[#Headers],[Ausnet]:[United Energy]],0))*
INDEX(Input_Usage[],MATCH($D26&amp;" - Block 1",Input_Usage[Ref],0),MATCH($D$21,Inputs!$C$147:$BA$147,0))),0)+
IFERROR((INDEX(OP_TotalRates_RES_2[[Ausnet]:[United Energy]],MATCH("Balance",OP_TotalRates_RES_2[Rate name],0),MATCH(I$24,OP_TotalRates_RES_2[[#Headers],[Ausnet]:[United Energy]],0))*
INDEX(Input_Usage[],MATCH($D26&amp;" - Balance",Input_Usage[Ref],0),MATCH($D$21,Inputs!$C$147:$BA$147,0))),0)+
IFERROR((INDEX(OP_TotalRates_RES_2[[Ausnet]:[United Energy]],MATCH("Single rate",OP_TotalRates_RES_2[Rate name],0),MATCH(I$24,OP_TotalRates_RES_2[[#Headers],[Ausnet]:[United Energy]],0))*
INDEX(Input_Usage[],MATCH($D26&amp;" - Annual",Input_Usage[Ref],0),MATCH($D$21,Inputs!$C$147:$BA$147,0))),0)),0),0,1),
IF(I26=
ROUNDUP(
(INDEX(OP_TotalRates_RES_2[[Ausnet]:[United Energy]],MATCH("TOU - supply",OP_TotalRates_RES_2[Rate name],0),MATCH(I$24,OP_TotalRates_RES_2[[#Headers],[Ausnet]:[United Energy]],0))*DiPY)+
(INDEX(OP_TotalRates_RES_2[[Ausnet]:[United Energy]],MATCH("Peak",OP_TotalRates_RES_2[Rate name],0),MATCH(I$24,OP_TotalRates_RES_2[[#Headers],[Ausnet]:[United Energy]],0))*
INDEX(Input_Usage[],MATCH($D26&amp;" - Peak",Input_Usage[Profile name]&amp;" - "&amp;Input_Usage[Usage type],0),MATCH($D$21,Inputs!$C$147:$BA$147,0)))+
IFERROR((INDEX(OP_TotalRates_RES_2[[Ausnet]:[United Energy]],MATCH("TOU - Shoulder",OP_TotalRates_RES_2[Rate name],0),MATCH(I$24,OP_TotalRates_RES_2[[#Headers],[Ausnet]:[United Energy]],0))*
INDEX(Input_Usage[],MATCH($D26&amp;" - Shoulder",Input_Usage[Profile name]&amp;" - "&amp;Input_Usage[Usage type],0),MATCH($D$21,Inputs!$C$147:$BA$147,0))),0)+
(INDEX(OP_TotalRates_RES_2[[Ausnet]:[United Energy]],MATCH("Off peak",OP_TotalRates_RES_2[Rate name],0),MATCH(I$24,OP_TotalRates_RES_2[[#Headers],[Ausnet]:[United Energy]],0))*
INDEX(Input_Usage[],MATCH($D26&amp;" - Off peak",Input_Usage[Profile name]&amp;" - "&amp;Input_Usage[Usage type],0),MATCH($D$21,Inputs!$C$147:$BA$147,0))),0),0,1))</f>
        <v>0</v>
      </c>
      <c r="M30" s="215" cm="1">
        <f t="array" ref="M30">IF($D$21="VDO 2021 - Final",
IF(M26=
ROUNDUP(
(INDEX(OP_TotalRates_SME_2[[Ausnet]:[United Energy]],MATCH("Anytime - supply",OP_TotalRates_SME_2[Rate name],0),MATCH(M$24,OP_TotalRates_SME_2[[#Headers],[Ausnet]:[United Energy]],0))*DiPY)+
(IFERROR((INDEX(OP_TotalRates_SME_2[[Ausnet]:[United Energy]],MATCH("Block 1",OP_TotalRates_SME_2[Rate name],0),MATCH(M$24,OP_TotalRates_SME_2[[#Headers],[Ausnet]:[United Energy]],0))*
INDEX(Input_Usage[],MATCH($L26&amp;" - Block 1",Input_Usage[Profile name]&amp;" - "&amp;Input_Usage[Usage type],0),MATCH($D$21,Inputs!$C$147:$BA$147,0))),0)+
IFERROR((INDEX(OP_TotalRates_SME_2[[Ausnet]:[United Energy]],MATCH("Balance",OP_TotalRates_SME_2[Rate name],0),MATCH(M$24,OP_TotalRates_SME_2[[#Headers],[Ausnet]:[United Energy]],0))*
INDEX(Input_Usage[],MATCH($L26&amp;" - Balance",Input_Usage[Profile name]&amp;" - "&amp;Input_Usage[Usage type],0),MATCH($D$21,Inputs!$C$147:$BA$147,0))),0)+
IFERROR((INDEX(OP_TotalRates_SME_2[[Ausnet]:[United Energy]],MATCH("Single rate",OP_TotalRates_SME_2[Rate name],0),MATCH(M$24,OP_TotalRates_SME_2[[#Headers],[Ausnet]:[United Energy]],0))*
INDEX(Input_Usage[],MATCH($L26&amp;" - Annual",Input_Usage[Profile name]&amp;" - "&amp;Input_Usage[Usage type],0),MATCH($D$21,Inputs!$C$147:$BA$147,0))),0)),0),0,1),
IF(M26=
ROUNDUP(
(INDEX(OP_TotalRates_SME_2[[Ausnet]:[United Energy]],MATCH("TOU - supply",OP_TotalRates_SME_2[Rate name],0),MATCH(M$24,OP_TotalRates_SME_2[[#Headers],[Ausnet]:[United Energy]],0))*DiPY)+
(INDEX(OP_TotalRates_SME_2[[Ausnet]:[United Energy]],MATCH("Peak",OP_TotalRates_SME_2[Rate name],0),MATCH(M$24,OP_TotalRates_SME_2[[#Headers],[Ausnet]:[United Energy]],0))*
INDEX(Input_Usage[],MATCH($L26&amp;" - Peak",Input_Usage[Profile name]&amp;" - "&amp;Input_Usage[Usage type],0),MATCH($D$21,Inputs!$C$147:$BA$147,0)))+
IFERROR((INDEX(OP_TotalRates_SME_2[[Ausnet]:[United Energy]],MATCH("TOU - Shoulder",OP_TotalRates_SME_2[Rate name],0),MATCH(M$24,OP_TotalRates_SME_2[[#Headers],[Ausnet]:[United Energy]],0))*
INDEX(Input_Usage[],MATCH($L26&amp;" - Shoulder",Input_Usage[Profile name]&amp;" - "&amp;Input_Usage[Usage type],0),MATCH($D$21,Inputs!$C$147:$BA$147,0))),0)+
(INDEX(OP_TotalRates_SME_2[[Ausnet]:[United Energy]],MATCH("Off peak",OP_TotalRates_SME_2[Rate name],0),MATCH(M$24,OP_TotalRates_SME_2[[#Headers],[Ausnet]:[United Energy]],0))*
INDEX(Input_Usage[],MATCH($L26&amp;" - Off peak",Input_Usage[Profile name]&amp;" - "&amp;Input_Usage[Usage type],0),MATCH($D$21,Inputs!$C$147:$BA$147,0))),0),0,1))</f>
        <v>0</v>
      </c>
      <c r="N30" s="215" cm="1">
        <f t="array" ref="N30">IF($D$21="VDO 2021 - Final",
IF(N26=
ROUNDUP(
(INDEX(OP_TotalRates_SME_2[[Ausnet]:[United Energy]],MATCH("Anytime - supply",OP_TotalRates_SME_2[Rate name],0),MATCH(N$24,OP_TotalRates_SME_2[[#Headers],[Ausnet]:[United Energy]],0))*DiPY)+
(IFERROR((INDEX(OP_TotalRates_SME_2[[Ausnet]:[United Energy]],MATCH("Block 1",OP_TotalRates_SME_2[Rate name],0),MATCH(N$24,OP_TotalRates_SME_2[[#Headers],[Ausnet]:[United Energy]],0))*
INDEX(Input_Usage[],MATCH($L26&amp;" - Block 1",Input_Usage[Profile name]&amp;" - "&amp;Input_Usage[Usage type],0),MATCH($D$21,Inputs!$C$147:$BA$147,0))),0)+
IFERROR((INDEX(OP_TotalRates_SME_2[[Ausnet]:[United Energy]],MATCH("Balance",OP_TotalRates_SME_2[Rate name],0),MATCH(N$24,OP_TotalRates_SME_2[[#Headers],[Ausnet]:[United Energy]],0))*
INDEX(Input_Usage[],MATCH($L26&amp;" - Balance",Input_Usage[Profile name]&amp;" - "&amp;Input_Usage[Usage type],0),MATCH($D$21,Inputs!$C$147:$BA$147,0))),0)+
IFERROR((INDEX(OP_TotalRates_SME_2[[Ausnet]:[United Energy]],MATCH("Single rate",OP_TotalRates_SME_2[Rate name],0),MATCH(N$24,OP_TotalRates_SME_2[[#Headers],[Ausnet]:[United Energy]],0))*
INDEX(Input_Usage[],MATCH($L26&amp;" - Annual",Input_Usage[Profile name]&amp;" - "&amp;Input_Usage[Usage type],0),MATCH($D$21,Inputs!$C$147:$BA$147,0))),0)),0),0,1),
IF(N26=
ROUNDUP(
(INDEX(OP_TotalRates_SME_2[[Ausnet]:[United Energy]],MATCH("TOU - supply",OP_TotalRates_SME_2[Rate name],0),MATCH(N$24,OP_TotalRates_SME_2[[#Headers],[Ausnet]:[United Energy]],0))*DiPY)+
(INDEX(OP_TotalRates_SME_2[[Ausnet]:[United Energy]],MATCH("Peak",OP_TotalRates_SME_2[Rate name],0),MATCH(N$24,OP_TotalRates_SME_2[[#Headers],[Ausnet]:[United Energy]],0))*
INDEX(Input_Usage[],MATCH($L26&amp;" - Peak",Input_Usage[Profile name]&amp;" - "&amp;Input_Usage[Usage type],0),MATCH($D$21,Inputs!$C$147:$BA$147,0)))+
IFERROR((INDEX(OP_TotalRates_SME_2[[Ausnet]:[United Energy]],MATCH("TOU - Shoulder",OP_TotalRates_SME_2[Rate name],0),MATCH(N$24,OP_TotalRates_SME_2[[#Headers],[Ausnet]:[United Energy]],0))*
INDEX(Input_Usage[],MATCH($L26&amp;" - Shoulder",Input_Usage[Profile name]&amp;" - "&amp;Input_Usage[Usage type],0),MATCH($D$21,Inputs!$C$147:$BA$147,0))),0)+
(INDEX(OP_TotalRates_SME_2[[Ausnet]:[United Energy]],MATCH("Off peak",OP_TotalRates_SME_2[Rate name],0),MATCH(N$24,OP_TotalRates_SME_2[[#Headers],[Ausnet]:[United Energy]],0))*
INDEX(Input_Usage[],MATCH($L26&amp;" - Off peak",Input_Usage[Profile name]&amp;" - "&amp;Input_Usage[Usage type],0),MATCH($D$21,Inputs!$C$147:$BA$147,0))),0),0,1))</f>
        <v>0</v>
      </c>
      <c r="O30" s="215" cm="1">
        <f t="array" ref="O30">IF($D$21="VDO 2021 - Final",
IF(O26=
ROUNDUP(
(INDEX(OP_TotalRates_SME_2[[Ausnet]:[United Energy]],MATCH("Anytime - supply",OP_TotalRates_SME_2[Rate name],0),MATCH(O$24,OP_TotalRates_SME_2[[#Headers],[Ausnet]:[United Energy]],0))*DiPY)+
(IFERROR((INDEX(OP_TotalRates_SME_2[[Ausnet]:[United Energy]],MATCH("Block 1",OP_TotalRates_SME_2[Rate name],0),MATCH(O$24,OP_TotalRates_SME_2[[#Headers],[Ausnet]:[United Energy]],0))*
INDEX(Input_Usage[],MATCH($L26&amp;" - Block 1",Input_Usage[Profile name]&amp;" - "&amp;Input_Usage[Usage type],0),MATCH($D$21,Inputs!$C$147:$BA$147,0))),0)+
IFERROR((INDEX(OP_TotalRates_SME_2[[Ausnet]:[United Energy]],MATCH("Balance",OP_TotalRates_SME_2[Rate name],0),MATCH(O$24,OP_TotalRates_SME_2[[#Headers],[Ausnet]:[United Energy]],0))*
INDEX(Input_Usage[],MATCH($L26&amp;" - Balance",Input_Usage[Profile name]&amp;" - "&amp;Input_Usage[Usage type],0),MATCH($D$21,Inputs!$C$147:$BA$147,0))),0)+
IFERROR((INDEX(OP_TotalRates_SME_2[[Ausnet]:[United Energy]],MATCH("Single rate",OP_TotalRates_SME_2[Rate name],0),MATCH(O$24,OP_TotalRates_SME_2[[#Headers],[Ausnet]:[United Energy]],0))*
INDEX(Input_Usage[],MATCH($L26&amp;" - Annual",Input_Usage[Profile name]&amp;" - "&amp;Input_Usage[Usage type],0),MATCH($D$21,Inputs!$C$147:$BA$147,0))),0)),0),0,1),
IF(O26=
ROUNDUP(
(INDEX(OP_TotalRates_SME_2[[Ausnet]:[United Energy]],MATCH("TOU - supply",OP_TotalRates_SME_2[Rate name],0),MATCH(O$24,OP_TotalRates_SME_2[[#Headers],[Ausnet]:[United Energy]],0))*DiPY)+
(INDEX(OP_TotalRates_SME_2[[Ausnet]:[United Energy]],MATCH("Peak",OP_TotalRates_SME_2[Rate name],0),MATCH(O$24,OP_TotalRates_SME_2[[#Headers],[Ausnet]:[United Energy]],0))*
INDEX(Input_Usage[],MATCH($L26&amp;" - Peak",Input_Usage[Profile name]&amp;" - "&amp;Input_Usage[Usage type],0),MATCH($D$21,Inputs!$C$147:$BA$147,0)))+
IFERROR((INDEX(OP_TotalRates_SME_2[[Ausnet]:[United Energy]],MATCH("TOU - Shoulder",OP_TotalRates_SME_2[Rate name],0),MATCH(O$24,OP_TotalRates_SME_2[[#Headers],[Ausnet]:[United Energy]],0))*
INDEX(Input_Usage[],MATCH($L26&amp;" - Shoulder",Input_Usage[Profile name]&amp;" - "&amp;Input_Usage[Usage type],0),MATCH($D$21,Inputs!$C$147:$BA$147,0))),0)+
(INDEX(OP_TotalRates_SME_2[[Ausnet]:[United Energy]],MATCH("Off peak",OP_TotalRates_SME_2[Rate name],0),MATCH(O$24,OP_TotalRates_SME_2[[#Headers],[Ausnet]:[United Energy]],0))*
INDEX(Input_Usage[],MATCH($L26&amp;" - Off peak",Input_Usage[Profile name]&amp;" - "&amp;Input_Usage[Usage type],0),MATCH($D$21,Inputs!$C$147:$BA$147,0))),0),0,1))</f>
        <v>0</v>
      </c>
      <c r="P30" s="215" cm="1">
        <f t="array" ref="P30">IF($D$21="VDO 2021 - Final",
IF(P26=
ROUNDUP(
(INDEX(OP_TotalRates_SME_2[[Ausnet]:[United Energy]],MATCH("Anytime - supply",OP_TotalRates_SME_2[Rate name],0),MATCH(P$24,OP_TotalRates_SME_2[[#Headers],[Ausnet]:[United Energy]],0))*DiPY)+
(IFERROR((INDEX(OP_TotalRates_SME_2[[Ausnet]:[United Energy]],MATCH("Block 1",OP_TotalRates_SME_2[Rate name],0),MATCH(P$24,OP_TotalRates_SME_2[[#Headers],[Ausnet]:[United Energy]],0))*
INDEX(Input_Usage[],MATCH($L26&amp;" - Block 1",Input_Usage[Profile name]&amp;" - "&amp;Input_Usage[Usage type],0),MATCH($D$21,Inputs!$C$147:$BA$147,0))),0)+
IFERROR((INDEX(OP_TotalRates_SME_2[[Ausnet]:[United Energy]],MATCH("Balance",OP_TotalRates_SME_2[Rate name],0),MATCH(P$24,OP_TotalRates_SME_2[[#Headers],[Ausnet]:[United Energy]],0))*
INDEX(Input_Usage[],MATCH($L26&amp;" - Balance",Input_Usage[Profile name]&amp;" - "&amp;Input_Usage[Usage type],0),MATCH($D$21,Inputs!$C$147:$BA$147,0))),0)+
IFERROR((INDEX(OP_TotalRates_SME_2[[Ausnet]:[United Energy]],MATCH("Single rate",OP_TotalRates_SME_2[Rate name],0),MATCH(P$24,OP_TotalRates_SME_2[[#Headers],[Ausnet]:[United Energy]],0))*
INDEX(Input_Usage[],MATCH($L26&amp;" - Annual",Input_Usage[Profile name]&amp;" - "&amp;Input_Usage[Usage type],0),MATCH($D$21,Inputs!$C$147:$BA$147,0))),0)),0),0,1),
IF(P26=
ROUNDUP(
(INDEX(OP_TotalRates_SME_2[[Ausnet]:[United Energy]],MATCH("TOU - supply",OP_TotalRates_SME_2[Rate name],0),MATCH(P$24,OP_TotalRates_SME_2[[#Headers],[Ausnet]:[United Energy]],0))*DiPY)+
(INDEX(OP_TotalRates_SME_2[[Ausnet]:[United Energy]],MATCH("Peak",OP_TotalRates_SME_2[Rate name],0),MATCH(P$24,OP_TotalRates_SME_2[[#Headers],[Ausnet]:[United Energy]],0))*
INDEX(Input_Usage[],MATCH($L26&amp;" - Peak",Input_Usage[Profile name]&amp;" - "&amp;Input_Usage[Usage type],0),MATCH($D$21,Inputs!$C$147:$BA$147,0)))+
IFERROR((INDEX(OP_TotalRates_SME_2[[Ausnet]:[United Energy]],MATCH("TOU - Shoulder",OP_TotalRates_SME_2[Rate name],0),MATCH(P$24,OP_TotalRates_SME_2[[#Headers],[Ausnet]:[United Energy]],0))*
INDEX(Input_Usage[],MATCH($L26&amp;" - Shoulder",Input_Usage[Profile name]&amp;" - "&amp;Input_Usage[Usage type],0),MATCH($D$21,Inputs!$C$147:$BA$147,0))),0)+
(INDEX(OP_TotalRates_SME_2[[Ausnet]:[United Energy]],MATCH("Off peak",OP_TotalRates_SME_2[Rate name],0),MATCH(P$24,OP_TotalRates_SME_2[[#Headers],[Ausnet]:[United Energy]],0))*
INDEX(Input_Usage[],MATCH($L26&amp;" - Off peak",Input_Usage[Profile name]&amp;" - "&amp;Input_Usage[Usage type],0),MATCH($D$21,Inputs!$C$147:$BA$147,0))),0),0,1))</f>
        <v>0</v>
      </c>
      <c r="Q30" s="215" cm="1">
        <f t="array" ref="Q30">IF($D$21="VDO 2021 - Final",
IF(Q26=
ROUNDUP(
(INDEX(OP_TotalRates_SME_2[[Ausnet]:[United Energy]],MATCH("Anytime - supply",OP_TotalRates_SME_2[Rate name],0),MATCH(Q$24,OP_TotalRates_SME_2[[#Headers],[Ausnet]:[United Energy]],0))*DiPY)+
(IFERROR((INDEX(OP_TotalRates_SME_2[[Ausnet]:[United Energy]],MATCH("Block 1",OP_TotalRates_SME_2[Rate name],0),MATCH(Q$24,OP_TotalRates_SME_2[[#Headers],[Ausnet]:[United Energy]],0))*
INDEX(Input_Usage[],MATCH($L26&amp;" - Block 1",Input_Usage[Profile name]&amp;" - "&amp;Input_Usage[Usage type],0),MATCH($D$21,Inputs!$C$147:$BA$147,0))),0)+
IFERROR((INDEX(OP_TotalRates_SME_2[[Ausnet]:[United Energy]],MATCH("Balance",OP_TotalRates_SME_2[Rate name],0),MATCH(Q$24,OP_TotalRates_SME_2[[#Headers],[Ausnet]:[United Energy]],0))*
INDEX(Input_Usage[],MATCH($L26&amp;" - Balance",Input_Usage[Profile name]&amp;" - "&amp;Input_Usage[Usage type],0),MATCH($D$21,Inputs!$C$147:$BA$147,0))),0)+
IFERROR((INDEX(OP_TotalRates_SME_2[[Ausnet]:[United Energy]],MATCH("Single rate",OP_TotalRates_SME_2[Rate name],0),MATCH(Q$24,OP_TotalRates_SME_2[[#Headers],[Ausnet]:[United Energy]],0))*
INDEX(Input_Usage[],MATCH($L26&amp;" - Annual",Input_Usage[Profile name]&amp;" - "&amp;Input_Usage[Usage type],0),MATCH($D$21,Inputs!$C$147:$BA$147,0))),0)),0),0,1),
IF(Q26=
ROUNDUP(
(INDEX(OP_TotalRates_SME_2[[Ausnet]:[United Energy]],MATCH("TOU - supply",OP_TotalRates_SME_2[Rate name],0),MATCH(Q$24,OP_TotalRates_SME_2[[#Headers],[Ausnet]:[United Energy]],0))*DiPY)+
(INDEX(OP_TotalRates_SME_2[[Ausnet]:[United Energy]],MATCH("Peak",OP_TotalRates_SME_2[Rate name],0),MATCH(Q$24,OP_TotalRates_SME_2[[#Headers],[Ausnet]:[United Energy]],0))*
INDEX(Input_Usage[],MATCH($L26&amp;" - Peak",Input_Usage[Profile name]&amp;" - "&amp;Input_Usage[Usage type],0),MATCH($D$21,Inputs!$C$147:$BA$147,0)))+
IFERROR((INDEX(OP_TotalRates_SME_2[[Ausnet]:[United Energy]],MATCH("TOU - Shoulder",OP_TotalRates_SME_2[Rate name],0),MATCH(Q$24,OP_TotalRates_SME_2[[#Headers],[Ausnet]:[United Energy]],0))*
INDEX(Input_Usage[],MATCH($L26&amp;" - Shoulder",Input_Usage[Profile name]&amp;" - "&amp;Input_Usage[Usage type],0),MATCH($D$21,Inputs!$C$147:$BA$147,0))),0)+
(INDEX(OP_TotalRates_SME_2[[Ausnet]:[United Energy]],MATCH("Off peak",OP_TotalRates_SME_2[Rate name],0),MATCH(Q$24,OP_TotalRates_SME_2[[#Headers],[Ausnet]:[United Energy]],0))*
INDEX(Input_Usage[],MATCH($L26&amp;" - Off peak",Input_Usage[Profile name]&amp;" - "&amp;Input_Usage[Usage type],0),MATCH($D$21,Inputs!$C$147:$BA$147,0))),0),0,1))</f>
        <v>0</v>
      </c>
    </row>
    <row r="31" spans="1:18" ht="15.75" hidden="1" x14ac:dyDescent="0.25">
      <c r="E31" s="215" cm="1">
        <f t="array" ref="E31">IF($D$21="VDO 2021 - Final",
IF(E27=
ROUNDUP(
(INDEX(OP_TotalRates_RES_2[[Ausnet]:[United Energy]],MATCH("Anytime - supply",OP_TotalRates_RES_2[Rate name],0),MATCH(E$24,OP_TotalRates_RES_2[[#Headers],[Ausnet]:[United Energy]],0))*DiPY)+
(IFERROR((INDEX(OP_TotalRates_RES_2[[Ausnet]:[United Energy]],MATCH("Block 1",OP_TotalRates_RES_2[Rate name],0),MATCH(E$24,OP_TotalRates_RES_2[[#Headers],[Ausnet]:[United Energy]],0))*
INDEX(Input_Usage[],MATCH($D27&amp;" - Block 1",Input_Usage[Ref],0),MATCH($D$21,Inputs!$C$147:$BA$147,0))),0)+
IFERROR((INDEX(OP_TotalRates_RES_2[[Ausnet]:[United Energy]],MATCH("Balance",OP_TotalRates_RES_2[Rate name],0),MATCH(E$24,OP_TotalRates_RES_2[[#Headers],[Ausnet]:[United Energy]],0))*
INDEX(Input_Usage[],MATCH($D27&amp;" - Balance",Input_Usage[Ref],0),MATCH($D$21,Inputs!$C$147:$BA$147,0))),0)+
IFERROR((INDEX(OP_TotalRates_RES_2[[Ausnet]:[United Energy]],MATCH("Single rate",OP_TotalRates_RES_2[Rate name],0),MATCH(E$24,OP_TotalRates_RES_2[[#Headers],[Ausnet]:[United Energy]],0))*
INDEX(Input_Usage[],MATCH($D27&amp;" - Annual",Input_Usage[Ref],0),MATCH($D$21,Inputs!$C$147:$BA$147,0))),0)),0),0,1),
IF(E27=
ROUNDUP(
(INDEX(OP_TotalRates_RES_2[[Ausnet]:[United Energy]],MATCH("TOU - supply",OP_TotalRates_RES_2[Rate name],0),MATCH(E$24,OP_TotalRates_RES_2[[#Headers],[Ausnet]:[United Energy]],0))*DiPY)+
(INDEX(OP_TotalRates_RES_2[[Ausnet]:[United Energy]],MATCH("Peak",OP_TotalRates_RES_2[Rate name],0),MATCH(E$24,OP_TotalRates_RES_2[[#Headers],[Ausnet]:[United Energy]],0))*
INDEX(Input_Usage[],MATCH($D27&amp;" - Peak",Input_Usage[Profile name]&amp;" - "&amp;Input_Usage[Usage type],0),MATCH($D$21,Inputs!$C$147:$BA$147,0)))+
IFERROR((INDEX(OP_TotalRates_RES_2[[Ausnet]:[United Energy]],MATCH("TOU - Shoulder",OP_TotalRates_RES_2[Rate name],0),MATCH(E$24,OP_TotalRates_RES_2[[#Headers],[Ausnet]:[United Energy]],0))*
INDEX(Input_Usage[],MATCH($D27&amp;" - Shoulder",Input_Usage[Profile name]&amp;" - "&amp;Input_Usage[Usage type],0),MATCH($D$21,Inputs!$C$147:$BA$147,0))),0)+
(INDEX(OP_TotalRates_RES_2[[Ausnet]:[United Energy]],MATCH("Off peak",OP_TotalRates_RES_2[Rate name],0),MATCH(E$24,OP_TotalRates_RES_2[[#Headers],[Ausnet]:[United Energy]],0))*
INDEX(Input_Usage[],MATCH($D27&amp;" - Off peak",Input_Usage[Profile name]&amp;" - "&amp;Input_Usage[Usage type],0),MATCH($D$21,Inputs!$C$147:$BA$147,0))),0),0,1))</f>
        <v>0</v>
      </c>
      <c r="F31" s="215" cm="1">
        <f t="array" ref="F31">IF($D$21="VDO 2021 - Final",
IF(F27=
ROUNDUP(
(INDEX(OP_TotalRates_RES_2[[Ausnet]:[United Energy]],MATCH("Anytime - supply",OP_TotalRates_RES_2[Rate name],0),MATCH(F$24,OP_TotalRates_RES_2[[#Headers],[Ausnet]:[United Energy]],0))*DiPY)+
(IFERROR((INDEX(OP_TotalRates_RES_2[[Ausnet]:[United Energy]],MATCH("Block 1",OP_TotalRates_RES_2[Rate name],0),MATCH(F$24,OP_TotalRates_RES_2[[#Headers],[Ausnet]:[United Energy]],0))*
INDEX(Input_Usage[],MATCH($D27&amp;" - Block 1",Input_Usage[Ref],0),MATCH($D$21,Inputs!$C$147:$BA$147,0))),0)+
IFERROR((INDEX(OP_TotalRates_RES_2[[Ausnet]:[United Energy]],MATCH("Balance",OP_TotalRates_RES_2[Rate name],0),MATCH(F$24,OP_TotalRates_RES_2[[#Headers],[Ausnet]:[United Energy]],0))*
INDEX(Input_Usage[],MATCH($D27&amp;" - Balance",Input_Usage[Ref],0),MATCH($D$21,Inputs!$C$147:$BA$147,0))),0)+
IFERROR((INDEX(OP_TotalRates_RES_2[[Ausnet]:[United Energy]],MATCH("Single rate",OP_TotalRates_RES_2[Rate name],0),MATCH(F$24,OP_TotalRates_RES_2[[#Headers],[Ausnet]:[United Energy]],0))*
INDEX(Input_Usage[],MATCH($D27&amp;" - Annual",Input_Usage[Ref],0),MATCH($D$21,Inputs!$C$147:$BA$147,0))),0)),0),0,1),
IF(F27=
ROUNDUP(
(INDEX(OP_TotalRates_RES_2[[Ausnet]:[United Energy]],MATCH("TOU - supply",OP_TotalRates_RES_2[Rate name],0),MATCH(F$24,OP_TotalRates_RES_2[[#Headers],[Ausnet]:[United Energy]],0))*DiPY)+
(INDEX(OP_TotalRates_RES_2[[Ausnet]:[United Energy]],MATCH("Peak",OP_TotalRates_RES_2[Rate name],0),MATCH(F$24,OP_TotalRates_RES_2[[#Headers],[Ausnet]:[United Energy]],0))*
INDEX(Input_Usage[],MATCH($D27&amp;" - Peak",Input_Usage[Profile name]&amp;" - "&amp;Input_Usage[Usage type],0),MATCH($D$21,Inputs!$C$147:$BA$147,0)))+
IFERROR((INDEX(OP_TotalRates_RES_2[[Ausnet]:[United Energy]],MATCH("TOU - Shoulder",OP_TotalRates_RES_2[Rate name],0),MATCH(F$24,OP_TotalRates_RES_2[[#Headers],[Ausnet]:[United Energy]],0))*
INDEX(Input_Usage[],MATCH($D27&amp;" - Shoulder",Input_Usage[Profile name]&amp;" - "&amp;Input_Usage[Usage type],0),MATCH($D$21,Inputs!$C$147:$BA$147,0))),0)+
(INDEX(OP_TotalRates_RES_2[[Ausnet]:[United Energy]],MATCH("Off peak",OP_TotalRates_RES_2[Rate name],0),MATCH(F$24,OP_TotalRates_RES_2[[#Headers],[Ausnet]:[United Energy]],0))*
INDEX(Input_Usage[],MATCH($D27&amp;" - Off peak",Input_Usage[Profile name]&amp;" - "&amp;Input_Usage[Usage type],0),MATCH($D$21,Inputs!$C$147:$BA$147,0))),0),0,1))</f>
        <v>0</v>
      </c>
      <c r="G31" s="215" cm="1">
        <f t="array" ref="G31">IF($D$21="VDO 2021 - Final",
IF(G27=
ROUNDUP(
(INDEX(OP_TotalRates_RES_2[[Ausnet]:[United Energy]],MATCH("Anytime - supply",OP_TotalRates_RES_2[Rate name],0),MATCH(G$24,OP_TotalRates_RES_2[[#Headers],[Ausnet]:[United Energy]],0))*DiPY)+
(IFERROR((INDEX(OP_TotalRates_RES_2[[Ausnet]:[United Energy]],MATCH("Block 1",OP_TotalRates_RES_2[Rate name],0),MATCH(G$24,OP_TotalRates_RES_2[[#Headers],[Ausnet]:[United Energy]],0))*
INDEX(Input_Usage[],MATCH($D27&amp;" - Block 1",Input_Usage[Ref],0),MATCH($D$21,Inputs!$C$147:$BA$147,0))),0)+
IFERROR((INDEX(OP_TotalRates_RES_2[[Ausnet]:[United Energy]],MATCH("Balance",OP_TotalRates_RES_2[Rate name],0),MATCH(G$24,OP_TotalRates_RES_2[[#Headers],[Ausnet]:[United Energy]],0))*
INDEX(Input_Usage[],MATCH($D27&amp;" - Balance",Input_Usage[Ref],0),MATCH($D$21,Inputs!$C$147:$BA$147,0))),0)+
IFERROR((INDEX(OP_TotalRates_RES_2[[Ausnet]:[United Energy]],MATCH("Single rate",OP_TotalRates_RES_2[Rate name],0),MATCH(G$24,OP_TotalRates_RES_2[[#Headers],[Ausnet]:[United Energy]],0))*
INDEX(Input_Usage[],MATCH($D27&amp;" - Annual",Input_Usage[Ref],0),MATCH($D$21,Inputs!$C$147:$BA$147,0))),0)),0),0,1),
IF(G27=
ROUNDUP(
(INDEX(OP_TotalRates_RES_2[[Ausnet]:[United Energy]],MATCH("TOU - supply",OP_TotalRates_RES_2[Rate name],0),MATCH(G$24,OP_TotalRates_RES_2[[#Headers],[Ausnet]:[United Energy]],0))*DiPY)+
(INDEX(OP_TotalRates_RES_2[[Ausnet]:[United Energy]],MATCH("Peak",OP_TotalRates_RES_2[Rate name],0),MATCH(G$24,OP_TotalRates_RES_2[[#Headers],[Ausnet]:[United Energy]],0))*
INDEX(Input_Usage[],MATCH($D27&amp;" - Peak",Input_Usage[Profile name]&amp;" - "&amp;Input_Usage[Usage type],0),MATCH($D$21,Inputs!$C$147:$BA$147,0)))+
IFERROR((INDEX(OP_TotalRates_RES_2[[Ausnet]:[United Energy]],MATCH("TOU - Shoulder",OP_TotalRates_RES_2[Rate name],0),MATCH(G$24,OP_TotalRates_RES_2[[#Headers],[Ausnet]:[United Energy]],0))*
INDEX(Input_Usage[],MATCH($D27&amp;" - Shoulder",Input_Usage[Profile name]&amp;" - "&amp;Input_Usage[Usage type],0),MATCH($D$21,Inputs!$C$147:$BA$147,0))),0)+
(INDEX(OP_TotalRates_RES_2[[Ausnet]:[United Energy]],MATCH("Off peak",OP_TotalRates_RES_2[Rate name],0),MATCH(G$24,OP_TotalRates_RES_2[[#Headers],[Ausnet]:[United Energy]],0))*
INDEX(Input_Usage[],MATCH($D27&amp;" - Off peak",Input_Usage[Profile name]&amp;" - "&amp;Input_Usage[Usage type],0),MATCH($D$21,Inputs!$C$147:$BA$147,0))),0),0,1))</f>
        <v>0</v>
      </c>
      <c r="H31" s="215" cm="1">
        <f t="array" ref="H31">IF($D$21="VDO 2021 - Final",
IF(H27=
ROUNDUP(
(INDEX(OP_TotalRates_RES_2[[Ausnet]:[United Energy]],MATCH("Anytime - supply",OP_TotalRates_RES_2[Rate name],0),MATCH(H$24,OP_TotalRates_RES_2[[#Headers],[Ausnet]:[United Energy]],0))*DiPY)+
(IFERROR((INDEX(OP_TotalRates_RES_2[[Ausnet]:[United Energy]],MATCH("Block 1",OP_TotalRates_RES_2[Rate name],0),MATCH(H$24,OP_TotalRates_RES_2[[#Headers],[Ausnet]:[United Energy]],0))*
INDEX(Input_Usage[],MATCH($D27&amp;" - Block 1",Input_Usage[Ref],0),MATCH($D$21,Inputs!$C$147:$BA$147,0))),0)+
IFERROR((INDEX(OP_TotalRates_RES_2[[Ausnet]:[United Energy]],MATCH("Balance",OP_TotalRates_RES_2[Rate name],0),MATCH(H$24,OP_TotalRates_RES_2[[#Headers],[Ausnet]:[United Energy]],0))*
INDEX(Input_Usage[],MATCH($D27&amp;" - Balance",Input_Usage[Ref],0),MATCH($D$21,Inputs!$C$147:$BA$147,0))),0)+
IFERROR((INDEX(OP_TotalRates_RES_2[[Ausnet]:[United Energy]],MATCH("Single rate",OP_TotalRates_RES_2[Rate name],0),MATCH(H$24,OP_TotalRates_RES_2[[#Headers],[Ausnet]:[United Energy]],0))*
INDEX(Input_Usage[],MATCH($D27&amp;" - Annual",Input_Usage[Ref],0),MATCH($D$21,Inputs!$C$147:$BA$147,0))),0)),0),0,1),
IF(H27=
ROUNDUP(
(INDEX(OP_TotalRates_RES_2[[Ausnet]:[United Energy]],MATCH("TOU - supply",OP_TotalRates_RES_2[Rate name],0),MATCH(H$24,OP_TotalRates_RES_2[[#Headers],[Ausnet]:[United Energy]],0))*DiPY)+
(INDEX(OP_TotalRates_RES_2[[Ausnet]:[United Energy]],MATCH("Peak",OP_TotalRates_RES_2[Rate name],0),MATCH(H$24,OP_TotalRates_RES_2[[#Headers],[Ausnet]:[United Energy]],0))*
INDEX(Input_Usage[],MATCH($D27&amp;" - Peak",Input_Usage[Profile name]&amp;" - "&amp;Input_Usage[Usage type],0),MATCH($D$21,Inputs!$C$147:$BA$147,0)))+
IFERROR((INDEX(OP_TotalRates_RES_2[[Ausnet]:[United Energy]],MATCH("TOU - Shoulder",OP_TotalRates_RES_2[Rate name],0),MATCH(H$24,OP_TotalRates_RES_2[[#Headers],[Ausnet]:[United Energy]],0))*
INDEX(Input_Usage[],MATCH($D27&amp;" - Shoulder",Input_Usage[Profile name]&amp;" - "&amp;Input_Usage[Usage type],0),MATCH($D$21,Inputs!$C$147:$BA$147,0))),0)+
(INDEX(OP_TotalRates_RES_2[[Ausnet]:[United Energy]],MATCH("Off peak",OP_TotalRates_RES_2[Rate name],0),MATCH(H$24,OP_TotalRates_RES_2[[#Headers],[Ausnet]:[United Energy]],0))*
INDEX(Input_Usage[],MATCH($D27&amp;" - Off peak",Input_Usage[Profile name]&amp;" - "&amp;Input_Usage[Usage type],0),MATCH($D$21,Inputs!$C$147:$BA$147,0))),0),0,1))</f>
        <v>0</v>
      </c>
      <c r="I31" s="215" cm="1">
        <f t="array" ref="I31">IF($D$21="VDO 2021 - Final",
IF(I27=
ROUNDUP(
(INDEX(OP_TotalRates_RES_2[[Ausnet]:[United Energy]],MATCH("Anytime - supply",OP_TotalRates_RES_2[Rate name],0),MATCH(I$24,OP_TotalRates_RES_2[[#Headers],[Ausnet]:[United Energy]],0))*DiPY)+
(IFERROR((INDEX(OP_TotalRates_RES_2[[Ausnet]:[United Energy]],MATCH("Block 1",OP_TotalRates_RES_2[Rate name],0),MATCH(I$24,OP_TotalRates_RES_2[[#Headers],[Ausnet]:[United Energy]],0))*
INDEX(Input_Usage[],MATCH($D27&amp;" - Block 1",Input_Usage[Ref],0),MATCH($D$21,Inputs!$C$147:$BA$147,0))),0)+
IFERROR((INDEX(OP_TotalRates_RES_2[[Ausnet]:[United Energy]],MATCH("Balance",OP_TotalRates_RES_2[Rate name],0),MATCH(I$24,OP_TotalRates_RES_2[[#Headers],[Ausnet]:[United Energy]],0))*
INDEX(Input_Usage[],MATCH($D27&amp;" - Balance",Input_Usage[Ref],0),MATCH($D$21,Inputs!$C$147:$BA$147,0))),0)+
IFERROR((INDEX(OP_TotalRates_RES_2[[Ausnet]:[United Energy]],MATCH("Single rate",OP_TotalRates_RES_2[Rate name],0),MATCH(I$24,OP_TotalRates_RES_2[[#Headers],[Ausnet]:[United Energy]],0))*
INDEX(Input_Usage[],MATCH($D27&amp;" - Annual",Input_Usage[Ref],0),MATCH($D$21,Inputs!$C$147:$BA$147,0))),0)),0),0,1),
IF(I27=
ROUNDUP(
(INDEX(OP_TotalRates_RES_2[[Ausnet]:[United Energy]],MATCH("TOU - supply",OP_TotalRates_RES_2[Rate name],0),MATCH(I$24,OP_TotalRates_RES_2[[#Headers],[Ausnet]:[United Energy]],0))*DiPY)+
(INDEX(OP_TotalRates_RES_2[[Ausnet]:[United Energy]],MATCH("Peak",OP_TotalRates_RES_2[Rate name],0),MATCH(I$24,OP_TotalRates_RES_2[[#Headers],[Ausnet]:[United Energy]],0))*
INDEX(Input_Usage[],MATCH($D27&amp;" - Peak",Input_Usage[Profile name]&amp;" - "&amp;Input_Usage[Usage type],0),MATCH($D$21,Inputs!$C$147:$BA$147,0)))+
IFERROR((INDEX(OP_TotalRates_RES_2[[Ausnet]:[United Energy]],MATCH("TOU - Shoulder",OP_TotalRates_RES_2[Rate name],0),MATCH(I$24,OP_TotalRates_RES_2[[#Headers],[Ausnet]:[United Energy]],0))*
INDEX(Input_Usage[],MATCH($D27&amp;" - Shoulder",Input_Usage[Profile name]&amp;" - "&amp;Input_Usage[Usage type],0),MATCH($D$21,Inputs!$C$147:$BA$147,0))),0)+
(INDEX(OP_TotalRates_RES_2[[Ausnet]:[United Energy]],MATCH("Off peak",OP_TotalRates_RES_2[Rate name],0),MATCH(I$24,OP_TotalRates_RES_2[[#Headers],[Ausnet]:[United Energy]],0))*
INDEX(Input_Usage[],MATCH($D27&amp;" - Off peak",Input_Usage[Profile name]&amp;" - "&amp;Input_Usage[Usage type],0),MATCH($D$21,Inputs!$C$147:$BA$147,0))),0),0,1))</f>
        <v>0</v>
      </c>
      <c r="M31" s="215" cm="1">
        <f t="array" ref="M31">IF($D$21="VDO 2021 - Final",
IF(M27=
ROUNDUP(
(INDEX(OP_TotalRates_SME_2[[Ausnet]:[United Energy]],MATCH("Anytime - supply",OP_TotalRates_SME_2[Rate name],0),MATCH(M$24,OP_TotalRates_SME_2[[#Headers],[Ausnet]:[United Energy]],0))*DiPY)+
(IFERROR((INDEX(OP_TotalRates_SME_2[[Ausnet]:[United Energy]],MATCH("Block 1",OP_TotalRates_SME_2[Rate name],0),MATCH(M$24,OP_TotalRates_SME_2[[#Headers],[Ausnet]:[United Energy]],0))*
INDEX(Input_Usage[],MATCH($L27&amp;" - Block 1",Input_Usage[Profile name]&amp;" - "&amp;Input_Usage[Usage type],0),MATCH($D$21,Inputs!$C$147:$BA$147,0))),0)+
IFERROR((INDEX(OP_TotalRates_SME_2[[Ausnet]:[United Energy]],MATCH("Balance",OP_TotalRates_SME_2[Rate name],0),MATCH(M$24,OP_TotalRates_SME_2[[#Headers],[Ausnet]:[United Energy]],0))*
INDEX(Input_Usage[],MATCH($L27&amp;" - Balance",Input_Usage[Profile name]&amp;" - "&amp;Input_Usage[Usage type],0),MATCH($D$21,Inputs!$C$147:$BA$147,0))),0)+
IFERROR((INDEX(OP_TotalRates_SME_2[[Ausnet]:[United Energy]],MATCH("Single rate",OP_TotalRates_SME_2[Rate name],0),MATCH(M$24,OP_TotalRates_SME_2[[#Headers],[Ausnet]:[United Energy]],0))*
INDEX(Input_Usage[],MATCH($L27&amp;" - Annual",Input_Usage[Profile name]&amp;" - "&amp;Input_Usage[Usage type],0),MATCH($D$21,Inputs!$C$147:$BA$147,0))),0)),0),0,1),
IF(M27=
ROUNDUP(
(INDEX(OP_TotalRates_SME_2[[Ausnet]:[United Energy]],MATCH("TOU - supply",OP_TotalRates_SME_2[Rate name],0),MATCH(M$24,OP_TotalRates_SME_2[[#Headers],[Ausnet]:[United Energy]],0))*DiPY)+
(INDEX(OP_TotalRates_SME_2[[Ausnet]:[United Energy]],MATCH("Peak",OP_TotalRates_SME_2[Rate name],0),MATCH(M$24,OP_TotalRates_SME_2[[#Headers],[Ausnet]:[United Energy]],0))*
INDEX(Input_Usage[],MATCH($L27&amp;" - Peak",Input_Usage[Profile name]&amp;" - "&amp;Input_Usage[Usage type],0),MATCH($D$21,Inputs!$C$147:$BA$147,0)))+
IFERROR((INDEX(OP_TotalRates_SME_2[[Ausnet]:[United Energy]],MATCH("TOU - Shoulder",OP_TotalRates_SME_2[Rate name],0),MATCH(M$24,OP_TotalRates_SME_2[[#Headers],[Ausnet]:[United Energy]],0))*
INDEX(Input_Usage[],MATCH($L27&amp;" - Shoulder",Input_Usage[Profile name]&amp;" - "&amp;Input_Usage[Usage type],0),MATCH($D$21,Inputs!$C$147:$BA$147,0))),0)+
(INDEX(OP_TotalRates_SME_2[[Ausnet]:[United Energy]],MATCH("Off peak",OP_TotalRates_SME_2[Rate name],0),MATCH(M$24,OP_TotalRates_SME_2[[#Headers],[Ausnet]:[United Energy]],0))*
INDEX(Input_Usage[],MATCH($L27&amp;" - Off peak",Input_Usage[Profile name]&amp;" - "&amp;Input_Usage[Usage type],0),MATCH($D$21,Inputs!$C$147:$BA$147,0))),0),0,1))</f>
        <v>0</v>
      </c>
      <c r="N31" s="215" cm="1">
        <f t="array" ref="N31">IF($D$21="VDO 2021 - Final",
IF(N27=
ROUNDUP(
(INDEX(OP_TotalRates_SME_2[[Ausnet]:[United Energy]],MATCH("Anytime - supply",OP_TotalRates_SME_2[Rate name],0),MATCH(N$24,OP_TotalRates_SME_2[[#Headers],[Ausnet]:[United Energy]],0))*DiPY)+
(IFERROR((INDEX(OP_TotalRates_SME_2[[Ausnet]:[United Energy]],MATCH("Block 1",OP_TotalRates_SME_2[Rate name],0),MATCH(N$24,OP_TotalRates_SME_2[[#Headers],[Ausnet]:[United Energy]],0))*
INDEX(Input_Usage[],MATCH($L27&amp;" - Block 1",Input_Usage[Profile name]&amp;" - "&amp;Input_Usage[Usage type],0),MATCH($D$21,Inputs!$C$147:$BA$147,0))),0)+
IFERROR((INDEX(OP_TotalRates_SME_2[[Ausnet]:[United Energy]],MATCH("Balance",OP_TotalRates_SME_2[Rate name],0),MATCH(N$24,OP_TotalRates_SME_2[[#Headers],[Ausnet]:[United Energy]],0))*
INDEX(Input_Usage[],MATCH($L27&amp;" - Balance",Input_Usage[Profile name]&amp;" - "&amp;Input_Usage[Usage type],0),MATCH($D$21,Inputs!$C$147:$BA$147,0))),0)+
IFERROR((INDEX(OP_TotalRates_SME_2[[Ausnet]:[United Energy]],MATCH("Single rate",OP_TotalRates_SME_2[Rate name],0),MATCH(N$24,OP_TotalRates_SME_2[[#Headers],[Ausnet]:[United Energy]],0))*
INDEX(Input_Usage[],MATCH($L27&amp;" - Annual",Input_Usage[Profile name]&amp;" - "&amp;Input_Usage[Usage type],0),MATCH($D$21,Inputs!$C$147:$BA$147,0))),0)),0),0,1),
IF(N27=
ROUNDUP(
(INDEX(OP_TotalRates_SME_2[[Ausnet]:[United Energy]],MATCH("TOU - supply",OP_TotalRates_SME_2[Rate name],0),MATCH(N$24,OP_TotalRates_SME_2[[#Headers],[Ausnet]:[United Energy]],0))*DiPY)+
(INDEX(OP_TotalRates_SME_2[[Ausnet]:[United Energy]],MATCH("Peak",OP_TotalRates_SME_2[Rate name],0),MATCH(N$24,OP_TotalRates_SME_2[[#Headers],[Ausnet]:[United Energy]],0))*
INDEX(Input_Usage[],MATCH($L27&amp;" - Peak",Input_Usage[Profile name]&amp;" - "&amp;Input_Usage[Usage type],0),MATCH($D$21,Inputs!$C$147:$BA$147,0)))+
IFERROR((INDEX(OP_TotalRates_SME_2[[Ausnet]:[United Energy]],MATCH("TOU - Shoulder",OP_TotalRates_SME_2[Rate name],0),MATCH(N$24,OP_TotalRates_SME_2[[#Headers],[Ausnet]:[United Energy]],0))*
INDEX(Input_Usage[],MATCH($L27&amp;" - Shoulder",Input_Usage[Profile name]&amp;" - "&amp;Input_Usage[Usage type],0),MATCH($D$21,Inputs!$C$147:$BA$147,0))),0)+
(INDEX(OP_TotalRates_SME_2[[Ausnet]:[United Energy]],MATCH("Off peak",OP_TotalRates_SME_2[Rate name],0),MATCH(N$24,OP_TotalRates_SME_2[[#Headers],[Ausnet]:[United Energy]],0))*
INDEX(Input_Usage[],MATCH($L27&amp;" - Off peak",Input_Usage[Profile name]&amp;" - "&amp;Input_Usage[Usage type],0),MATCH($D$21,Inputs!$C$147:$BA$147,0))),0),0,1))</f>
        <v>0</v>
      </c>
      <c r="O31" s="215" cm="1">
        <f t="array" ref="O31">IF($D$21="VDO 2021 - Final",
IF(O27=
ROUNDUP(
(INDEX(OP_TotalRates_SME_2[[Ausnet]:[United Energy]],MATCH("Anytime - supply",OP_TotalRates_SME_2[Rate name],0),MATCH(O$24,OP_TotalRates_SME_2[[#Headers],[Ausnet]:[United Energy]],0))*DiPY)+
(IFERROR((INDEX(OP_TotalRates_SME_2[[Ausnet]:[United Energy]],MATCH("Block 1",OP_TotalRates_SME_2[Rate name],0),MATCH(O$24,OP_TotalRates_SME_2[[#Headers],[Ausnet]:[United Energy]],0))*
INDEX(Input_Usage[],MATCH($L27&amp;" - Block 1",Input_Usage[Profile name]&amp;" - "&amp;Input_Usage[Usage type],0),MATCH($D$21,Inputs!$C$147:$BA$147,0))),0)+
IFERROR((INDEX(OP_TotalRates_SME_2[[Ausnet]:[United Energy]],MATCH("Balance",OP_TotalRates_SME_2[Rate name],0),MATCH(O$24,OP_TotalRates_SME_2[[#Headers],[Ausnet]:[United Energy]],0))*
INDEX(Input_Usage[],MATCH($L27&amp;" - Balance",Input_Usage[Profile name]&amp;" - "&amp;Input_Usage[Usage type],0),MATCH($D$21,Inputs!$C$147:$BA$147,0))),0)+
IFERROR((INDEX(OP_TotalRates_SME_2[[Ausnet]:[United Energy]],MATCH("Single rate",OP_TotalRates_SME_2[Rate name],0),MATCH(O$24,OP_TotalRates_SME_2[[#Headers],[Ausnet]:[United Energy]],0))*
INDEX(Input_Usage[],MATCH($L27&amp;" - Annual",Input_Usage[Profile name]&amp;" - "&amp;Input_Usage[Usage type],0),MATCH($D$21,Inputs!$C$147:$BA$147,0))),0)),0),0,1),
IF(O27=
ROUNDUP(
(INDEX(OP_TotalRates_SME_2[[Ausnet]:[United Energy]],MATCH("TOU - supply",OP_TotalRates_SME_2[Rate name],0),MATCH(O$24,OP_TotalRates_SME_2[[#Headers],[Ausnet]:[United Energy]],0))*DiPY)+
(INDEX(OP_TotalRates_SME_2[[Ausnet]:[United Energy]],MATCH("Peak",OP_TotalRates_SME_2[Rate name],0),MATCH(O$24,OP_TotalRates_SME_2[[#Headers],[Ausnet]:[United Energy]],0))*
INDEX(Input_Usage[],MATCH($L27&amp;" - Peak",Input_Usage[Profile name]&amp;" - "&amp;Input_Usage[Usage type],0),MATCH($D$21,Inputs!$C$147:$BA$147,0)))+
IFERROR((INDEX(OP_TotalRates_SME_2[[Ausnet]:[United Energy]],MATCH("TOU - Shoulder",OP_TotalRates_SME_2[Rate name],0),MATCH(O$24,OP_TotalRates_SME_2[[#Headers],[Ausnet]:[United Energy]],0))*
INDEX(Input_Usage[],MATCH($L27&amp;" - Shoulder",Input_Usage[Profile name]&amp;" - "&amp;Input_Usage[Usage type],0),MATCH($D$21,Inputs!$C$147:$BA$147,0))),0)+
(INDEX(OP_TotalRates_SME_2[[Ausnet]:[United Energy]],MATCH("Off peak",OP_TotalRates_SME_2[Rate name],0),MATCH(O$24,OP_TotalRates_SME_2[[#Headers],[Ausnet]:[United Energy]],0))*
INDEX(Input_Usage[],MATCH($L27&amp;" - Off peak",Input_Usage[Profile name]&amp;" - "&amp;Input_Usage[Usage type],0),MATCH($D$21,Inputs!$C$147:$BA$147,0))),0),0,1))</f>
        <v>0</v>
      </c>
      <c r="P31" s="215" cm="1">
        <f t="array" ref="P31">IF($D$21="VDO 2021 - Final",
IF(P27=
ROUNDUP(
(INDEX(OP_TotalRates_SME_2[[Ausnet]:[United Energy]],MATCH("Anytime - supply",OP_TotalRates_SME_2[Rate name],0),MATCH(P$24,OP_TotalRates_SME_2[[#Headers],[Ausnet]:[United Energy]],0))*DiPY)+
(IFERROR((INDEX(OP_TotalRates_SME_2[[Ausnet]:[United Energy]],MATCH("Block 1",OP_TotalRates_SME_2[Rate name],0),MATCH(P$24,OP_TotalRates_SME_2[[#Headers],[Ausnet]:[United Energy]],0))*
INDEX(Input_Usage[],MATCH($L27&amp;" - Block 1",Input_Usage[Profile name]&amp;" - "&amp;Input_Usage[Usage type],0),MATCH($D$21,Inputs!$C$147:$BA$147,0))),0)+
IFERROR((INDEX(OP_TotalRates_SME_2[[Ausnet]:[United Energy]],MATCH("Balance",OP_TotalRates_SME_2[Rate name],0),MATCH(P$24,OP_TotalRates_SME_2[[#Headers],[Ausnet]:[United Energy]],0))*
INDEX(Input_Usage[],MATCH($L27&amp;" - Balance",Input_Usage[Profile name]&amp;" - "&amp;Input_Usage[Usage type],0),MATCH($D$21,Inputs!$C$147:$BA$147,0))),0)+
IFERROR((INDEX(OP_TotalRates_SME_2[[Ausnet]:[United Energy]],MATCH("Single rate",OP_TotalRates_SME_2[Rate name],0),MATCH(P$24,OP_TotalRates_SME_2[[#Headers],[Ausnet]:[United Energy]],0))*
INDEX(Input_Usage[],MATCH($L27&amp;" - Annual",Input_Usage[Profile name]&amp;" - "&amp;Input_Usage[Usage type],0),MATCH($D$21,Inputs!$C$147:$BA$147,0))),0)),0),0,1),
IF(P27=
ROUNDUP(
(INDEX(OP_TotalRates_SME_2[[Ausnet]:[United Energy]],MATCH("TOU - supply",OP_TotalRates_SME_2[Rate name],0),MATCH(P$24,OP_TotalRates_SME_2[[#Headers],[Ausnet]:[United Energy]],0))*DiPY)+
(INDEX(OP_TotalRates_SME_2[[Ausnet]:[United Energy]],MATCH("Peak",OP_TotalRates_SME_2[Rate name],0),MATCH(P$24,OP_TotalRates_SME_2[[#Headers],[Ausnet]:[United Energy]],0))*
INDEX(Input_Usage[],MATCH($L27&amp;" - Peak",Input_Usage[Profile name]&amp;" - "&amp;Input_Usage[Usage type],0),MATCH($D$21,Inputs!$C$147:$BA$147,0)))+
IFERROR((INDEX(OP_TotalRates_SME_2[[Ausnet]:[United Energy]],MATCH("TOU - Shoulder",OP_TotalRates_SME_2[Rate name],0),MATCH(P$24,OP_TotalRates_SME_2[[#Headers],[Ausnet]:[United Energy]],0))*
INDEX(Input_Usage[],MATCH($L27&amp;" - Shoulder",Input_Usage[Profile name]&amp;" - "&amp;Input_Usage[Usage type],0),MATCH($D$21,Inputs!$C$147:$BA$147,0))),0)+
(INDEX(OP_TotalRates_SME_2[[Ausnet]:[United Energy]],MATCH("Off peak",OP_TotalRates_SME_2[Rate name],0),MATCH(P$24,OP_TotalRates_SME_2[[#Headers],[Ausnet]:[United Energy]],0))*
INDEX(Input_Usage[],MATCH($L27&amp;" - Off peak",Input_Usage[Profile name]&amp;" - "&amp;Input_Usage[Usage type],0),MATCH($D$21,Inputs!$C$147:$BA$147,0))),0),0,1))</f>
        <v>0</v>
      </c>
      <c r="Q31" s="215" cm="1">
        <f t="array" ref="Q31">IF($D$21="VDO 2021 - Final",
IF(Q27=
ROUNDUP(
(INDEX(OP_TotalRates_SME_2[[Ausnet]:[United Energy]],MATCH("Anytime - supply",OP_TotalRates_SME_2[Rate name],0),MATCH(Q$24,OP_TotalRates_SME_2[[#Headers],[Ausnet]:[United Energy]],0))*DiPY)+
(IFERROR((INDEX(OP_TotalRates_SME_2[[Ausnet]:[United Energy]],MATCH("Block 1",OP_TotalRates_SME_2[Rate name],0),MATCH(Q$24,OP_TotalRates_SME_2[[#Headers],[Ausnet]:[United Energy]],0))*
INDEX(Input_Usage[],MATCH($L27&amp;" - Block 1",Input_Usage[Profile name]&amp;" - "&amp;Input_Usage[Usage type],0),MATCH($D$21,Inputs!$C$147:$BA$147,0))),0)+
IFERROR((INDEX(OP_TotalRates_SME_2[[Ausnet]:[United Energy]],MATCH("Balance",OP_TotalRates_SME_2[Rate name],0),MATCH(Q$24,OP_TotalRates_SME_2[[#Headers],[Ausnet]:[United Energy]],0))*
INDEX(Input_Usage[],MATCH($L27&amp;" - Balance",Input_Usage[Profile name]&amp;" - "&amp;Input_Usage[Usage type],0),MATCH($D$21,Inputs!$C$147:$BA$147,0))),0)+
IFERROR((INDEX(OP_TotalRates_SME_2[[Ausnet]:[United Energy]],MATCH("Single rate",OP_TotalRates_SME_2[Rate name],0),MATCH(Q$24,OP_TotalRates_SME_2[[#Headers],[Ausnet]:[United Energy]],0))*
INDEX(Input_Usage[],MATCH($L27&amp;" - Annual",Input_Usage[Profile name]&amp;" - "&amp;Input_Usage[Usage type],0),MATCH($D$21,Inputs!$C$147:$BA$147,0))),0)),0),0,1),
IF(Q27=
ROUNDUP(
(INDEX(OP_TotalRates_SME_2[[Ausnet]:[United Energy]],MATCH("TOU - supply",OP_TotalRates_SME_2[Rate name],0),MATCH(Q$24,OP_TotalRates_SME_2[[#Headers],[Ausnet]:[United Energy]],0))*DiPY)+
(INDEX(OP_TotalRates_SME_2[[Ausnet]:[United Energy]],MATCH("Peak",OP_TotalRates_SME_2[Rate name],0),MATCH(Q$24,OP_TotalRates_SME_2[[#Headers],[Ausnet]:[United Energy]],0))*
INDEX(Input_Usage[],MATCH($L27&amp;" - Peak",Input_Usage[Profile name]&amp;" - "&amp;Input_Usage[Usage type],0),MATCH($D$21,Inputs!$C$147:$BA$147,0)))+
IFERROR((INDEX(OP_TotalRates_SME_2[[Ausnet]:[United Energy]],MATCH("TOU - Shoulder",OP_TotalRates_SME_2[Rate name],0),MATCH(Q$24,OP_TotalRates_SME_2[[#Headers],[Ausnet]:[United Energy]],0))*
INDEX(Input_Usage[],MATCH($L27&amp;" - Shoulder",Input_Usage[Profile name]&amp;" - "&amp;Input_Usage[Usage type],0),MATCH($D$21,Inputs!$C$147:$BA$147,0))),0)+
(INDEX(OP_TotalRates_SME_2[[Ausnet]:[United Energy]],MATCH("Off peak",OP_TotalRates_SME_2[Rate name],0),MATCH(Q$24,OP_TotalRates_SME_2[[#Headers],[Ausnet]:[United Energy]],0))*
INDEX(Input_Usage[],MATCH($L27&amp;" - Off peak",Input_Usage[Profile name]&amp;" - "&amp;Input_Usage[Usage type],0),MATCH($D$21,Inputs!$C$147:$BA$147,0))),0),0,1))</f>
        <v>0</v>
      </c>
    </row>
    <row r="33" spans="1:18" ht="16.5" thickBot="1" x14ac:dyDescent="0.3">
      <c r="A33" s="1" t="s">
        <v>35</v>
      </c>
      <c r="B33" s="161">
        <f ca="1">MAX(B$3:B32)+0.01</f>
        <v>15.03</v>
      </c>
      <c r="C33" s="200" t="s">
        <v>92</v>
      </c>
      <c r="D33" s="200"/>
      <c r="E33" s="200"/>
      <c r="F33" s="200"/>
      <c r="G33" s="200"/>
      <c r="H33" s="200"/>
      <c r="I33" s="200"/>
      <c r="J33" s="200"/>
      <c r="K33" s="200"/>
      <c r="L33" s="200"/>
      <c r="M33" s="200"/>
      <c r="N33" s="200"/>
      <c r="O33" s="200"/>
      <c r="P33" s="200"/>
      <c r="Q33" s="200"/>
      <c r="R33" s="200"/>
    </row>
    <row r="35" spans="1:18" ht="15.75" x14ac:dyDescent="0.25">
      <c r="C35" s="31" t="s">
        <v>57</v>
      </c>
      <c r="D35" s="31" t="s">
        <v>85</v>
      </c>
      <c r="E35" s="35" t="s">
        <v>59</v>
      </c>
      <c r="F35" s="35" t="s">
        <v>60</v>
      </c>
      <c r="G35" s="35" t="s">
        <v>61</v>
      </c>
      <c r="H35" s="35" t="s">
        <v>62</v>
      </c>
      <c r="I35" s="35" t="s">
        <v>63</v>
      </c>
      <c r="K35" s="31" t="s">
        <v>57</v>
      </c>
      <c r="L35" s="31" t="s">
        <v>85</v>
      </c>
      <c r="M35" s="35" t="s">
        <v>59</v>
      </c>
      <c r="N35" s="35" t="s">
        <v>60</v>
      </c>
      <c r="O35" s="35" t="s">
        <v>61</v>
      </c>
      <c r="P35" s="35" t="s">
        <v>62</v>
      </c>
      <c r="Q35" s="35" t="s">
        <v>63</v>
      </c>
    </row>
    <row r="36" spans="1:18" hidden="1" x14ac:dyDescent="0.25">
      <c r="C36" s="18" t="str" cm="1">
        <f t="array" ref="C36:C38">INDEX($C$25:$D$27,0,1)</f>
        <v>Residential</v>
      </c>
      <c r="D36" s="18" t="str" cm="1">
        <f t="array" ref="D36:D38">INDEX($C$25:$D$27,0,2)</f>
        <v>Residential - small</v>
      </c>
      <c r="E36" s="227">
        <f t="shared" ref="E36:I38" si="0">IFERROR((E11-E25)/E25,"-")</f>
        <v>-3.9330543933054393E-2</v>
      </c>
      <c r="F36" s="227">
        <f t="shared" si="0"/>
        <v>-4.5226130653266333E-2</v>
      </c>
      <c r="G36" s="227">
        <f t="shared" si="0"/>
        <v>-2.3054755043227664E-2</v>
      </c>
      <c r="H36" s="227">
        <f t="shared" si="0"/>
        <v>-4.4286979627989373E-2</v>
      </c>
      <c r="I36" s="227">
        <f t="shared" si="0"/>
        <v>-5.5609756097560976E-2</v>
      </c>
      <c r="J36" s="86"/>
      <c r="K36" s="228" t="str" cm="1">
        <f t="array" ref="K36:K38">INDEX($K$25:$L$27,0,1)</f>
        <v>Small business</v>
      </c>
      <c r="L36" s="228" t="str" cm="1">
        <f t="array" ref="L36:L38">INDEX($K$25:$L$27,0,2)</f>
        <v>Small business - small</v>
      </c>
      <c r="M36" s="227">
        <f t="shared" ref="M36:Q38" si="1">IFERROR((M11-M25)/M25,"-")</f>
        <v>-8.1374321880650996E-2</v>
      </c>
      <c r="N36" s="227">
        <f t="shared" si="1"/>
        <v>-8.7337564218797223E-2</v>
      </c>
      <c r="O36" s="227">
        <f t="shared" si="1"/>
        <v>-4.8624617949430397E-2</v>
      </c>
      <c r="P36" s="227">
        <f t="shared" si="1"/>
        <v>-6.9501226492232213E-2</v>
      </c>
      <c r="Q36" s="227">
        <f t="shared" si="1"/>
        <v>-8.5516844226893179E-2</v>
      </c>
    </row>
    <row r="37" spans="1:18" x14ac:dyDescent="0.25">
      <c r="C37" s="18" t="str">
        <v>Residential</v>
      </c>
      <c r="D37" s="18" t="str">
        <v>Residential - medium</v>
      </c>
      <c r="E37" s="227">
        <f>IFERROR((E12-E26)/E26,"-")</f>
        <v>-6.4041994750656167E-2</v>
      </c>
      <c r="F37" s="227">
        <f t="shared" si="0"/>
        <v>-6.8283343969368221E-2</v>
      </c>
      <c r="G37" s="227">
        <f t="shared" si="0"/>
        <v>-5.1081730769230768E-2</v>
      </c>
      <c r="H37" s="227">
        <f t="shared" si="0"/>
        <v>-6.6778900112233447E-2</v>
      </c>
      <c r="I37" s="227">
        <f t="shared" si="0"/>
        <v>-7.9201934703748492E-2</v>
      </c>
      <c r="J37" s="86"/>
      <c r="K37" s="228" t="str">
        <v>Small business</v>
      </c>
      <c r="L37" s="228" t="str">
        <v>Small business - medium</v>
      </c>
      <c r="M37" s="227">
        <f t="shared" si="1"/>
        <v>-9.0545755237045208E-2</v>
      </c>
      <c r="N37" s="227">
        <f t="shared" si="1"/>
        <v>-9.7290238328436168E-2</v>
      </c>
      <c r="O37" s="227">
        <f t="shared" si="1"/>
        <v>-6.2585447364423522E-2</v>
      </c>
      <c r="P37" s="227">
        <f t="shared" si="1"/>
        <v>-7.7194012327560901E-2</v>
      </c>
      <c r="Q37" s="227">
        <f>IFERROR((Q12-Q26)/Q26,"-")</f>
        <v>-9.582498844553998E-2</v>
      </c>
    </row>
    <row r="38" spans="1:18" hidden="1" x14ac:dyDescent="0.25">
      <c r="C38" s="18" t="str">
        <v>Residential</v>
      </c>
      <c r="D38" s="18" t="str">
        <v>Residential - large</v>
      </c>
      <c r="E38" s="227">
        <f t="shared" si="0"/>
        <v>-8.2105263157894737E-2</v>
      </c>
      <c r="F38" s="227">
        <f t="shared" si="0"/>
        <v>-8.6251382233689639E-2</v>
      </c>
      <c r="G38" s="227">
        <f t="shared" si="0"/>
        <v>-7.0151306740027508E-2</v>
      </c>
      <c r="H38" s="227">
        <f t="shared" si="0"/>
        <v>-8.2577720207253888E-2</v>
      </c>
      <c r="I38" s="227">
        <f t="shared" si="0"/>
        <v>-9.5467032967032961E-2</v>
      </c>
      <c r="J38" s="86"/>
      <c r="K38" s="228" t="str">
        <v>Small business</v>
      </c>
      <c r="L38" s="228" t="str">
        <v>Small business - large</v>
      </c>
      <c r="M38" s="227">
        <f t="shared" si="1"/>
        <v>-9.5750748609724795E-2</v>
      </c>
      <c r="N38" s="227">
        <f t="shared" si="1"/>
        <v>-0.10289115646258504</v>
      </c>
      <c r="O38" s="227">
        <f t="shared" si="1"/>
        <v>-7.0517928286852591E-2</v>
      </c>
      <c r="P38" s="227">
        <f t="shared" si="1"/>
        <v>-8.1641996032351588E-2</v>
      </c>
      <c r="Q38" s="227">
        <f t="shared" si="1"/>
        <v>-0.1016204997206035</v>
      </c>
    </row>
    <row r="42" spans="1:18" x14ac:dyDescent="0.25">
      <c r="E42" s="139"/>
      <c r="F42" s="139"/>
      <c r="G42" s="139"/>
      <c r="H42" s="139"/>
      <c r="I42" s="139"/>
    </row>
    <row r="43" spans="1:18" x14ac:dyDescent="0.25">
      <c r="E43" s="139"/>
      <c r="F43" s="139"/>
      <c r="G43" s="139"/>
      <c r="H43" s="139"/>
      <c r="I43" s="139"/>
    </row>
  </sheetData>
  <sheetProtection algorithmName="SHA-512" hashValue="UmQ7da/zsVAVLE8+Dj1HAOIdcVZrp8LAdqCITx9z657NzEbIoXuPlccMwTPBA+ODO8o2q5+OV7XoX5ID0Uh61g==" saltValue="IwHILn7kg0acRjnxt0xrLg==" spinCount="100000" sheet="1" objects="1" scenarios="1"/>
  <mergeCells count="1">
    <mergeCell ref="A2:A3"/>
  </mergeCells>
  <pageMargins left="0.7" right="0.7" top="0.75" bottom="0.75" header="0.3" footer="0.3"/>
  <pageSetup paperSize="9" orientation="portrait" r:id="rId1"/>
  <headerFooter>
    <oddHeader>&amp;C&amp;B&amp;"Arial"&amp;12&amp;Kff0000​‌OFFICIAL‌​</oddHeader>
  </headerFooter>
  <ignoredErrors>
    <ignoredError sqref="E14:Q14 J11:L11 J12:L12 J13:L13 E19:Q24 J15:L15 J16 J17 J27:L27 J25:L25 J26:L26 L17 L16 E18:J18 L18:Q18" calculatedColumn="1"/>
  </ignoredErrors>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B7840FAA-381E-4BFC-8632-0963076DE389}">
          <x14:formula1>
            <xm:f>'Lookup refs'!$G$8:$G$10</xm:f>
          </x14:formula1>
          <xm:sqref>K11:K13 C11:C13 K25:K27 C25:C32</xm:sqref>
        </x14:dataValidation>
        <x14:dataValidation type="list" allowBlank="1" showInputMessage="1" showErrorMessage="1" xr:uid="{63AEA5C8-119D-41ED-8ABB-2707A0C4A19F}">
          <x14:formula1>
            <xm:f>'Lookup refs'!$I$8:$I$13</xm:f>
          </x14:formula1>
          <xm:sqref>D11:D13 L11:L13 L25:L27 D25:D32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EF0-E3B4-430B-9D34-4B8EDDBD05A4}">
  <sheetPr>
    <tabColor rgb="FF4986A0"/>
    <pageSetUpPr autoPageBreaks="0"/>
  </sheetPr>
  <dimension ref="A1:Z20"/>
  <sheetViews>
    <sheetView showGridLines="0" topLeftCell="H1" zoomScale="85" zoomScaleNormal="85" workbookViewId="0">
      <pane ySplit="3" topLeftCell="A4" activePane="bottomLeft" state="frozen"/>
      <selection activeCell="B33" sqref="B33"/>
      <selection pane="bottomLeft" activeCell="M7" sqref="M7"/>
    </sheetView>
  </sheetViews>
  <sheetFormatPr defaultColWidth="9.42578125" defaultRowHeight="15" outlineLevelCol="1" x14ac:dyDescent="0.25"/>
  <cols>
    <col min="1" max="1" width="100.5703125" hidden="1" customWidth="1" outlineLevel="1"/>
    <col min="2" max="2" width="10.5703125" style="5" customWidth="1" collapsed="1"/>
    <col min="3" max="3" width="41.42578125" bestFit="1" customWidth="1"/>
    <col min="4" max="26" width="25.5703125" customWidth="1"/>
  </cols>
  <sheetData>
    <row r="1" spans="1:26" ht="15" customHeight="1" x14ac:dyDescent="0.25">
      <c r="A1" s="1" t="s">
        <v>32</v>
      </c>
      <c r="B1" s="16"/>
      <c r="C1" s="17"/>
      <c r="D1" s="17"/>
      <c r="E1" s="17"/>
      <c r="F1" s="17"/>
      <c r="G1" s="17"/>
      <c r="H1" s="17"/>
      <c r="I1" s="17"/>
      <c r="J1" s="17"/>
      <c r="K1" s="17"/>
      <c r="L1" s="17"/>
      <c r="M1" s="17"/>
      <c r="N1" s="17"/>
      <c r="O1" s="17"/>
      <c r="P1" s="17"/>
      <c r="Q1" s="17"/>
      <c r="R1" s="17"/>
      <c r="S1" s="17"/>
      <c r="T1" s="17"/>
      <c r="U1" s="17"/>
      <c r="V1" s="17"/>
      <c r="W1" s="17"/>
      <c r="X1" s="17"/>
      <c r="Y1" s="17"/>
      <c r="Z1" s="17"/>
    </row>
    <row r="2" spans="1:26" s="3" customFormat="1" ht="50.1" customHeight="1" x14ac:dyDescent="0.25">
      <c r="A2" s="234" t="s">
        <v>33</v>
      </c>
      <c r="B2" s="20"/>
      <c r="C2" s="20" t="str">
        <f>Disclaimer!$B$1</f>
        <v>VDO calculation model</v>
      </c>
      <c r="D2" s="20"/>
      <c r="E2" s="20"/>
      <c r="F2" s="20"/>
      <c r="G2" s="20"/>
      <c r="H2" s="20"/>
      <c r="I2" s="20"/>
      <c r="J2" s="20"/>
      <c r="K2" s="20"/>
      <c r="L2" s="20"/>
      <c r="M2" s="20"/>
      <c r="N2" s="20"/>
      <c r="O2" s="20"/>
      <c r="P2" s="20"/>
      <c r="Q2" s="20"/>
      <c r="R2" s="20"/>
      <c r="S2" s="20"/>
      <c r="T2" s="20"/>
      <c r="U2" s="20"/>
      <c r="V2" s="20"/>
      <c r="W2" s="20"/>
      <c r="X2" s="20"/>
      <c r="Y2" s="20"/>
      <c r="Z2" s="20"/>
    </row>
    <row r="3" spans="1:26" s="3" customFormat="1" ht="30" customHeight="1" x14ac:dyDescent="0.25">
      <c r="A3" s="235"/>
      <c r="B3" s="22">
        <f ca="1">_xlfn.SHEET()</f>
        <v>16</v>
      </c>
      <c r="C3" s="21" t="s">
        <v>530</v>
      </c>
      <c r="D3" s="21"/>
      <c r="E3" s="21"/>
      <c r="F3" s="21"/>
      <c r="G3" s="21"/>
      <c r="H3" s="21"/>
      <c r="I3" s="21"/>
      <c r="J3" s="21"/>
      <c r="K3" s="21"/>
      <c r="L3" s="21"/>
      <c r="M3" s="21"/>
      <c r="N3" s="21"/>
      <c r="O3" s="21"/>
      <c r="P3" s="21"/>
      <c r="Q3" s="21"/>
      <c r="R3" s="21"/>
      <c r="S3" s="21"/>
      <c r="T3" s="21"/>
      <c r="U3" s="21"/>
      <c r="V3" s="21"/>
      <c r="W3" s="21"/>
      <c r="X3" s="21"/>
      <c r="Y3" s="21"/>
      <c r="Z3" s="21"/>
    </row>
    <row r="4" spans="1:26" x14ac:dyDescent="0.25">
      <c r="B4"/>
    </row>
    <row r="5" spans="1:26" ht="16.5" thickBot="1" x14ac:dyDescent="0.3">
      <c r="A5" s="1" t="s">
        <v>35</v>
      </c>
      <c r="B5" s="161">
        <f ca="1">MAX(B$3:B4)+0.01</f>
        <v>16.010000000000002</v>
      </c>
      <c r="C5" s="23" t="s">
        <v>23</v>
      </c>
      <c r="D5" s="23"/>
      <c r="E5" s="23"/>
      <c r="F5" s="23"/>
      <c r="G5" s="23"/>
      <c r="H5" s="23"/>
      <c r="I5" s="23"/>
      <c r="J5" s="23"/>
      <c r="K5" s="23"/>
      <c r="L5" s="23"/>
      <c r="M5" s="23"/>
      <c r="N5" s="23"/>
      <c r="O5" s="23"/>
      <c r="P5" s="23"/>
      <c r="Q5" s="23"/>
      <c r="R5" s="23"/>
      <c r="S5" s="23"/>
      <c r="T5" s="23"/>
      <c r="U5" s="23"/>
      <c r="V5" s="23"/>
      <c r="W5" s="23"/>
      <c r="X5" s="23"/>
      <c r="Y5" s="23"/>
      <c r="Z5" s="23"/>
    </row>
    <row r="7" spans="1:26" ht="15.75" x14ac:dyDescent="0.25">
      <c r="C7" s="37" t="s">
        <v>108</v>
      </c>
      <c r="E7" s="37" t="s">
        <v>531</v>
      </c>
      <c r="G7" s="37" t="s">
        <v>57</v>
      </c>
      <c r="I7" s="37" t="s">
        <v>532</v>
      </c>
      <c r="K7" s="31" t="s">
        <v>533</v>
      </c>
      <c r="M7" s="31" t="s">
        <v>534</v>
      </c>
      <c r="O7" s="31" t="s">
        <v>535</v>
      </c>
    </row>
    <row r="8" spans="1:26" x14ac:dyDescent="0.25">
      <c r="C8" s="36" t="s">
        <v>58</v>
      </c>
      <c r="E8" s="36" t="s">
        <v>69</v>
      </c>
      <c r="G8" s="36" t="s">
        <v>133</v>
      </c>
      <c r="I8" s="36" t="s">
        <v>86</v>
      </c>
      <c r="K8" s="13" t="s">
        <v>307</v>
      </c>
      <c r="M8" s="13" t="s">
        <v>307</v>
      </c>
      <c r="O8" s="13" t="s">
        <v>101</v>
      </c>
    </row>
    <row r="9" spans="1:26" x14ac:dyDescent="0.25">
      <c r="C9" s="38" t="s">
        <v>132</v>
      </c>
      <c r="E9" s="36" t="s">
        <v>179</v>
      </c>
      <c r="G9" s="36" t="s">
        <v>66</v>
      </c>
      <c r="I9" s="36" t="s">
        <v>88</v>
      </c>
      <c r="K9" s="13" t="s">
        <v>306</v>
      </c>
      <c r="M9" s="13" t="s">
        <v>306</v>
      </c>
      <c r="O9" s="13" t="s">
        <v>103</v>
      </c>
    </row>
    <row r="10" spans="1:26" x14ac:dyDescent="0.25">
      <c r="C10" s="38" t="s">
        <v>178</v>
      </c>
      <c r="E10" s="36" t="s">
        <v>65</v>
      </c>
      <c r="G10" s="38" t="s">
        <v>67</v>
      </c>
      <c r="I10" s="36" t="s">
        <v>90</v>
      </c>
      <c r="K10" s="13" t="s">
        <v>536</v>
      </c>
      <c r="O10" s="13" t="s">
        <v>324</v>
      </c>
    </row>
    <row r="11" spans="1:26" x14ac:dyDescent="0.25">
      <c r="E11" s="36" t="s">
        <v>145</v>
      </c>
      <c r="I11" s="36" t="s">
        <v>87</v>
      </c>
      <c r="O11" s="13" t="s">
        <v>323</v>
      </c>
    </row>
    <row r="12" spans="1:26" x14ac:dyDescent="0.25">
      <c r="E12" s="36" t="s">
        <v>200</v>
      </c>
      <c r="I12" s="36" t="s">
        <v>89</v>
      </c>
      <c r="O12" s="13" t="s">
        <v>322</v>
      </c>
    </row>
    <row r="13" spans="1:26" x14ac:dyDescent="0.25">
      <c r="E13" s="36" t="s">
        <v>292</v>
      </c>
      <c r="I13" s="38" t="s">
        <v>91</v>
      </c>
    </row>
    <row r="14" spans="1:26" x14ac:dyDescent="0.25">
      <c r="E14" s="36" t="s">
        <v>220</v>
      </c>
    </row>
    <row r="15" spans="1:26" x14ac:dyDescent="0.25">
      <c r="E15" s="36" t="s">
        <v>259</v>
      </c>
    </row>
    <row r="16" spans="1:26" x14ac:dyDescent="0.25">
      <c r="E16" s="38" t="s">
        <v>537</v>
      </c>
    </row>
    <row r="17" spans="5:5" x14ac:dyDescent="0.25">
      <c r="E17" s="38" t="s">
        <v>495</v>
      </c>
    </row>
    <row r="18" spans="5:5" x14ac:dyDescent="0.25">
      <c r="E18" s="38" t="s">
        <v>538</v>
      </c>
    </row>
    <row r="19" spans="5:5" x14ac:dyDescent="0.25">
      <c r="E19" s="38" t="s">
        <v>151</v>
      </c>
    </row>
    <row r="20" spans="5:5" x14ac:dyDescent="0.25">
      <c r="E20" s="38" t="s">
        <v>204</v>
      </c>
    </row>
  </sheetData>
  <sheetProtection algorithmName="SHA-512" hashValue="GqhNobVrIbFZcvfmSjcYswUklIgz790haRSnVhyWJN4ApYJm9RtFPXYeLuLHtuKst8IJ19D5f4NmF1pfcK8MSw==" saltValue="+B7oYuNS3dtMiTgstTZTsg==" spinCount="100000" sheet="1" objects="1" scenarios="1"/>
  <sortState xmlns:xlrd2="http://schemas.microsoft.com/office/spreadsheetml/2017/richdata2" ref="D27:E31">
    <sortCondition descending="1" ref="E27:E31"/>
  </sortState>
  <mergeCells count="1">
    <mergeCell ref="A2:A3"/>
  </mergeCells>
  <pageMargins left="0.7" right="0.7" top="0.75" bottom="0.75" header="0.3" footer="0.3"/>
  <pageSetup paperSize="9" orientation="portrait" r:id="rId1"/>
  <headerFooter>
    <oddHeader>&amp;C&amp;B&amp;"Arial"&amp;12&amp;Kff0000​‌OFFICIAL‌​</oddHeader>
  </headerFooter>
  <tableParts count="4">
    <tablePart r:id="rId2"/>
    <tablePart r:id="rId3"/>
    <tablePart r:id="rId4"/>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CF60-72B6-49A1-8E4C-68668F8F6B52}">
  <sheetPr codeName="Sheet10">
    <pageSetUpPr autoPageBreaks="0"/>
  </sheetPr>
  <dimension ref="A1:Z22"/>
  <sheetViews>
    <sheetView showGridLines="0" topLeftCell="B1" zoomScale="85" zoomScaleNormal="85" workbookViewId="0">
      <pane ySplit="3" topLeftCell="A4" activePane="bottomLeft" state="frozen"/>
      <selection activeCell="B33" sqref="B33"/>
      <selection pane="bottomLeft" activeCell="B33" sqref="B33"/>
    </sheetView>
  </sheetViews>
  <sheetFormatPr defaultRowHeight="15" outlineLevelCol="1" x14ac:dyDescent="0.25"/>
  <cols>
    <col min="1" max="1" width="100.5703125" hidden="1" customWidth="1" outlineLevel="1"/>
    <col min="2" max="2" width="10.5703125" style="5" customWidth="1" collapsed="1"/>
    <col min="3" max="3" width="50.5703125" customWidth="1"/>
    <col min="4" max="26" width="25.5703125" customWidth="1"/>
  </cols>
  <sheetData>
    <row r="1" spans="1:26" ht="15" customHeight="1" x14ac:dyDescent="0.25">
      <c r="A1" s="1" t="s">
        <v>32</v>
      </c>
      <c r="B1" s="16"/>
      <c r="C1" s="17"/>
      <c r="D1" s="17"/>
      <c r="E1" s="17"/>
      <c r="F1" s="17"/>
      <c r="G1" s="17"/>
      <c r="H1" s="17"/>
      <c r="I1" s="17"/>
      <c r="J1" s="17"/>
      <c r="K1" s="17"/>
      <c r="L1" s="17"/>
      <c r="M1" s="17"/>
      <c r="N1" s="17"/>
      <c r="O1" s="17"/>
      <c r="P1" s="17"/>
      <c r="Q1" s="17"/>
      <c r="R1" s="17"/>
      <c r="S1" s="17"/>
      <c r="T1" s="17"/>
      <c r="U1" s="17"/>
      <c r="V1" s="17"/>
      <c r="W1" s="17"/>
      <c r="X1" s="17"/>
      <c r="Y1" s="17"/>
      <c r="Z1" s="17"/>
    </row>
    <row r="2" spans="1:26" s="3" customFormat="1" ht="50.1" customHeight="1" x14ac:dyDescent="0.25">
      <c r="A2" s="234" t="s">
        <v>33</v>
      </c>
      <c r="B2" s="20"/>
      <c r="C2" s="20" t="str">
        <f>Disclaimer!$B$1</f>
        <v>VDO calculation model</v>
      </c>
      <c r="D2" s="20"/>
      <c r="E2" s="20"/>
      <c r="F2" s="20"/>
      <c r="G2" s="20"/>
      <c r="H2" s="20"/>
      <c r="I2" s="20"/>
      <c r="J2" s="20"/>
      <c r="K2" s="20"/>
      <c r="L2" s="20"/>
      <c r="M2" s="20"/>
      <c r="N2" s="20"/>
      <c r="O2" s="20"/>
      <c r="P2" s="20"/>
      <c r="Q2" s="20"/>
      <c r="R2" s="20"/>
      <c r="S2" s="20"/>
      <c r="T2" s="20"/>
      <c r="U2" s="20"/>
      <c r="V2" s="20"/>
      <c r="W2" s="20"/>
      <c r="X2" s="20"/>
      <c r="Y2" s="20"/>
      <c r="Z2" s="20"/>
    </row>
    <row r="3" spans="1:26" s="3" customFormat="1" ht="30" customHeight="1" x14ac:dyDescent="0.25">
      <c r="A3" s="235"/>
      <c r="B3" s="22">
        <f ca="1">_xlfn.SHEET()</f>
        <v>17</v>
      </c>
      <c r="C3" s="21" t="s">
        <v>539</v>
      </c>
      <c r="D3" s="21"/>
      <c r="E3" s="21"/>
      <c r="F3" s="21"/>
      <c r="G3" s="21"/>
      <c r="H3" s="21"/>
      <c r="I3" s="21"/>
      <c r="J3" s="21"/>
      <c r="K3" s="21"/>
      <c r="L3" s="21"/>
      <c r="M3" s="21"/>
      <c r="N3" s="21"/>
      <c r="O3" s="21"/>
      <c r="P3" s="21"/>
      <c r="Q3" s="21"/>
      <c r="R3" s="21"/>
      <c r="S3" s="21"/>
      <c r="T3" s="21"/>
      <c r="U3" s="21"/>
      <c r="V3" s="21"/>
      <c r="W3" s="21"/>
      <c r="X3" s="21"/>
      <c r="Y3" s="21"/>
      <c r="Z3" s="21"/>
    </row>
    <row r="4" spans="1:26" x14ac:dyDescent="0.25">
      <c r="B4"/>
    </row>
    <row r="5" spans="1:26" ht="16.5" thickBot="1" x14ac:dyDescent="0.3">
      <c r="A5" s="1" t="s">
        <v>35</v>
      </c>
      <c r="B5" s="6">
        <f ca="1">MAX(B$3:B4)+0.1</f>
        <v>17.100000000000001</v>
      </c>
      <c r="C5" s="23" t="s">
        <v>540</v>
      </c>
      <c r="D5" s="23"/>
      <c r="E5" s="23"/>
      <c r="F5" s="23"/>
      <c r="G5" s="23"/>
      <c r="H5" s="23"/>
      <c r="I5" s="23"/>
      <c r="J5" s="23"/>
      <c r="K5" s="23"/>
      <c r="L5" s="23"/>
      <c r="M5" s="23"/>
      <c r="N5" s="23"/>
      <c r="O5" s="23"/>
      <c r="P5" s="23"/>
      <c r="Q5" s="23"/>
      <c r="R5" s="23"/>
      <c r="S5" s="23"/>
      <c r="T5" s="23"/>
      <c r="U5" s="23"/>
      <c r="V5" s="23"/>
      <c r="W5" s="23"/>
      <c r="X5" s="23"/>
      <c r="Y5" s="23"/>
      <c r="Z5" s="23"/>
    </row>
    <row r="7" spans="1:26" ht="15.75" x14ac:dyDescent="0.25">
      <c r="C7" s="24" t="s">
        <v>541</v>
      </c>
    </row>
    <row r="8" spans="1:26" ht="15.75" x14ac:dyDescent="0.25">
      <c r="C8" s="31" t="s">
        <v>542</v>
      </c>
      <c r="D8" s="31" t="s">
        <v>542</v>
      </c>
      <c r="E8" s="31" t="s">
        <v>542</v>
      </c>
      <c r="F8" s="31" t="s">
        <v>542</v>
      </c>
    </row>
    <row r="9" spans="1:26" x14ac:dyDescent="0.25">
      <c r="C9" s="18"/>
      <c r="D9" s="18"/>
      <c r="E9" s="18"/>
      <c r="F9" s="18"/>
    </row>
    <row r="10" spans="1:26" x14ac:dyDescent="0.25">
      <c r="C10" s="18"/>
      <c r="D10" s="18"/>
      <c r="E10" s="18"/>
      <c r="F10" s="18"/>
    </row>
    <row r="11" spans="1:26" x14ac:dyDescent="0.25">
      <c r="C11" s="18"/>
      <c r="D11" s="18"/>
      <c r="E11" s="18"/>
      <c r="F11" s="18"/>
    </row>
    <row r="12" spans="1:26" x14ac:dyDescent="0.25">
      <c r="C12" s="18"/>
      <c r="D12" s="18"/>
      <c r="E12" s="18"/>
      <c r="F12" s="18"/>
    </row>
    <row r="13" spans="1:26" x14ac:dyDescent="0.25">
      <c r="C13" s="18"/>
      <c r="D13" s="18"/>
      <c r="E13" s="18"/>
      <c r="F13" s="18"/>
    </row>
    <row r="14" spans="1:26" x14ac:dyDescent="0.25">
      <c r="C14" s="18"/>
      <c r="D14" s="18"/>
      <c r="E14" s="18"/>
      <c r="F14" s="18"/>
    </row>
    <row r="15" spans="1:26" x14ac:dyDescent="0.25">
      <c r="C15" s="18"/>
      <c r="D15" s="18"/>
      <c r="E15" s="18"/>
      <c r="F15" s="18"/>
    </row>
    <row r="16" spans="1:26" x14ac:dyDescent="0.25">
      <c r="C16" s="18"/>
      <c r="D16" s="18"/>
      <c r="E16" s="18"/>
      <c r="F16" s="18"/>
    </row>
    <row r="17" spans="3:6" x14ac:dyDescent="0.25">
      <c r="C17" s="18"/>
      <c r="D17" s="18"/>
      <c r="E17" s="18"/>
      <c r="F17" s="18"/>
    </row>
    <row r="18" spans="3:6" x14ac:dyDescent="0.25">
      <c r="C18" s="18"/>
      <c r="D18" s="18"/>
      <c r="E18" s="18"/>
      <c r="F18" s="18"/>
    </row>
    <row r="19" spans="3:6" x14ac:dyDescent="0.25">
      <c r="C19" s="18"/>
      <c r="D19" s="18"/>
      <c r="E19" s="18"/>
      <c r="F19" s="18"/>
    </row>
    <row r="20" spans="3:6" x14ac:dyDescent="0.25">
      <c r="C20" s="18"/>
      <c r="D20" s="18"/>
      <c r="E20" s="18"/>
      <c r="F20" s="18"/>
    </row>
    <row r="21" spans="3:6" x14ac:dyDescent="0.25">
      <c r="C21" s="18"/>
      <c r="D21" s="18"/>
      <c r="E21" s="18"/>
      <c r="F21" s="18"/>
    </row>
    <row r="22" spans="3:6" x14ac:dyDescent="0.25">
      <c r="C22" s="18"/>
      <c r="D22" s="18"/>
      <c r="E22" s="18"/>
      <c r="F22" s="18"/>
    </row>
  </sheetData>
  <mergeCells count="1">
    <mergeCell ref="A2:A3"/>
  </mergeCells>
  <pageMargins left="0.7" right="0.7" top="0.75" bottom="0.75" header="0.3" footer="0.3"/>
  <pageSetup paperSize="9" orientation="portrait" r:id="rId1"/>
  <headerFooter>
    <oddHeader>&amp;C&amp;B&amp;"Arial"&amp;12&amp;Kff0000​‌OFFICIAL‌​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fa1e3f-bff0-4a68-a0e1-8991d6694121">
      <Terms xmlns="http://schemas.microsoft.com/office/infopath/2007/PartnerControls"/>
    </lcf76f155ced4ddcb4097134ff3c332f>
    <TaxCatchAll xmlns="1fe0551b-aea2-4114-b38d-c5f7409b7e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F5B4F566EDE04E8FC82BBE258AC15C" ma:contentTypeVersion="12" ma:contentTypeDescription="Create a new document." ma:contentTypeScope="" ma:versionID="5e6494e3afca6d2277aafc0346dbdbe7">
  <xsd:schema xmlns:xsd="http://www.w3.org/2001/XMLSchema" xmlns:xs="http://www.w3.org/2001/XMLSchema" xmlns:p="http://schemas.microsoft.com/office/2006/metadata/properties" xmlns:ns2="12fa1e3f-bff0-4a68-a0e1-8991d6694121" xmlns:ns3="1fe0551b-aea2-4114-b38d-c5f7409b7e34" targetNamespace="http://schemas.microsoft.com/office/2006/metadata/properties" ma:root="true" ma:fieldsID="0c31755f3e79ec498fd0ea671d32ef6b" ns2:_="" ns3:_="">
    <xsd:import namespace="12fa1e3f-bff0-4a68-a0e1-8991d6694121"/>
    <xsd:import namespace="1fe0551b-aea2-4114-b38d-c5f7409b7e3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a1e3f-bff0-4a68-a0e1-8991d66941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0551b-aea2-4114-b38d-c5f7409b7e3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0f870a1-443f-4a47-b096-e8ee88ab6acd}" ma:internalName="TaxCatchAll" ma:showField="CatchAllData" ma:web="1fe0551b-aea2-4114-b38d-c5f7409b7e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5F5AD19-D35C-4D0A-B8E2-C3C781D0CC4A}">
  <ds:schemaRefs>
    <ds:schemaRef ds:uri="http://schemas.microsoft.com/office/2006/metadata/properties"/>
    <ds:schemaRef ds:uri="http://schemas.microsoft.com/office/infopath/2007/PartnerControls"/>
    <ds:schemaRef ds:uri="12fa1e3f-bff0-4a68-a0e1-8991d6694121"/>
    <ds:schemaRef ds:uri="1fe0551b-aea2-4114-b38d-c5f7409b7e34"/>
  </ds:schemaRefs>
</ds:datastoreItem>
</file>

<file path=customXml/itemProps2.xml><?xml version="1.0" encoding="utf-8"?>
<ds:datastoreItem xmlns:ds="http://schemas.openxmlformats.org/officeDocument/2006/customXml" ds:itemID="{FB774C02-8D8E-4FC3-9D41-C33DCB6683EB}">
  <ds:schemaRefs>
    <ds:schemaRef ds:uri="http://schemas.microsoft.com/sharepoint/v3/contenttype/forms"/>
  </ds:schemaRefs>
</ds:datastoreItem>
</file>

<file path=customXml/itemProps3.xml><?xml version="1.0" encoding="utf-8"?>
<ds:datastoreItem xmlns:ds="http://schemas.openxmlformats.org/officeDocument/2006/customXml" ds:itemID="{D5F9EBA2-EAD9-4B21-9AF0-3EE79DD85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a1e3f-bff0-4a68-a0e1-8991d6694121"/>
    <ds:schemaRef ds:uri="1fe0551b-aea2-4114-b38d-c5f7409b7e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39258F-1C21-4DD8-9213-AB97CD8302A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Cover</vt:lpstr>
      <vt:lpstr>Disclaimer</vt:lpstr>
      <vt:lpstr>Contents</vt:lpstr>
      <vt:lpstr>User Guide</vt:lpstr>
      <vt:lpstr>Calc_Rates</vt:lpstr>
      <vt:lpstr>Inputs</vt:lpstr>
      <vt:lpstr>General Assumptions</vt:lpstr>
      <vt:lpstr>CPI</vt:lpstr>
      <vt:lpstr>Calc_TU_values</vt:lpstr>
      <vt:lpstr>Calc_TU_rates</vt:lpstr>
      <vt:lpstr>CH_CostStack_RES</vt:lpstr>
      <vt:lpstr>CH_CostStack_SME 10k</vt:lpstr>
      <vt:lpstr>CH_CostStack_SME</vt:lpstr>
      <vt:lpstr>OP_Rates</vt:lpstr>
      <vt:lpstr>OP_CMAB</vt:lpstr>
      <vt:lpstr>Lookup refs</vt:lpstr>
      <vt:lpstr>Blank_WkSheet</vt:lpstr>
      <vt:lpstr>AUD</vt:lpstr>
      <vt:lpstr>CostStackCalcs_remove2\</vt:lpstr>
      <vt:lpstr>DiPY</vt:lpstr>
      <vt:lpstr>DiY</vt:lpstr>
      <vt:lpstr>FY</vt:lpstr>
      <vt:lpstr>GST</vt:lpstr>
      <vt:lpstr>hi</vt:lpstr>
      <vt:lpstr>Input_TUEnv_Actua</vt:lpstr>
      <vt:lpstr>MiQ</vt:lpstr>
      <vt:lpstr>MiY</vt:lpstr>
      <vt:lpstr>PY</vt:lpstr>
      <vt:lpstr>TUProp_CLLoad_1</vt:lpstr>
      <vt:lpstr>TUProp_CLLoad_2</vt:lpstr>
      <vt:lpstr>TUProp_Days_1</vt:lpstr>
      <vt:lpstr>TUProp_Days_2</vt:lpstr>
      <vt:lpstr>UserGuide</vt:lpstr>
      <vt:lpstr>WACC_adj_1</vt:lpstr>
      <vt:lpstr>WACC_adj_2</vt:lpstr>
      <vt:lpstr>WiPY</vt:lpstr>
      <vt:lpstr>WiY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Murry Greasley (ESC)</dc:creator>
  <cp:keywords>[SEC=OFFICIAL]</cp:keywords>
  <dc:description/>
  <cp:lastModifiedBy>Mahmuda Sultana (ESC)</cp:lastModifiedBy>
  <cp:revision/>
  <dcterms:created xsi:type="dcterms:W3CDTF">2020-01-15T04:05:27Z</dcterms:created>
  <dcterms:modified xsi:type="dcterms:W3CDTF">2024-03-15T02:58:59Z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0x0101008AF5B4F566EDE04E8FC82BBE258AC15C</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vt:lpwstr>
  </property>
  <property fmtid="{D5CDD505-2E9C-101B-9397-08002B2CF9AE}" pid="6" name="PM_Qualifier">
    <vt:lpwstr/>
  </property>
  <property fmtid="{D5CDD505-2E9C-101B-9397-08002B2CF9AE}" pid="7" name="PM_SecurityClassification">
    <vt:lpwstr>OFFICIAL</vt:lpwstr>
  </property>
  <property fmtid="{D5CDD505-2E9C-101B-9397-08002B2CF9AE}" pid="8" name="PM_InsertionValue">
    <vt:lpwstr>OFFICIAL</vt:lpwstr>
  </property>
  <property fmtid="{D5CDD505-2E9C-101B-9397-08002B2CF9AE}" pid="9" name="PM_Originating_FileId">
    <vt:lpwstr>59DC5C59153349D2BB9190ABAB61C175</vt:lpwstr>
  </property>
  <property fmtid="{D5CDD505-2E9C-101B-9397-08002B2CF9AE}" pid="10" name="PM_ProtectiveMarkingValue_Footer">
    <vt:lpwstr>OFFICIAL</vt:lpwstr>
  </property>
  <property fmtid="{D5CDD505-2E9C-101B-9397-08002B2CF9AE}" pid="11" name="PM_Originator_Hash_SHA1">
    <vt:lpwstr>7FA0E445E1BA37C23ECC082A1C28664A60DB33AD</vt:lpwstr>
  </property>
  <property fmtid="{D5CDD505-2E9C-101B-9397-08002B2CF9AE}" pid="12" name="PM_OriginationTimeStamp">
    <vt:lpwstr>2023-02-21T22:05:29Z</vt:lpwstr>
  </property>
  <property fmtid="{D5CDD505-2E9C-101B-9397-08002B2CF9AE}" pid="13" name="PM_ProtectiveMarkingValue_Header">
    <vt:lpwstr>OFFICIAL</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vt:lpwstr>
  </property>
  <property fmtid="{D5CDD505-2E9C-101B-9397-08002B2CF9AE}" pid="20" name="PM_Hash_Version">
    <vt:lpwstr>2018.0</vt:lpwstr>
  </property>
  <property fmtid="{D5CDD505-2E9C-101B-9397-08002B2CF9AE}" pid="21" name="PM_Hash_Salt_Prev">
    <vt:lpwstr>C9E138BB65578E931662D00F52944D3C</vt:lpwstr>
  </property>
  <property fmtid="{D5CDD505-2E9C-101B-9397-08002B2CF9AE}" pid="22" name="PM_Hash_Salt">
    <vt:lpwstr>B94D8F0FDF4EF9A7A311A159D9FD85AB</vt:lpwstr>
  </property>
  <property fmtid="{D5CDD505-2E9C-101B-9397-08002B2CF9AE}" pid="23" name="PM_Hash_SHA1">
    <vt:lpwstr>C4BEDB2EEE9D5E5CB814329641A3624E203CAE33</vt:lpwstr>
  </property>
  <property fmtid="{D5CDD505-2E9C-101B-9397-08002B2CF9AE}" pid="24" name="PM_OriginatorUserAccountName_SHA256">
    <vt:lpwstr>E51A4B40B1F3478FD5159D462CDA5ED2CA26CCC8934C32D3F846F6C168A712B6</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PMUuid">
    <vt:lpwstr>C9CD97EE-7A57-5433-8DC0-34EC18AC88E3</vt:lpwstr>
  </property>
  <property fmtid="{D5CDD505-2E9C-101B-9397-08002B2CF9AE}" pid="30" name="PMUuidVer">
    <vt:lpwstr>2022.1</vt:lpwstr>
  </property>
  <property fmtid="{D5CDD505-2E9C-101B-9397-08002B2CF9AE}" pid="31" name="MediaServiceImageTags">
    <vt:lpwstr/>
  </property>
</Properties>
</file>