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UDGET\2016-2017\Baseline Data\"/>
    </mc:Choice>
  </mc:AlternateContent>
  <bookViews>
    <workbookView xWindow="0" yWindow="0" windowWidth="19200" windowHeight="11595"/>
  </bookViews>
  <sheets>
    <sheet name="With Higher Cap" sheetId="2" r:id="rId1"/>
    <sheet name="No Higher Cap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1" l="1"/>
  <c r="I94" i="1" s="1"/>
  <c r="I81" i="1" s="1"/>
  <c r="I86" i="1"/>
  <c r="I85" i="1"/>
  <c r="I84" i="1"/>
  <c r="I83" i="1"/>
  <c r="I80" i="1"/>
  <c r="I74" i="1"/>
  <c r="I61" i="1"/>
  <c r="I59" i="1"/>
  <c r="I58" i="1"/>
  <c r="I49" i="1"/>
  <c r="I63" i="1" s="1"/>
  <c r="I27" i="1"/>
  <c r="I90" i="1" s="1"/>
  <c r="I26" i="1"/>
  <c r="I19" i="1"/>
  <c r="I91" i="1" s="1"/>
  <c r="I78" i="1" l="1"/>
  <c r="L91" i="1" l="1"/>
  <c r="K91" i="1"/>
  <c r="J91" i="1"/>
  <c r="H91" i="1"/>
  <c r="L90" i="1"/>
  <c r="K90" i="1"/>
  <c r="J90" i="1"/>
  <c r="H90" i="1"/>
  <c r="J97" i="1"/>
  <c r="K97" i="1"/>
  <c r="L97" i="1"/>
  <c r="H94" i="1"/>
  <c r="J95" i="1"/>
  <c r="K95" i="1" s="1"/>
  <c r="L95" i="1" s="1"/>
  <c r="L94" i="1" s="1"/>
  <c r="K94" i="1" l="1"/>
  <c r="J94" i="1"/>
  <c r="J81" i="1" s="1"/>
  <c r="J78" i="1"/>
  <c r="L78" i="1"/>
  <c r="L86" i="1"/>
  <c r="K86" i="1"/>
  <c r="J86" i="1"/>
  <c r="H86" i="1"/>
  <c r="L85" i="1"/>
  <c r="K85" i="1"/>
  <c r="J85" i="1"/>
  <c r="H85" i="1"/>
  <c r="L84" i="1"/>
  <c r="K84" i="1"/>
  <c r="J84" i="1"/>
  <c r="H84" i="1"/>
  <c r="L83" i="1"/>
  <c r="K83" i="1"/>
  <c r="J83" i="1"/>
  <c r="H83" i="1"/>
  <c r="L81" i="1"/>
  <c r="K81" i="1"/>
  <c r="H81" i="1"/>
  <c r="L80" i="1"/>
  <c r="K80" i="1"/>
  <c r="J80" i="1"/>
  <c r="H80" i="1"/>
  <c r="K78" i="1"/>
  <c r="H78" i="1"/>
  <c r="F86" i="1"/>
  <c r="F85" i="1"/>
  <c r="F84" i="1"/>
  <c r="F83" i="1"/>
  <c r="F80" i="1"/>
  <c r="H97" i="1"/>
  <c r="F97" i="1"/>
  <c r="F94" i="1" s="1"/>
  <c r="F81" i="1" s="1"/>
  <c r="F91" i="1"/>
  <c r="F90" i="1"/>
  <c r="F78" i="1" s="1"/>
  <c r="J95" i="2"/>
  <c r="K95" i="2" s="1"/>
  <c r="L95" i="2" s="1"/>
  <c r="K97" i="2" l="1"/>
  <c r="H94" i="2"/>
  <c r="I94" i="2"/>
  <c r="J94" i="2"/>
  <c r="K94" i="2"/>
  <c r="L94" i="2"/>
  <c r="F94" i="2"/>
  <c r="H97" i="2"/>
  <c r="I97" i="2"/>
  <c r="J97" i="2"/>
  <c r="L97" i="2"/>
  <c r="F97" i="2"/>
  <c r="L81" i="2" l="1"/>
  <c r="K81" i="2"/>
  <c r="J81" i="2"/>
  <c r="I81" i="2"/>
  <c r="H81" i="2"/>
  <c r="F81" i="2"/>
  <c r="L84" i="2" l="1"/>
  <c r="K84" i="2"/>
  <c r="J84" i="2"/>
  <c r="I84" i="2"/>
  <c r="H84" i="2"/>
  <c r="F84" i="2"/>
  <c r="L85" i="2"/>
  <c r="K85" i="2"/>
  <c r="J85" i="2"/>
  <c r="I85" i="2"/>
  <c r="F85" i="2"/>
  <c r="L80" i="2" l="1"/>
  <c r="K80" i="2"/>
  <c r="J80" i="2"/>
  <c r="I80" i="2"/>
  <c r="H80" i="2"/>
  <c r="F80" i="2"/>
  <c r="L83" i="2"/>
  <c r="K83" i="2"/>
  <c r="J83" i="2"/>
  <c r="I83" i="2"/>
  <c r="H83" i="2"/>
  <c r="F83" i="2"/>
  <c r="L86" i="2"/>
  <c r="K86" i="2"/>
  <c r="J86" i="2"/>
  <c r="I86" i="2"/>
  <c r="H86" i="2"/>
  <c r="F86" i="2"/>
  <c r="I59" i="2"/>
  <c r="I74" i="2" l="1"/>
  <c r="I61" i="2"/>
  <c r="I58" i="2"/>
  <c r="I49" i="2"/>
  <c r="I26" i="2"/>
  <c r="I19" i="2"/>
  <c r="I91" i="2" s="1"/>
  <c r="L61" i="2"/>
  <c r="K61" i="2"/>
  <c r="K61" i="1"/>
  <c r="I63" i="2" l="1"/>
  <c r="I27" i="2"/>
  <c r="I90" i="2" s="1"/>
  <c r="I78" i="2" s="1"/>
  <c r="L74" i="2" l="1"/>
  <c r="K74" i="2"/>
  <c r="J74" i="2"/>
  <c r="H74" i="2"/>
  <c r="F74" i="2"/>
  <c r="E74" i="2"/>
  <c r="D74" i="2"/>
  <c r="C74" i="2"/>
  <c r="B74" i="2"/>
  <c r="J61" i="2"/>
  <c r="H61" i="2"/>
  <c r="F61" i="2"/>
  <c r="E61" i="2"/>
  <c r="D61" i="2"/>
  <c r="C61" i="2"/>
  <c r="B61" i="2"/>
  <c r="L58" i="2"/>
  <c r="K58" i="2"/>
  <c r="J58" i="2"/>
  <c r="H58" i="2"/>
  <c r="F58" i="2"/>
  <c r="E58" i="2"/>
  <c r="D58" i="2"/>
  <c r="C58" i="2"/>
  <c r="B58" i="2"/>
  <c r="L49" i="2"/>
  <c r="K49" i="2"/>
  <c r="J49" i="2"/>
  <c r="H49" i="2"/>
  <c r="F49" i="2"/>
  <c r="E49" i="2"/>
  <c r="D49" i="2"/>
  <c r="C49" i="2"/>
  <c r="B49" i="2"/>
  <c r="L26" i="2"/>
  <c r="K26" i="2"/>
  <c r="J26" i="2"/>
  <c r="H26" i="2"/>
  <c r="F26" i="2"/>
  <c r="E26" i="2"/>
  <c r="D26" i="2"/>
  <c r="C20" i="2"/>
  <c r="C26" i="2" s="1"/>
  <c r="B20" i="2"/>
  <c r="B26" i="2" s="1"/>
  <c r="L19" i="2"/>
  <c r="L91" i="2" s="1"/>
  <c r="K19" i="2"/>
  <c r="K91" i="2" s="1"/>
  <c r="F19" i="2"/>
  <c r="H18" i="2"/>
  <c r="H85" i="2" s="1"/>
  <c r="E18" i="2"/>
  <c r="E19" i="2" s="1"/>
  <c r="E27" i="2" s="1"/>
  <c r="D18" i="2"/>
  <c r="D19" i="2" s="1"/>
  <c r="D27" i="2" s="1"/>
  <c r="C18" i="2"/>
  <c r="C19" i="2" s="1"/>
  <c r="C27" i="2" s="1"/>
  <c r="B18" i="2"/>
  <c r="B19" i="2" s="1"/>
  <c r="B27" i="2" s="1"/>
  <c r="J19" i="2"/>
  <c r="J91" i="2" s="1"/>
  <c r="H12" i="2"/>
  <c r="H11" i="2"/>
  <c r="B63" i="2" l="1"/>
  <c r="F63" i="2"/>
  <c r="E63" i="2"/>
  <c r="D63" i="2"/>
  <c r="C63" i="2"/>
  <c r="H63" i="2"/>
  <c r="H19" i="2"/>
  <c r="F27" i="2"/>
  <c r="F90" i="2" s="1"/>
  <c r="F91" i="2"/>
  <c r="L63" i="2"/>
  <c r="J63" i="2"/>
  <c r="K63" i="2"/>
  <c r="K27" i="2"/>
  <c r="K90" i="2" s="1"/>
  <c r="K78" i="2" s="1"/>
  <c r="L27" i="2"/>
  <c r="L90" i="2" s="1"/>
  <c r="L78" i="2" s="1"/>
  <c r="J27" i="2"/>
  <c r="J90" i="2" s="1"/>
  <c r="J78" i="2" s="1"/>
  <c r="L74" i="1"/>
  <c r="K74" i="1"/>
  <c r="J74" i="1"/>
  <c r="H74" i="1"/>
  <c r="C74" i="1"/>
  <c r="D74" i="1"/>
  <c r="E74" i="1"/>
  <c r="F74" i="1"/>
  <c r="B74" i="1"/>
  <c r="B49" i="1"/>
  <c r="D49" i="1"/>
  <c r="C49" i="1"/>
  <c r="C61" i="1"/>
  <c r="B61" i="1"/>
  <c r="D61" i="1"/>
  <c r="F49" i="1"/>
  <c r="F61" i="1"/>
  <c r="E61" i="1"/>
  <c r="L61" i="1"/>
  <c r="J61" i="1"/>
  <c r="F78" i="2" l="1"/>
  <c r="H27" i="2"/>
  <c r="H90" i="2" s="1"/>
  <c r="H91" i="2"/>
  <c r="H61" i="1"/>
  <c r="L58" i="1"/>
  <c r="K58" i="1"/>
  <c r="J58" i="1"/>
  <c r="H58" i="1"/>
  <c r="C58" i="1"/>
  <c r="D58" i="1"/>
  <c r="E58" i="1"/>
  <c r="F58" i="1"/>
  <c r="B58" i="1"/>
  <c r="E49" i="1"/>
  <c r="J49" i="1"/>
  <c r="K49" i="1"/>
  <c r="L49" i="1"/>
  <c r="H49" i="1"/>
  <c r="H18" i="1"/>
  <c r="H12" i="1"/>
  <c r="H11" i="1"/>
  <c r="H78" i="2" l="1"/>
  <c r="B63" i="1"/>
  <c r="C63" i="1"/>
  <c r="D63" i="1"/>
  <c r="E63" i="1"/>
  <c r="F63" i="1"/>
  <c r="L63" i="1"/>
  <c r="J63" i="1"/>
  <c r="K63" i="1"/>
  <c r="H63" i="1"/>
  <c r="E18" i="1"/>
  <c r="C18" i="1"/>
  <c r="D18" i="1"/>
  <c r="B20" i="1"/>
  <c r="B26" i="1" s="1"/>
  <c r="B18" i="1"/>
  <c r="B19" i="1" s="1"/>
  <c r="C20" i="1"/>
  <c r="H26" i="1"/>
  <c r="J26" i="1"/>
  <c r="K26" i="1"/>
  <c r="L26" i="1"/>
  <c r="H19" i="1"/>
  <c r="H27" i="1" s="1"/>
  <c r="J19" i="1"/>
  <c r="K19" i="1"/>
  <c r="L19" i="1"/>
  <c r="C26" i="1"/>
  <c r="D26" i="1"/>
  <c r="E26" i="1"/>
  <c r="F26" i="1"/>
  <c r="C19" i="1"/>
  <c r="D19" i="1"/>
  <c r="E19" i="1"/>
  <c r="F19" i="1"/>
  <c r="F27" i="1" s="1"/>
  <c r="L27" i="1" l="1"/>
  <c r="K27" i="1"/>
  <c r="J27" i="1"/>
  <c r="E27" i="1"/>
  <c r="D27" i="1"/>
  <c r="C27" i="1"/>
  <c r="B27" i="1"/>
</calcChain>
</file>

<file path=xl/sharedStrings.xml><?xml version="1.0" encoding="utf-8"?>
<sst xmlns="http://schemas.openxmlformats.org/spreadsheetml/2006/main" count="218" uniqueCount="90">
  <si>
    <t>Extended Analysis</t>
  </si>
  <si>
    <t>Income Statement</t>
  </si>
  <si>
    <t>Annual Report Income Statement ($'000) - sourced from Council annual reports</t>
  </si>
  <si>
    <t>2010/11</t>
  </si>
  <si>
    <t>2011/12</t>
  </si>
  <si>
    <t>2012/13</t>
  </si>
  <si>
    <t>2013/14</t>
  </si>
  <si>
    <t>2014/15</t>
  </si>
  <si>
    <t>Rates &amp; charges</t>
  </si>
  <si>
    <t>Statutory fees &amp; fines</t>
  </si>
  <si>
    <t>User fees</t>
  </si>
  <si>
    <t>Grants - operating</t>
  </si>
  <si>
    <t>Grants - capital</t>
  </si>
  <si>
    <t>Fair value adjustments</t>
  </si>
  <si>
    <t>Share of net profits/(losses)</t>
  </si>
  <si>
    <t>Other income</t>
  </si>
  <si>
    <t>Total income</t>
  </si>
  <si>
    <t>Employee costs</t>
  </si>
  <si>
    <t>Materials &amp; services</t>
  </si>
  <si>
    <t>Depreciation &amp; amortisation</t>
  </si>
  <si>
    <t>Borrowing costs</t>
  </si>
  <si>
    <t>Bad &amp; doubtful debts</t>
  </si>
  <si>
    <t>Other expenses</t>
  </si>
  <si>
    <t>Total expenses</t>
  </si>
  <si>
    <t>Surplus/(deficit) for the year</t>
  </si>
  <si>
    <t>2015/16</t>
  </si>
  <si>
    <t>2016/17</t>
  </si>
  <si>
    <t>2017/18</t>
  </si>
  <si>
    <t>2018/19</t>
  </si>
  <si>
    <t>Balance Sheet</t>
  </si>
  <si>
    <t>Annual Report Balance Sheet ($'000) - sourced from Council annual reports</t>
  </si>
  <si>
    <t>Total assets</t>
  </si>
  <si>
    <t>Total liabilities</t>
  </si>
  <si>
    <t>Other equity</t>
  </si>
  <si>
    <t>Total equity</t>
  </si>
  <si>
    <t>Reserves</t>
  </si>
  <si>
    <t>Contributions - monetary</t>
  </si>
  <si>
    <t>Contributions - non monetary</t>
  </si>
  <si>
    <t>check</t>
  </si>
  <si>
    <t>Cash &amp; cash equivalents - C</t>
  </si>
  <si>
    <t>Trade &amp; other receivables - C</t>
  </si>
  <si>
    <t>Other financial assets - C</t>
  </si>
  <si>
    <t>Inventories - C</t>
  </si>
  <si>
    <t>Non-current assets held for sale - C</t>
  </si>
  <si>
    <t>Other assets - C</t>
  </si>
  <si>
    <t>Other current assets - C</t>
  </si>
  <si>
    <t>Trade &amp; other receivables - NC</t>
  </si>
  <si>
    <t>Investments in associates - NC</t>
  </si>
  <si>
    <t>Property, infrastructure, plant &amp; equipment - NC</t>
  </si>
  <si>
    <t>Investment property - NC</t>
  </si>
  <si>
    <t>Intangible assets - NC</t>
  </si>
  <si>
    <t>Other non-current assets - NC</t>
  </si>
  <si>
    <t>Trade &amp; other payables - C</t>
  </si>
  <si>
    <t>Trust funds &amp; deposits - C</t>
  </si>
  <si>
    <t>Provisions - C</t>
  </si>
  <si>
    <t>Interest-bearing Loans &amp; borrowings - C</t>
  </si>
  <si>
    <t>Other current liabilities - C</t>
  </si>
  <si>
    <t>Provisions - NC</t>
  </si>
  <si>
    <t>Interest-bearing Loans &amp; borrowings - NC</t>
  </si>
  <si>
    <t>Other non-current liabilities - NC</t>
  </si>
  <si>
    <t>Net gain/(loss) of disposal of property, infra</t>
  </si>
  <si>
    <t>CAPEX</t>
  </si>
  <si>
    <t>Annual Report CAPEX ($'000) - sourced from Council annual reports</t>
  </si>
  <si>
    <t>New asset expenditure</t>
  </si>
  <si>
    <t>Asset renewal expenditure</t>
  </si>
  <si>
    <t>Asset upgrade expenditure</t>
  </si>
  <si>
    <t>Asset expansion expenditure</t>
  </si>
  <si>
    <t>Total capital works expenditure</t>
  </si>
  <si>
    <t>2011/12*</t>
  </si>
  <si>
    <t>2012/13*</t>
  </si>
  <si>
    <t xml:space="preserve"> * Income Statement restated the following year due to correction of prior period errors.</t>
  </si>
  <si>
    <t>2015/16F</t>
  </si>
  <si>
    <t>Adjusted Underlying Result</t>
  </si>
  <si>
    <t>Working Capital Ratio</t>
  </si>
  <si>
    <t>Unrestricted Cash Ratio</t>
  </si>
  <si>
    <t>Loans and Borrowings</t>
  </si>
  <si>
    <t>Loans and Borrowings Repayments</t>
  </si>
  <si>
    <t>Indebtedness</t>
  </si>
  <si>
    <t>Asset Renewal</t>
  </si>
  <si>
    <t>Principal repayments</t>
  </si>
  <si>
    <t>Unrestricted cash</t>
  </si>
  <si>
    <t>Adjusted Underlying Revenue</t>
  </si>
  <si>
    <t>Capital Grants - non recurrent</t>
  </si>
  <si>
    <t>Statutory Reserves</t>
  </si>
  <si>
    <t>Carry Forwards</t>
  </si>
  <si>
    <t>Trust Funds</t>
  </si>
  <si>
    <t>Grants Unspent</t>
  </si>
  <si>
    <t>Budgeted Income Statement ($'000) - sourced from Council SFP</t>
  </si>
  <si>
    <t>Budgeted Balance Sheet ($'000) - sourced from Council SFP</t>
  </si>
  <si>
    <t>Budgeted CAPEX ($'000) - sourced from Council SFP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</si>
</sst>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5AE3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2" borderId="0" xfId="0" applyFont="1" applyFill="1"/>
    <xf numFmtId="0" fontId="5" fillId="2" borderId="0" xfId="0" applyFont="1" applyFill="1"/>
    <xf numFmtId="0" fontId="3" fillId="0" borderId="0" xfId="0" applyFont="1" applyAlignment="1">
      <alignment horizontal="right"/>
    </xf>
    <xf numFmtId="43" fontId="3" fillId="0" borderId="0" xfId="1" applyFont="1"/>
    <xf numFmtId="0" fontId="0" fillId="3" borderId="0" xfId="0" applyFill="1"/>
    <xf numFmtId="0" fontId="4" fillId="3" borderId="0" xfId="0" applyFont="1" applyFill="1" applyAlignment="1">
      <alignment horizontal="right"/>
    </xf>
    <xf numFmtId="3" fontId="0" fillId="3" borderId="0" xfId="0" applyNumberFormat="1" applyFill="1"/>
    <xf numFmtId="3" fontId="3" fillId="3" borderId="0" xfId="0" applyNumberFormat="1" applyFont="1" applyFill="1"/>
    <xf numFmtId="0" fontId="6" fillId="0" borderId="0" xfId="0" applyFont="1"/>
    <xf numFmtId="0" fontId="7" fillId="0" borderId="0" xfId="0" applyFont="1" applyAlignment="1">
      <alignment horizontal="right"/>
    </xf>
    <xf numFmtId="3" fontId="6" fillId="0" borderId="0" xfId="0" applyNumberFormat="1" applyFont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2" borderId="0" xfId="0" applyFont="1" applyFill="1"/>
    <xf numFmtId="0" fontId="7" fillId="0" borderId="0" xfId="0" applyFont="1"/>
    <xf numFmtId="9" fontId="0" fillId="0" borderId="0" xfId="2" applyFont="1"/>
    <xf numFmtId="10" fontId="0" fillId="0" borderId="0" xfId="2" applyNumberFormat="1" applyFont="1"/>
    <xf numFmtId="164" fontId="0" fillId="0" borderId="0" xfId="1" applyNumberFormat="1" applyFont="1"/>
    <xf numFmtId="10" fontId="0" fillId="0" borderId="0" xfId="2" applyNumberFormat="1" applyFont="1" applyFill="1"/>
    <xf numFmtId="9" fontId="0" fillId="0" borderId="0" xfId="2" applyFont="1" applyFill="1"/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Fill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3" fontId="3" fillId="0" borderId="0" xfId="0" applyNumberFormat="1" applyFont="1" applyFill="1" applyBorder="1"/>
    <xf numFmtId="43" fontId="6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5AE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2015-2016/09%20March/Qtr%20Financial%20Statements/Balance%20Sheet%20Mar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Balance Sheet"/>
      <sheetName val="YTD Actual Balance Sheet"/>
      <sheetName val="Amended Balance Sheet"/>
      <sheetName val="Forecast Balance Sheet"/>
      <sheetName val="Budget"/>
      <sheetName val="YTD_Actual_BS"/>
      <sheetName val="Forecast"/>
      <sheetName val="Amended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4">
          <cell r="I44">
            <v>298973.16671000002</v>
          </cell>
        </row>
        <row r="45">
          <cell r="I45">
            <v>4307.4744099999998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tabSelected="1" workbookViewId="0">
      <selection activeCell="B15" sqref="B15"/>
    </sheetView>
  </sheetViews>
  <sheetFormatPr defaultRowHeight="15" outlineLevelRow="1" x14ac:dyDescent="0.25"/>
  <cols>
    <col min="1" max="1" width="46.140625" customWidth="1"/>
    <col min="2" max="6" width="11.7109375" customWidth="1"/>
    <col min="7" max="7" width="4.140625" customWidth="1"/>
    <col min="8" max="12" width="11.7109375" customWidth="1"/>
  </cols>
  <sheetData>
    <row r="1" spans="1:15" x14ac:dyDescent="0.25">
      <c r="A1" s="6" t="s">
        <v>0</v>
      </c>
    </row>
    <row r="2" spans="1:15" x14ac:dyDescent="0.25">
      <c r="A2" s="6"/>
    </row>
    <row r="3" spans="1:15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x14ac:dyDescent="0.25">
      <c r="G4" s="12"/>
    </row>
    <row r="5" spans="1:15" x14ac:dyDescent="0.25">
      <c r="A5" s="6" t="s">
        <v>2</v>
      </c>
      <c r="G5" s="12"/>
      <c r="H5" s="6" t="s">
        <v>87</v>
      </c>
      <c r="I5" s="6"/>
    </row>
    <row r="6" spans="1:15" x14ac:dyDescent="0.25">
      <c r="G6" s="12"/>
      <c r="I6" s="16"/>
      <c r="J6" s="16"/>
      <c r="K6" s="16"/>
      <c r="L6" s="16"/>
    </row>
    <row r="7" spans="1:15" s="6" customFormat="1" x14ac:dyDescent="0.25">
      <c r="B7" s="7" t="s">
        <v>3</v>
      </c>
      <c r="C7" s="7" t="s">
        <v>68</v>
      </c>
      <c r="D7" s="7" t="s">
        <v>69</v>
      </c>
      <c r="E7" s="7" t="s">
        <v>6</v>
      </c>
      <c r="F7" s="7" t="s">
        <v>7</v>
      </c>
      <c r="G7" s="13"/>
      <c r="H7" s="7" t="s">
        <v>25</v>
      </c>
      <c r="I7" s="17" t="s">
        <v>71</v>
      </c>
      <c r="J7" s="17" t="s">
        <v>26</v>
      </c>
      <c r="K7" s="17" t="s">
        <v>27</v>
      </c>
      <c r="L7" s="17" t="s">
        <v>28</v>
      </c>
      <c r="M7" s="7"/>
      <c r="N7"/>
      <c r="O7"/>
    </row>
    <row r="8" spans="1:15" x14ac:dyDescent="0.25">
      <c r="A8" s="1" t="s">
        <v>8</v>
      </c>
      <c r="B8" s="3">
        <v>21003</v>
      </c>
      <c r="C8" s="3">
        <v>22643</v>
      </c>
      <c r="D8" s="3">
        <v>24162</v>
      </c>
      <c r="E8" s="3">
        <v>26018</v>
      </c>
      <c r="F8" s="3">
        <v>27633</v>
      </c>
      <c r="G8" s="14"/>
      <c r="H8" s="3">
        <v>29113</v>
      </c>
      <c r="I8" s="18">
        <v>29354.17382</v>
      </c>
      <c r="J8" s="18">
        <v>30745.580997032594</v>
      </c>
      <c r="K8" s="18">
        <v>32185.97011657256</v>
      </c>
      <c r="L8" s="18">
        <v>33724.653749875928</v>
      </c>
      <c r="M8" s="3"/>
    </row>
    <row r="9" spans="1:15" x14ac:dyDescent="0.25">
      <c r="A9" s="1" t="s">
        <v>9</v>
      </c>
      <c r="B9" s="3">
        <v>655</v>
      </c>
      <c r="C9" s="3">
        <v>552</v>
      </c>
      <c r="D9" s="3">
        <v>550</v>
      </c>
      <c r="E9" s="3">
        <v>460</v>
      </c>
      <c r="F9" s="3">
        <v>481</v>
      </c>
      <c r="G9" s="14"/>
      <c r="H9" s="3">
        <v>600</v>
      </c>
      <c r="I9" s="18">
        <v>617.98649999999998</v>
      </c>
      <c r="J9" s="18">
        <v>641.79999999999995</v>
      </c>
      <c r="K9" s="18">
        <v>664.14652544813225</v>
      </c>
      <c r="L9" s="18">
        <v>683.6060757019535</v>
      </c>
      <c r="M9" s="3"/>
    </row>
    <row r="10" spans="1:15" x14ac:dyDescent="0.25">
      <c r="A10" s="1" t="s">
        <v>10</v>
      </c>
      <c r="B10" s="3">
        <v>1347</v>
      </c>
      <c r="C10" s="3">
        <v>1614</v>
      </c>
      <c r="D10" s="3">
        <v>1572</v>
      </c>
      <c r="E10" s="3">
        <v>1420</v>
      </c>
      <c r="F10" s="3">
        <v>1716</v>
      </c>
      <c r="G10" s="14"/>
      <c r="H10" s="3">
        <v>1654</v>
      </c>
      <c r="I10" s="18">
        <v>1802.3120000000001</v>
      </c>
      <c r="J10" s="18">
        <v>1920.6849999999999</v>
      </c>
      <c r="K10" s="18">
        <v>2152.7335765350754</v>
      </c>
      <c r="L10" s="18">
        <v>2289.9560148450646</v>
      </c>
      <c r="M10" s="3"/>
    </row>
    <row r="11" spans="1:15" x14ac:dyDescent="0.25">
      <c r="A11" s="1" t="s">
        <v>11</v>
      </c>
      <c r="B11" s="3">
        <v>10407</v>
      </c>
      <c r="C11" s="3">
        <v>13087</v>
      </c>
      <c r="D11" s="3">
        <v>9374</v>
      </c>
      <c r="E11" s="3">
        <v>6644</v>
      </c>
      <c r="F11" s="3">
        <v>11822</v>
      </c>
      <c r="G11" s="14"/>
      <c r="H11" s="3">
        <f>8470+232</f>
        <v>8702</v>
      </c>
      <c r="I11" s="18">
        <v>7394.6422899999998</v>
      </c>
      <c r="J11" s="18">
        <v>9049.7368599999991</v>
      </c>
      <c r="K11" s="18">
        <v>9344.2215107443699</v>
      </c>
      <c r="L11" s="18">
        <v>9799.9685472550336</v>
      </c>
      <c r="M11" s="3"/>
    </row>
    <row r="12" spans="1:15" x14ac:dyDescent="0.25">
      <c r="A12" s="1" t="s">
        <v>12</v>
      </c>
      <c r="B12" s="3">
        <v>7930</v>
      </c>
      <c r="C12" s="3">
        <v>8551</v>
      </c>
      <c r="D12" s="3">
        <v>8773</v>
      </c>
      <c r="E12" s="3">
        <v>4054</v>
      </c>
      <c r="F12" s="3">
        <v>4961</v>
      </c>
      <c r="G12" s="14"/>
      <c r="H12" s="3">
        <f>1757+2760</f>
        <v>4517</v>
      </c>
      <c r="I12" s="18">
        <v>8847.0349999999999</v>
      </c>
      <c r="J12" s="18">
        <v>4725.5469999999996</v>
      </c>
      <c r="K12" s="18">
        <v>1378.547</v>
      </c>
      <c r="L12" s="18">
        <v>2028.547</v>
      </c>
      <c r="M12" s="3"/>
    </row>
    <row r="13" spans="1:15" x14ac:dyDescent="0.25">
      <c r="A13" s="1" t="s">
        <v>36</v>
      </c>
      <c r="B13" s="3">
        <v>0</v>
      </c>
      <c r="C13" s="3">
        <v>335</v>
      </c>
      <c r="D13" s="3">
        <v>369</v>
      </c>
      <c r="E13" s="3">
        <v>104</v>
      </c>
      <c r="F13" s="3">
        <v>933</v>
      </c>
      <c r="G13" s="14"/>
      <c r="H13" s="3">
        <v>780</v>
      </c>
      <c r="I13" s="18">
        <v>200.20000000000002</v>
      </c>
      <c r="J13" s="18">
        <v>2352.86</v>
      </c>
      <c r="K13" s="18">
        <v>102.5</v>
      </c>
      <c r="L13" s="18">
        <v>3239.0625</v>
      </c>
      <c r="M13" s="3"/>
    </row>
    <row r="14" spans="1:15" x14ac:dyDescent="0.25">
      <c r="A14" s="1" t="s">
        <v>37</v>
      </c>
      <c r="B14" s="3">
        <v>4317</v>
      </c>
      <c r="C14" s="3">
        <v>3511</v>
      </c>
      <c r="D14" s="3">
        <v>4891</v>
      </c>
      <c r="E14" s="3">
        <v>4275</v>
      </c>
      <c r="F14" s="3">
        <v>3848</v>
      </c>
      <c r="G14" s="14"/>
      <c r="H14" s="3">
        <v>4500</v>
      </c>
      <c r="I14" s="18">
        <v>4500</v>
      </c>
      <c r="J14" s="18">
        <v>4635</v>
      </c>
      <c r="K14" s="18">
        <v>4750.875</v>
      </c>
      <c r="L14" s="18">
        <v>4869.6468750000004</v>
      </c>
      <c r="M14" s="3"/>
    </row>
    <row r="15" spans="1:15" x14ac:dyDescent="0.25">
      <c r="A15" s="1" t="s">
        <v>60</v>
      </c>
      <c r="B15" s="3">
        <v>-2233</v>
      </c>
      <c r="C15" s="3">
        <v>-4871</v>
      </c>
      <c r="D15" s="3">
        <v>-219</v>
      </c>
      <c r="E15" s="3">
        <v>-1380</v>
      </c>
      <c r="F15" s="3">
        <v>-3612</v>
      </c>
      <c r="G15" s="14"/>
      <c r="H15" s="3">
        <v>-1491</v>
      </c>
      <c r="I15" s="18">
        <v>-1456.6359299999999</v>
      </c>
      <c r="J15" s="18">
        <v>-1336.77944</v>
      </c>
      <c r="K15" s="18">
        <v>-1500</v>
      </c>
      <c r="L15" s="18">
        <v>-1500</v>
      </c>
      <c r="M15" s="3"/>
    </row>
    <row r="16" spans="1:15" x14ac:dyDescent="0.25">
      <c r="A16" s="1" t="s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14"/>
      <c r="H16" s="3">
        <v>0</v>
      </c>
      <c r="I16" s="18">
        <v>0</v>
      </c>
      <c r="J16" s="18">
        <v>0</v>
      </c>
      <c r="K16" s="18">
        <v>0</v>
      </c>
      <c r="L16" s="18">
        <v>0</v>
      </c>
      <c r="M16" s="3"/>
    </row>
    <row r="17" spans="1:13" x14ac:dyDescent="0.25">
      <c r="A17" s="1" t="s">
        <v>14</v>
      </c>
      <c r="B17" s="3">
        <v>9</v>
      </c>
      <c r="C17" s="3">
        <v>-225</v>
      </c>
      <c r="D17" s="3">
        <v>0</v>
      </c>
      <c r="E17" s="3">
        <v>0</v>
      </c>
      <c r="F17" s="3">
        <v>0</v>
      </c>
      <c r="G17" s="14"/>
      <c r="H17" s="3">
        <v>0</v>
      </c>
      <c r="I17" s="18">
        <v>0</v>
      </c>
      <c r="J17" s="18">
        <v>0</v>
      </c>
      <c r="K17" s="18">
        <v>0</v>
      </c>
      <c r="L17" s="18">
        <v>0</v>
      </c>
      <c r="M17" s="3"/>
    </row>
    <row r="18" spans="1:13" x14ac:dyDescent="0.25">
      <c r="A18" s="1" t="s">
        <v>15</v>
      </c>
      <c r="B18" s="3">
        <f>1333+574</f>
        <v>1907</v>
      </c>
      <c r="C18" s="3">
        <f>1338+786-335</f>
        <v>1789</v>
      </c>
      <c r="D18" s="3">
        <f>1167+755</f>
        <v>1922</v>
      </c>
      <c r="E18" s="3">
        <f>1013+478</f>
        <v>1491</v>
      </c>
      <c r="F18" s="3">
        <v>1724</v>
      </c>
      <c r="G18" s="14"/>
      <c r="H18" s="3">
        <f>1026+397</f>
        <v>1423</v>
      </c>
      <c r="I18" s="18">
        <v>1499.4518900000003</v>
      </c>
      <c r="J18" s="18">
        <v>1498.9521699999996</v>
      </c>
      <c r="K18" s="18">
        <v>1651.7710050759679</v>
      </c>
      <c r="L18" s="18">
        <v>1788.5583998472728</v>
      </c>
      <c r="M18" s="3"/>
    </row>
    <row r="19" spans="1:13" x14ac:dyDescent="0.25">
      <c r="A19" t="s">
        <v>16</v>
      </c>
      <c r="B19" s="4">
        <f>SUM(B8:B18)</f>
        <v>45342</v>
      </c>
      <c r="C19" s="4">
        <f t="shared" ref="C19:F19" si="0">SUM(C8:C18)</f>
        <v>46986</v>
      </c>
      <c r="D19" s="4">
        <f t="shared" si="0"/>
        <v>51394</v>
      </c>
      <c r="E19" s="4">
        <f t="shared" si="0"/>
        <v>43086</v>
      </c>
      <c r="F19" s="4">
        <f t="shared" si="0"/>
        <v>49506</v>
      </c>
      <c r="G19" s="14"/>
      <c r="H19" s="4">
        <f t="shared" ref="H19:L19" si="1">SUM(H8:H18)</f>
        <v>49798</v>
      </c>
      <c r="I19" s="19">
        <f t="shared" si="1"/>
        <v>52759.165570000012</v>
      </c>
      <c r="J19" s="19">
        <f t="shared" si="1"/>
        <v>54233.382587032589</v>
      </c>
      <c r="K19" s="19">
        <f t="shared" si="1"/>
        <v>50730.764734376105</v>
      </c>
      <c r="L19" s="19">
        <f t="shared" si="1"/>
        <v>56923.999162525244</v>
      </c>
      <c r="M19" s="3"/>
    </row>
    <row r="20" spans="1:13" x14ac:dyDescent="0.25">
      <c r="A20" s="1" t="s">
        <v>17</v>
      </c>
      <c r="B20" s="3">
        <f>13374+471</f>
        <v>13845</v>
      </c>
      <c r="C20" s="3">
        <f>14433+2395</f>
        <v>16828</v>
      </c>
      <c r="D20" s="3">
        <v>15685</v>
      </c>
      <c r="E20" s="3">
        <v>16712</v>
      </c>
      <c r="F20" s="3">
        <v>17094</v>
      </c>
      <c r="G20" s="14"/>
      <c r="H20" s="3">
        <v>17735</v>
      </c>
      <c r="I20" s="18">
        <v>17927.388200000001</v>
      </c>
      <c r="J20" s="18">
        <v>18225.575989999998</v>
      </c>
      <c r="K20" s="18">
        <v>19243.652284032931</v>
      </c>
      <c r="L20" s="18">
        <v>20018.589183706135</v>
      </c>
      <c r="M20" s="3"/>
    </row>
    <row r="21" spans="1:13" x14ac:dyDescent="0.25">
      <c r="A21" s="1" t="s">
        <v>18</v>
      </c>
      <c r="B21" s="3">
        <v>16498</v>
      </c>
      <c r="C21" s="3">
        <v>16857</v>
      </c>
      <c r="D21" s="3">
        <v>18928</v>
      </c>
      <c r="E21" s="3">
        <v>16081</v>
      </c>
      <c r="F21" s="3">
        <v>15428</v>
      </c>
      <c r="G21" s="14"/>
      <c r="H21" s="3">
        <v>14292</v>
      </c>
      <c r="I21" s="18">
        <v>16131.631230000001</v>
      </c>
      <c r="J21" s="18">
        <v>14138.292589999999</v>
      </c>
      <c r="K21" s="18">
        <v>14376.420766001433</v>
      </c>
      <c r="L21" s="18">
        <v>14859.292196240494</v>
      </c>
      <c r="M21" s="3"/>
    </row>
    <row r="22" spans="1:13" x14ac:dyDescent="0.25">
      <c r="A22" s="1" t="s">
        <v>19</v>
      </c>
      <c r="B22" s="3">
        <v>8192</v>
      </c>
      <c r="C22" s="3">
        <v>8706</v>
      </c>
      <c r="D22" s="3">
        <v>8425</v>
      </c>
      <c r="E22" s="3">
        <v>7280</v>
      </c>
      <c r="F22" s="3">
        <v>7708</v>
      </c>
      <c r="G22" s="14"/>
      <c r="H22" s="3">
        <v>8595</v>
      </c>
      <c r="I22" s="18">
        <v>8594.7939999999999</v>
      </c>
      <c r="J22" s="18">
        <v>9960.92821</v>
      </c>
      <c r="K22" s="18">
        <v>10922.513611</v>
      </c>
      <c r="L22" s="18">
        <v>11347.692196458145</v>
      </c>
      <c r="M22" s="3"/>
    </row>
    <row r="23" spans="1:13" x14ac:dyDescent="0.25">
      <c r="A23" s="1" t="s">
        <v>20</v>
      </c>
      <c r="B23" s="3">
        <v>703</v>
      </c>
      <c r="C23" s="3">
        <v>983</v>
      </c>
      <c r="D23" s="3">
        <v>899</v>
      </c>
      <c r="E23" s="3">
        <v>852</v>
      </c>
      <c r="F23" s="3">
        <v>777</v>
      </c>
      <c r="G23" s="14"/>
      <c r="H23" s="3">
        <v>864</v>
      </c>
      <c r="I23" s="18">
        <v>863.81399999999996</v>
      </c>
      <c r="J23" s="18">
        <v>895.57858999999996</v>
      </c>
      <c r="K23" s="18">
        <v>874.35248074497713</v>
      </c>
      <c r="L23" s="18">
        <v>842.54462668194321</v>
      </c>
      <c r="M23" s="3"/>
    </row>
    <row r="24" spans="1:13" x14ac:dyDescent="0.25">
      <c r="A24" s="1" t="s">
        <v>21</v>
      </c>
      <c r="B24" s="3">
        <v>0</v>
      </c>
      <c r="C24" s="3">
        <v>0</v>
      </c>
      <c r="D24" s="3">
        <v>0</v>
      </c>
      <c r="E24" s="3">
        <v>0</v>
      </c>
      <c r="F24" s="3">
        <v>22</v>
      </c>
      <c r="G24" s="14"/>
      <c r="H24" s="3">
        <v>0</v>
      </c>
      <c r="I24" s="18">
        <v>0</v>
      </c>
      <c r="J24" s="18">
        <v>0</v>
      </c>
      <c r="K24" s="18">
        <v>0</v>
      </c>
      <c r="L24" s="18">
        <v>0</v>
      </c>
      <c r="M24" s="3"/>
    </row>
    <row r="25" spans="1:13" x14ac:dyDescent="0.25">
      <c r="A25" s="1" t="s">
        <v>22</v>
      </c>
      <c r="B25" s="3">
        <v>432</v>
      </c>
      <c r="C25" s="3">
        <v>738</v>
      </c>
      <c r="D25" s="3">
        <v>584</v>
      </c>
      <c r="E25" s="3">
        <v>508</v>
      </c>
      <c r="F25" s="3">
        <v>793</v>
      </c>
      <c r="G25" s="14"/>
      <c r="H25" s="3">
        <v>782</v>
      </c>
      <c r="I25" s="18">
        <v>750.90821000000005</v>
      </c>
      <c r="J25" s="18">
        <v>770.43038999999999</v>
      </c>
      <c r="K25" s="18">
        <v>788.3927196818471</v>
      </c>
      <c r="L25" s="18">
        <v>808.10253767389327</v>
      </c>
      <c r="M25" s="3"/>
    </row>
    <row r="26" spans="1:13" x14ac:dyDescent="0.25">
      <c r="A26" s="2" t="s">
        <v>23</v>
      </c>
      <c r="B26" s="4">
        <f>SUM(B20:B25)</f>
        <v>39670</v>
      </c>
      <c r="C26" s="4">
        <f t="shared" ref="C26:F26" si="2">SUM(C20:C25)</f>
        <v>44112</v>
      </c>
      <c r="D26" s="4">
        <f t="shared" si="2"/>
        <v>44521</v>
      </c>
      <c r="E26" s="4">
        <f t="shared" si="2"/>
        <v>41433</v>
      </c>
      <c r="F26" s="4">
        <f t="shared" si="2"/>
        <v>41822</v>
      </c>
      <c r="G26" s="14"/>
      <c r="H26" s="4">
        <f t="shared" ref="H26:L26" si="3">SUM(H20:H25)</f>
        <v>42268</v>
      </c>
      <c r="I26" s="19">
        <f t="shared" ref="I26" si="4">SUM(I20:I25)</f>
        <v>44268.535640000002</v>
      </c>
      <c r="J26" s="19">
        <f t="shared" si="3"/>
        <v>43990.805769999992</v>
      </c>
      <c r="K26" s="19">
        <f t="shared" si="3"/>
        <v>46205.331861461193</v>
      </c>
      <c r="L26" s="19">
        <f t="shared" si="3"/>
        <v>47876.220740760604</v>
      </c>
      <c r="M26" s="3"/>
    </row>
    <row r="27" spans="1:13" ht="15.75" thickBot="1" x14ac:dyDescent="0.3">
      <c r="A27" s="2" t="s">
        <v>24</v>
      </c>
      <c r="B27" s="5">
        <f>B19-B26</f>
        <v>5672</v>
      </c>
      <c r="C27" s="5">
        <f t="shared" ref="C27:F27" si="5">C19-C26</f>
        <v>2874</v>
      </c>
      <c r="D27" s="5">
        <f t="shared" si="5"/>
        <v>6873</v>
      </c>
      <c r="E27" s="5">
        <f t="shared" si="5"/>
        <v>1653</v>
      </c>
      <c r="F27" s="5">
        <f t="shared" si="5"/>
        <v>7684</v>
      </c>
      <c r="G27" s="14"/>
      <c r="H27" s="5">
        <f t="shared" ref="H27:L27" si="6">H19-H26</f>
        <v>7530</v>
      </c>
      <c r="I27" s="20">
        <f t="shared" ref="I27" si="7">I19-I26</f>
        <v>8490.6299300000101</v>
      </c>
      <c r="J27" s="20">
        <f t="shared" si="6"/>
        <v>10242.576817032597</v>
      </c>
      <c r="K27" s="20">
        <f t="shared" si="6"/>
        <v>4525.4328729149129</v>
      </c>
      <c r="L27" s="20">
        <f t="shared" si="6"/>
        <v>9047.7784217646404</v>
      </c>
      <c r="M27" s="3"/>
    </row>
    <row r="28" spans="1:13" ht="15.75" thickTop="1" x14ac:dyDescent="0.25">
      <c r="B28" s="3"/>
      <c r="C28" s="3"/>
      <c r="D28" s="3"/>
      <c r="E28" s="3"/>
      <c r="F28" s="3"/>
      <c r="G28" s="14"/>
      <c r="H28" s="3"/>
      <c r="I28" s="18"/>
      <c r="J28" s="18"/>
      <c r="K28" s="18"/>
      <c r="L28" s="18"/>
      <c r="M28" s="3"/>
    </row>
    <row r="29" spans="1:13" x14ac:dyDescent="0.25">
      <c r="A29" t="s">
        <v>70</v>
      </c>
      <c r="B29" s="3"/>
      <c r="C29" s="3"/>
      <c r="D29" s="3"/>
      <c r="E29" s="3"/>
      <c r="F29" s="3"/>
      <c r="G29" s="14"/>
      <c r="H29" s="3"/>
      <c r="I29" s="18"/>
      <c r="J29" s="18"/>
      <c r="K29" s="18"/>
      <c r="L29" s="18"/>
      <c r="M29" s="3"/>
    </row>
    <row r="30" spans="1:13" x14ac:dyDescent="0.25">
      <c r="G30" s="12"/>
      <c r="I30" s="16"/>
      <c r="J30" s="16"/>
      <c r="K30" s="16"/>
      <c r="L30" s="16"/>
    </row>
    <row r="31" spans="1:13" x14ac:dyDescent="0.25">
      <c r="A31" s="8" t="s">
        <v>29</v>
      </c>
      <c r="B31" s="9"/>
      <c r="C31" s="9"/>
      <c r="D31" s="9"/>
      <c r="E31" s="9"/>
      <c r="F31" s="9"/>
      <c r="G31" s="9"/>
      <c r="H31" s="9"/>
      <c r="I31" s="21"/>
      <c r="J31" s="21"/>
      <c r="K31" s="21"/>
      <c r="L31" s="21"/>
      <c r="M31" s="9"/>
    </row>
    <row r="32" spans="1:13" x14ac:dyDescent="0.25">
      <c r="G32" s="12"/>
      <c r="I32" s="16"/>
      <c r="J32" s="16"/>
      <c r="K32" s="16"/>
      <c r="L32" s="16"/>
    </row>
    <row r="33" spans="1:17" x14ac:dyDescent="0.25">
      <c r="A33" s="6" t="s">
        <v>30</v>
      </c>
      <c r="G33" s="12"/>
      <c r="H33" s="6" t="s">
        <v>88</v>
      </c>
      <c r="I33" s="22"/>
      <c r="J33" s="16"/>
      <c r="K33" s="16"/>
      <c r="L33" s="16"/>
    </row>
    <row r="34" spans="1:17" x14ac:dyDescent="0.25">
      <c r="G34" s="12"/>
      <c r="I34" s="16"/>
      <c r="J34" s="16"/>
      <c r="K34" s="16"/>
      <c r="L34" s="16"/>
    </row>
    <row r="35" spans="1:17" x14ac:dyDescent="0.25">
      <c r="B35" s="7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13"/>
      <c r="H35" s="7" t="s">
        <v>25</v>
      </c>
      <c r="I35" s="17" t="s">
        <v>71</v>
      </c>
      <c r="J35" s="17" t="s">
        <v>26</v>
      </c>
      <c r="K35" s="17" t="s">
        <v>27</v>
      </c>
      <c r="L35" s="17" t="s">
        <v>28</v>
      </c>
    </row>
    <row r="36" spans="1:17" x14ac:dyDescent="0.25">
      <c r="A36" s="1" t="s">
        <v>39</v>
      </c>
      <c r="B36" s="3">
        <v>13181</v>
      </c>
      <c r="C36" s="3">
        <v>13840</v>
      </c>
      <c r="D36" s="3">
        <v>11272</v>
      </c>
      <c r="E36" s="3">
        <v>9576</v>
      </c>
      <c r="F36" s="3">
        <v>12173</v>
      </c>
      <c r="G36" s="14"/>
      <c r="H36" s="3">
        <v>4996</v>
      </c>
      <c r="I36" s="18">
        <v>7052.0832240438831</v>
      </c>
      <c r="J36" s="18">
        <v>8782</v>
      </c>
      <c r="K36" s="18">
        <v>11480</v>
      </c>
      <c r="L36" s="18">
        <v>14493</v>
      </c>
      <c r="O36" s="3"/>
      <c r="P36" s="3"/>
      <c r="Q36" s="3"/>
    </row>
    <row r="37" spans="1:17" x14ac:dyDescent="0.25">
      <c r="A37" s="1" t="s">
        <v>40</v>
      </c>
      <c r="B37" s="3">
        <v>4751</v>
      </c>
      <c r="C37" s="3">
        <v>4581</v>
      </c>
      <c r="D37" s="3">
        <v>3652</v>
      </c>
      <c r="E37" s="3">
        <v>3899</v>
      </c>
      <c r="F37" s="3">
        <v>4377</v>
      </c>
      <c r="G37" s="14"/>
      <c r="H37" s="3">
        <v>4108</v>
      </c>
      <c r="I37" s="18">
        <v>4573.4785574100051</v>
      </c>
      <c r="J37" s="18">
        <v>4342</v>
      </c>
      <c r="K37" s="18">
        <v>4508</v>
      </c>
      <c r="L37" s="18">
        <v>4684</v>
      </c>
      <c r="O37" s="3"/>
      <c r="P37" s="3"/>
      <c r="Q37" s="3"/>
    </row>
    <row r="38" spans="1:17" x14ac:dyDescent="0.25">
      <c r="A38" s="1" t="s">
        <v>41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14"/>
      <c r="H38" s="3">
        <v>0</v>
      </c>
      <c r="I38" s="18">
        <v>0</v>
      </c>
      <c r="J38" s="18">
        <v>0</v>
      </c>
      <c r="K38" s="18">
        <v>0</v>
      </c>
      <c r="L38" s="18">
        <v>0</v>
      </c>
      <c r="O38" s="3"/>
      <c r="P38" s="3"/>
      <c r="Q38" s="3"/>
    </row>
    <row r="39" spans="1:17" x14ac:dyDescent="0.25">
      <c r="A39" s="1" t="s">
        <v>42</v>
      </c>
      <c r="B39" s="3">
        <v>0</v>
      </c>
      <c r="C39" s="3">
        <v>0</v>
      </c>
      <c r="D39" s="3">
        <v>0</v>
      </c>
      <c r="E39" s="3">
        <v>17</v>
      </c>
      <c r="F39" s="3">
        <v>21</v>
      </c>
      <c r="G39" s="14"/>
      <c r="H39" s="3">
        <v>0</v>
      </c>
      <c r="I39" s="18">
        <v>0</v>
      </c>
      <c r="J39" s="18">
        <v>0</v>
      </c>
      <c r="K39" s="18">
        <v>0</v>
      </c>
      <c r="L39" s="18">
        <v>0</v>
      </c>
      <c r="O39" s="3"/>
      <c r="P39" s="3"/>
      <c r="Q39" s="3"/>
    </row>
    <row r="40" spans="1:17" x14ac:dyDescent="0.25">
      <c r="A40" s="1" t="s">
        <v>43</v>
      </c>
      <c r="B40" s="3">
        <v>1236</v>
      </c>
      <c r="C40" s="3">
        <v>1053</v>
      </c>
      <c r="D40" s="3">
        <v>1053</v>
      </c>
      <c r="E40" s="3">
        <v>991</v>
      </c>
      <c r="F40" s="3">
        <v>991</v>
      </c>
      <c r="G40" s="14"/>
      <c r="H40" s="3">
        <v>991</v>
      </c>
      <c r="I40" s="18">
        <v>990.5</v>
      </c>
      <c r="J40" s="18">
        <v>991</v>
      </c>
      <c r="K40" s="18">
        <v>991</v>
      </c>
      <c r="L40" s="18">
        <v>991</v>
      </c>
      <c r="O40" s="3"/>
      <c r="P40" s="3"/>
      <c r="Q40" s="3"/>
    </row>
    <row r="41" spans="1:17" x14ac:dyDescent="0.25">
      <c r="A41" s="1" t="s">
        <v>44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14"/>
      <c r="H41" s="3">
        <v>0</v>
      </c>
      <c r="I41" s="18">
        <v>0</v>
      </c>
      <c r="J41" s="18">
        <v>0</v>
      </c>
      <c r="K41" s="18">
        <v>0</v>
      </c>
      <c r="L41" s="18">
        <v>0</v>
      </c>
      <c r="O41" s="3"/>
      <c r="P41" s="3"/>
      <c r="Q41" s="3"/>
    </row>
    <row r="42" spans="1:17" x14ac:dyDescent="0.25">
      <c r="A42" s="1" t="s">
        <v>45</v>
      </c>
      <c r="B42" s="3">
        <v>288</v>
      </c>
      <c r="C42" s="3">
        <v>262</v>
      </c>
      <c r="D42" s="3">
        <v>194</v>
      </c>
      <c r="E42" s="3">
        <v>165</v>
      </c>
      <c r="F42" s="3">
        <v>306</v>
      </c>
      <c r="G42" s="14"/>
      <c r="H42" s="3">
        <v>182</v>
      </c>
      <c r="I42" s="18">
        <v>327.02229000000005</v>
      </c>
      <c r="J42" s="18">
        <v>327</v>
      </c>
      <c r="K42" s="18">
        <v>327</v>
      </c>
      <c r="L42" s="18">
        <v>327</v>
      </c>
      <c r="O42" s="3"/>
      <c r="P42" s="3"/>
      <c r="Q42" s="3"/>
    </row>
    <row r="43" spans="1:17" x14ac:dyDescent="0.25">
      <c r="A43" s="1" t="s">
        <v>46</v>
      </c>
      <c r="B43" s="3">
        <v>120</v>
      </c>
      <c r="C43" s="3">
        <v>126</v>
      </c>
      <c r="D43" s="3">
        <v>127</v>
      </c>
      <c r="E43" s="3">
        <v>127</v>
      </c>
      <c r="F43" s="3">
        <v>122</v>
      </c>
      <c r="G43" s="14"/>
      <c r="H43" s="3">
        <v>127</v>
      </c>
      <c r="I43" s="18">
        <v>122.00779</v>
      </c>
      <c r="J43" s="18">
        <v>122</v>
      </c>
      <c r="K43" s="18">
        <v>122</v>
      </c>
      <c r="L43" s="18">
        <v>122</v>
      </c>
      <c r="O43" s="3"/>
      <c r="P43" s="3"/>
      <c r="Q43" s="3"/>
    </row>
    <row r="44" spans="1:17" x14ac:dyDescent="0.25">
      <c r="A44" s="1" t="s">
        <v>47</v>
      </c>
      <c r="B44" s="3">
        <v>538</v>
      </c>
      <c r="C44" s="3">
        <v>0</v>
      </c>
      <c r="D44" s="3">
        <v>0</v>
      </c>
      <c r="E44" s="3">
        <v>0</v>
      </c>
      <c r="F44" s="3">
        <v>0</v>
      </c>
      <c r="G44" s="14"/>
      <c r="H44" s="3">
        <v>0</v>
      </c>
      <c r="I44" s="18">
        <v>0</v>
      </c>
      <c r="J44" s="18">
        <v>0</v>
      </c>
      <c r="K44" s="18">
        <v>0</v>
      </c>
      <c r="L44" s="18">
        <v>0</v>
      </c>
      <c r="O44" s="3"/>
      <c r="P44" s="3"/>
      <c r="Q44" s="3"/>
    </row>
    <row r="45" spans="1:17" x14ac:dyDescent="0.25">
      <c r="A45" s="1" t="s">
        <v>48</v>
      </c>
      <c r="B45" s="3">
        <v>320188</v>
      </c>
      <c r="C45" s="3">
        <v>315171</v>
      </c>
      <c r="D45" s="3">
        <v>489047</v>
      </c>
      <c r="E45" s="3">
        <v>422110</v>
      </c>
      <c r="F45" s="3">
        <v>438128</v>
      </c>
      <c r="G45" s="14"/>
      <c r="H45" s="3">
        <v>476258</v>
      </c>
      <c r="I45" s="18">
        <v>455061.84997999988</v>
      </c>
      <c r="J45" s="18">
        <v>495006</v>
      </c>
      <c r="K45" s="18">
        <v>501078</v>
      </c>
      <c r="L45" s="18">
        <v>508036</v>
      </c>
      <c r="O45" s="3"/>
      <c r="P45" s="3"/>
      <c r="Q45" s="3"/>
    </row>
    <row r="46" spans="1:17" x14ac:dyDescent="0.25">
      <c r="A46" s="1" t="s">
        <v>49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14"/>
      <c r="H46" s="3">
        <v>0</v>
      </c>
      <c r="I46" s="18">
        <v>0</v>
      </c>
      <c r="J46" s="18">
        <v>0</v>
      </c>
      <c r="K46" s="18">
        <v>0</v>
      </c>
      <c r="L46" s="18">
        <v>0</v>
      </c>
      <c r="O46" s="3"/>
      <c r="P46" s="3"/>
      <c r="Q46" s="3"/>
    </row>
    <row r="47" spans="1:17" x14ac:dyDescent="0.25">
      <c r="A47" s="1" t="s">
        <v>50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14"/>
      <c r="H47" s="3">
        <v>0</v>
      </c>
      <c r="I47" s="18">
        <v>0</v>
      </c>
      <c r="J47" s="18">
        <v>0</v>
      </c>
      <c r="K47" s="18">
        <v>0</v>
      </c>
      <c r="L47" s="18">
        <v>0</v>
      </c>
      <c r="O47" s="3"/>
      <c r="P47" s="3"/>
      <c r="Q47" s="3"/>
    </row>
    <row r="48" spans="1:17" x14ac:dyDescent="0.25">
      <c r="A48" s="1" t="s">
        <v>51</v>
      </c>
      <c r="B48" s="3">
        <v>0</v>
      </c>
      <c r="C48" s="3">
        <v>56</v>
      </c>
      <c r="D48" s="3">
        <v>42</v>
      </c>
      <c r="E48" s="3">
        <v>0</v>
      </c>
      <c r="F48" s="3">
        <v>0</v>
      </c>
      <c r="G48" s="14"/>
      <c r="H48" s="3">
        <v>0</v>
      </c>
      <c r="I48" s="18">
        <v>0</v>
      </c>
      <c r="J48" s="18">
        <v>0</v>
      </c>
      <c r="K48" s="18">
        <v>0</v>
      </c>
      <c r="L48" s="18">
        <v>0</v>
      </c>
      <c r="O48" s="3"/>
      <c r="P48" s="3"/>
      <c r="Q48" s="3"/>
    </row>
    <row r="49" spans="1:17" x14ac:dyDescent="0.25">
      <c r="A49" s="2" t="s">
        <v>31</v>
      </c>
      <c r="B49" s="4">
        <f>SUM(B36:B48)-2</f>
        <v>340300</v>
      </c>
      <c r="C49" s="4">
        <f>SUM(C36:C48)-2</f>
        <v>335087</v>
      </c>
      <c r="D49" s="4">
        <f>SUM(D36:D48)-1</f>
        <v>505386</v>
      </c>
      <c r="E49" s="4">
        <f t="shared" ref="E49" si="8">SUM(E36:E48)</f>
        <v>436885</v>
      </c>
      <c r="F49" s="4">
        <f>SUM(F36:F48)-2</f>
        <v>456116</v>
      </c>
      <c r="G49" s="14"/>
      <c r="H49" s="4">
        <f>SUM(H36:H48)</f>
        <v>486662</v>
      </c>
      <c r="I49" s="19">
        <f>SUM(I36:I48)</f>
        <v>468126.94184145378</v>
      </c>
      <c r="J49" s="19">
        <f t="shared" ref="J49:L49" si="9">SUM(J36:J48)</f>
        <v>509570</v>
      </c>
      <c r="K49" s="19">
        <f t="shared" si="9"/>
        <v>518506</v>
      </c>
      <c r="L49" s="19">
        <f t="shared" si="9"/>
        <v>528653</v>
      </c>
      <c r="O49" s="3"/>
      <c r="P49" s="3"/>
      <c r="Q49" s="3"/>
    </row>
    <row r="50" spans="1:17" x14ac:dyDescent="0.25">
      <c r="A50" s="1" t="s">
        <v>52</v>
      </c>
      <c r="B50" s="3">
        <v>3746</v>
      </c>
      <c r="C50" s="3">
        <v>2982</v>
      </c>
      <c r="D50" s="3">
        <v>5183</v>
      </c>
      <c r="E50" s="3">
        <v>6338</v>
      </c>
      <c r="F50" s="3">
        <v>3856</v>
      </c>
      <c r="G50" s="14"/>
      <c r="H50" s="3">
        <v>3769</v>
      </c>
      <c r="I50" s="18">
        <v>4028.6078900000007</v>
      </c>
      <c r="J50" s="18">
        <v>3727</v>
      </c>
      <c r="K50" s="18">
        <v>3791</v>
      </c>
      <c r="L50" s="18">
        <v>3917</v>
      </c>
      <c r="O50" s="3"/>
      <c r="P50" s="3"/>
      <c r="Q50" s="3"/>
    </row>
    <row r="51" spans="1:17" x14ac:dyDescent="0.25">
      <c r="A51" s="1" t="s">
        <v>53</v>
      </c>
      <c r="B51" s="3">
        <v>1028</v>
      </c>
      <c r="C51" s="3">
        <v>1434</v>
      </c>
      <c r="D51" s="3">
        <v>797</v>
      </c>
      <c r="E51" s="3">
        <v>813</v>
      </c>
      <c r="F51" s="3">
        <v>599</v>
      </c>
      <c r="G51" s="14"/>
      <c r="H51" s="3">
        <v>760</v>
      </c>
      <c r="I51" s="18">
        <v>493.375600000004</v>
      </c>
      <c r="J51" s="18">
        <v>493</v>
      </c>
      <c r="K51" s="18">
        <v>493</v>
      </c>
      <c r="L51" s="18">
        <v>493</v>
      </c>
      <c r="O51" s="3"/>
      <c r="P51" s="3"/>
      <c r="Q51" s="3"/>
    </row>
    <row r="52" spans="1:17" x14ac:dyDescent="0.25">
      <c r="A52" s="1" t="s">
        <v>54</v>
      </c>
      <c r="B52" s="3">
        <v>2783</v>
      </c>
      <c r="C52" s="3">
        <v>3244</v>
      </c>
      <c r="D52" s="3">
        <v>3486</v>
      </c>
      <c r="E52" s="3">
        <v>3520</v>
      </c>
      <c r="F52" s="3">
        <v>3820</v>
      </c>
      <c r="G52" s="14"/>
      <c r="H52" s="3">
        <v>4163</v>
      </c>
      <c r="I52" s="18">
        <v>3820.2200700000003</v>
      </c>
      <c r="J52" s="18">
        <v>4274</v>
      </c>
      <c r="K52" s="18">
        <v>4730</v>
      </c>
      <c r="L52" s="18">
        <v>5203</v>
      </c>
      <c r="O52" s="3"/>
      <c r="P52" s="3"/>
      <c r="Q52" s="3"/>
    </row>
    <row r="53" spans="1:17" x14ac:dyDescent="0.25">
      <c r="A53" s="1" t="s">
        <v>55</v>
      </c>
      <c r="B53" s="3">
        <v>2294</v>
      </c>
      <c r="C53" s="3">
        <v>2340</v>
      </c>
      <c r="D53" s="3">
        <v>2384</v>
      </c>
      <c r="E53" s="3">
        <v>5107</v>
      </c>
      <c r="F53" s="3">
        <v>1464</v>
      </c>
      <c r="G53" s="14"/>
      <c r="H53" s="3">
        <v>1431</v>
      </c>
      <c r="I53" s="18">
        <v>1431.3484834388892</v>
      </c>
      <c r="J53" s="18">
        <v>1364</v>
      </c>
      <c r="K53" s="18">
        <v>1121</v>
      </c>
      <c r="L53" s="18">
        <v>1120</v>
      </c>
      <c r="O53" s="3"/>
      <c r="P53" s="3"/>
      <c r="Q53" s="3"/>
    </row>
    <row r="54" spans="1:17" x14ac:dyDescent="0.25">
      <c r="A54" s="1" t="s">
        <v>56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14"/>
      <c r="H54" s="3">
        <v>0</v>
      </c>
      <c r="I54" s="18">
        <v>0</v>
      </c>
      <c r="J54" s="18">
        <v>0</v>
      </c>
      <c r="K54" s="18">
        <v>0</v>
      </c>
      <c r="L54" s="18">
        <v>0</v>
      </c>
      <c r="O54" s="3"/>
      <c r="P54" s="3"/>
      <c r="Q54" s="3"/>
    </row>
    <row r="55" spans="1:17" x14ac:dyDescent="0.25">
      <c r="A55" s="1" t="s">
        <v>57</v>
      </c>
      <c r="B55" s="3">
        <v>353</v>
      </c>
      <c r="C55" s="3">
        <v>477</v>
      </c>
      <c r="D55" s="3">
        <v>503</v>
      </c>
      <c r="E55" s="3">
        <v>923</v>
      </c>
      <c r="F55" s="3">
        <v>919</v>
      </c>
      <c r="G55" s="14"/>
      <c r="H55" s="3">
        <v>1017</v>
      </c>
      <c r="I55" s="18">
        <v>1360.0844414538678</v>
      </c>
      <c r="J55" s="18">
        <v>1476</v>
      </c>
      <c r="K55" s="18">
        <v>1593</v>
      </c>
      <c r="L55" s="18">
        <v>1714</v>
      </c>
      <c r="O55" s="3"/>
      <c r="P55" s="3"/>
      <c r="Q55" s="3"/>
    </row>
    <row r="56" spans="1:17" x14ac:dyDescent="0.25">
      <c r="A56" s="1" t="s">
        <v>58</v>
      </c>
      <c r="B56" s="3">
        <v>11098</v>
      </c>
      <c r="C56" s="3">
        <v>10538</v>
      </c>
      <c r="D56" s="3">
        <v>9004</v>
      </c>
      <c r="E56" s="3">
        <v>7592</v>
      </c>
      <c r="F56" s="3">
        <v>10567</v>
      </c>
      <c r="G56" s="14"/>
      <c r="H56" s="3">
        <v>13611</v>
      </c>
      <c r="I56" s="18">
        <v>13611.36563656111</v>
      </c>
      <c r="J56" s="18">
        <v>14997</v>
      </c>
      <c r="K56" s="18">
        <v>15283</v>
      </c>
      <c r="L56" s="18">
        <v>15663</v>
      </c>
      <c r="O56" s="3"/>
      <c r="P56" s="3"/>
      <c r="Q56" s="3"/>
    </row>
    <row r="57" spans="1:17" x14ac:dyDescent="0.25">
      <c r="A57" s="1" t="s">
        <v>59</v>
      </c>
      <c r="B57" s="3">
        <v>471</v>
      </c>
      <c r="C57" s="3">
        <v>2395</v>
      </c>
      <c r="D57" s="3">
        <v>0</v>
      </c>
      <c r="E57" s="3">
        <v>0</v>
      </c>
      <c r="F57" s="3">
        <v>0</v>
      </c>
      <c r="G57" s="14"/>
      <c r="H57" s="3">
        <v>0</v>
      </c>
      <c r="I57" s="18">
        <v>0</v>
      </c>
      <c r="J57" s="18">
        <v>0</v>
      </c>
      <c r="K57" s="18">
        <v>0</v>
      </c>
      <c r="L57" s="18">
        <v>0</v>
      </c>
      <c r="O57" s="3"/>
      <c r="P57" s="3"/>
      <c r="Q57" s="3"/>
    </row>
    <row r="58" spans="1:17" x14ac:dyDescent="0.25">
      <c r="A58" s="2" t="s">
        <v>32</v>
      </c>
      <c r="B58" s="4">
        <f>SUM(B50:B57)</f>
        <v>21773</v>
      </c>
      <c r="C58" s="4">
        <f t="shared" ref="C58:F58" si="10">SUM(C50:C57)</f>
        <v>23410</v>
      </c>
      <c r="D58" s="4">
        <f t="shared" si="10"/>
        <v>21357</v>
      </c>
      <c r="E58" s="4">
        <f t="shared" si="10"/>
        <v>24293</v>
      </c>
      <c r="F58" s="4">
        <f t="shared" si="10"/>
        <v>21225</v>
      </c>
      <c r="G58" s="14"/>
      <c r="H58" s="4">
        <f t="shared" ref="H58:L58" si="11">SUM(H50:H57)</f>
        <v>24751</v>
      </c>
      <c r="I58" s="19">
        <f t="shared" si="11"/>
        <v>24745.002121453872</v>
      </c>
      <c r="J58" s="19">
        <f t="shared" si="11"/>
        <v>26331</v>
      </c>
      <c r="K58" s="19">
        <f t="shared" si="11"/>
        <v>27011</v>
      </c>
      <c r="L58" s="19">
        <f t="shared" si="11"/>
        <v>28110</v>
      </c>
      <c r="O58" s="3"/>
      <c r="P58" s="3"/>
      <c r="Q58" s="3"/>
    </row>
    <row r="59" spans="1:17" x14ac:dyDescent="0.25">
      <c r="A59" s="1" t="s">
        <v>35</v>
      </c>
      <c r="B59" s="3">
        <v>166611</v>
      </c>
      <c r="C59" s="3">
        <v>157899</v>
      </c>
      <c r="D59" s="3">
        <v>322733</v>
      </c>
      <c r="E59" s="3">
        <v>287606</v>
      </c>
      <c r="F59" s="3">
        <v>303281</v>
      </c>
      <c r="G59" s="14"/>
      <c r="H59" s="3">
        <v>323786</v>
      </c>
      <c r="I59" s="18">
        <f>'[1]Balance Sheet'!$I$44+'[1]Balance Sheet'!$I$45</f>
        <v>303280.64112000004</v>
      </c>
      <c r="J59" s="18">
        <v>336333</v>
      </c>
      <c r="K59" s="18">
        <v>342292</v>
      </c>
      <c r="L59" s="18">
        <v>344761</v>
      </c>
      <c r="O59" s="3"/>
      <c r="P59" s="3"/>
      <c r="Q59" s="3"/>
    </row>
    <row r="60" spans="1:17" x14ac:dyDescent="0.25">
      <c r="A60" s="1" t="s">
        <v>33</v>
      </c>
      <c r="B60" s="3">
        <v>151916</v>
      </c>
      <c r="C60" s="3">
        <v>153779</v>
      </c>
      <c r="D60" s="3">
        <v>161296</v>
      </c>
      <c r="E60" s="3">
        <v>124985</v>
      </c>
      <c r="F60" s="3">
        <v>131611</v>
      </c>
      <c r="G60" s="14"/>
      <c r="H60" s="3">
        <v>138125</v>
      </c>
      <c r="I60" s="18">
        <v>140101.29860000001</v>
      </c>
      <c r="J60" s="18">
        <v>146905</v>
      </c>
      <c r="K60" s="18">
        <v>149202</v>
      </c>
      <c r="L60" s="18">
        <v>155781</v>
      </c>
      <c r="O60" s="3"/>
      <c r="P60" s="3"/>
      <c r="Q60" s="3"/>
    </row>
    <row r="61" spans="1:17" x14ac:dyDescent="0.25">
      <c r="A61" s="2" t="s">
        <v>34</v>
      </c>
      <c r="B61" s="4">
        <f>SUM(B59:B60)</f>
        <v>318527</v>
      </c>
      <c r="C61" s="4">
        <f>SUM(C59:C60)-1</f>
        <v>311677</v>
      </c>
      <c r="D61" s="4">
        <f t="shared" ref="D61" si="12">SUM(D59:D60)</f>
        <v>484029</v>
      </c>
      <c r="E61" s="4">
        <f>SUM(E59:E60)+1</f>
        <v>412592</v>
      </c>
      <c r="F61" s="4">
        <f>SUM(F59:F60)-1</f>
        <v>434891</v>
      </c>
      <c r="G61" s="14"/>
      <c r="H61" s="4">
        <f t="shared" ref="H61:I61" si="13">SUM(H59:H60)</f>
        <v>461911</v>
      </c>
      <c r="I61" s="19">
        <f t="shared" si="13"/>
        <v>443381.93972000002</v>
      </c>
      <c r="J61" s="19">
        <f>SUM(J59:J60)+1</f>
        <v>483239</v>
      </c>
      <c r="K61" s="19">
        <f>SUM(K59:K60)+1</f>
        <v>491495</v>
      </c>
      <c r="L61" s="19">
        <f>SUM(L59:L60)+1</f>
        <v>500543</v>
      </c>
    </row>
    <row r="62" spans="1:17" x14ac:dyDescent="0.25">
      <c r="B62" s="3"/>
      <c r="C62" s="3"/>
      <c r="D62" s="3"/>
      <c r="E62" s="3"/>
      <c r="F62" s="3"/>
      <c r="G62" s="14"/>
      <c r="H62" s="3"/>
      <c r="I62" s="3"/>
      <c r="J62" s="3"/>
      <c r="K62" s="3"/>
      <c r="L62" s="3"/>
    </row>
    <row r="63" spans="1:17" x14ac:dyDescent="0.25">
      <c r="A63" s="10" t="s">
        <v>38</v>
      </c>
      <c r="B63" s="11">
        <f t="shared" ref="B63:F63" si="14">B49-B58-B61</f>
        <v>0</v>
      </c>
      <c r="C63" s="11">
        <f t="shared" si="14"/>
        <v>0</v>
      </c>
      <c r="D63" s="11">
        <f t="shared" si="14"/>
        <v>0</v>
      </c>
      <c r="E63" s="11">
        <f t="shared" si="14"/>
        <v>0</v>
      </c>
      <c r="F63" s="11">
        <f t="shared" si="14"/>
        <v>0</v>
      </c>
      <c r="G63" s="15"/>
      <c r="H63" s="11">
        <f>H49-H58-H61</f>
        <v>0</v>
      </c>
      <c r="I63" s="11">
        <f>I49-I58-I61</f>
        <v>0</v>
      </c>
      <c r="J63" s="11">
        <f t="shared" ref="J63:L63" si="15">J49-J58-J61</f>
        <v>0</v>
      </c>
      <c r="K63" s="11">
        <f t="shared" si="15"/>
        <v>0</v>
      </c>
      <c r="L63" s="11">
        <f t="shared" si="15"/>
        <v>0</v>
      </c>
    </row>
    <row r="64" spans="1:17" x14ac:dyDescent="0.25">
      <c r="B64" s="3"/>
      <c r="C64" s="3"/>
      <c r="D64" s="3"/>
      <c r="E64" s="3"/>
      <c r="F64" s="3"/>
      <c r="G64" s="14"/>
      <c r="H64" s="3"/>
      <c r="I64" s="3"/>
      <c r="J64" s="3"/>
      <c r="K64" s="3"/>
      <c r="L64" s="3"/>
    </row>
    <row r="65" spans="1:25" x14ac:dyDescent="0.25">
      <c r="A65" s="8" t="s">
        <v>61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25" x14ac:dyDescent="0.25">
      <c r="G66" s="12"/>
    </row>
    <row r="67" spans="1:25" x14ac:dyDescent="0.25">
      <c r="A67" s="6" t="s">
        <v>62</v>
      </c>
      <c r="G67" s="12"/>
      <c r="H67" s="6" t="s">
        <v>89</v>
      </c>
      <c r="I67" s="6"/>
    </row>
    <row r="68" spans="1:25" x14ac:dyDescent="0.25">
      <c r="A68" s="6"/>
      <c r="G68" s="12"/>
      <c r="H68" s="6"/>
      <c r="I68" s="6"/>
    </row>
    <row r="69" spans="1:25" x14ac:dyDescent="0.25">
      <c r="A69" s="6"/>
      <c r="B69" s="7" t="s">
        <v>3</v>
      </c>
      <c r="C69" s="7" t="s">
        <v>4</v>
      </c>
      <c r="D69" s="7" t="s">
        <v>5</v>
      </c>
      <c r="E69" s="7" t="s">
        <v>6</v>
      </c>
      <c r="F69" s="7" t="s">
        <v>7</v>
      </c>
      <c r="G69" s="12"/>
      <c r="H69" s="7" t="s">
        <v>25</v>
      </c>
      <c r="I69" s="7" t="s">
        <v>71</v>
      </c>
      <c r="J69" s="17" t="s">
        <v>26</v>
      </c>
      <c r="K69" s="17" t="s">
        <v>27</v>
      </c>
      <c r="L69" s="17" t="s">
        <v>28</v>
      </c>
    </row>
    <row r="70" spans="1:25" x14ac:dyDescent="0.25">
      <c r="A70" t="s">
        <v>63</v>
      </c>
      <c r="B70" s="3">
        <v>3877</v>
      </c>
      <c r="C70" s="3">
        <v>2848</v>
      </c>
      <c r="D70" s="3">
        <v>455</v>
      </c>
      <c r="E70" s="3">
        <v>462</v>
      </c>
      <c r="F70" s="3">
        <v>971</v>
      </c>
      <c r="G70" s="12"/>
      <c r="H70" s="3">
        <v>6975</v>
      </c>
      <c r="I70" s="3">
        <v>5737.0797199999997</v>
      </c>
      <c r="J70" s="18">
        <v>7074</v>
      </c>
      <c r="K70" s="18">
        <v>1817</v>
      </c>
      <c r="L70" s="18">
        <v>6220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t="s">
        <v>64</v>
      </c>
      <c r="B71" s="3">
        <v>3164</v>
      </c>
      <c r="C71" s="3">
        <v>11942</v>
      </c>
      <c r="D71" s="3">
        <v>11532</v>
      </c>
      <c r="E71" s="3">
        <v>9890</v>
      </c>
      <c r="F71" s="3">
        <v>7692</v>
      </c>
      <c r="G71" s="12"/>
      <c r="H71" s="3">
        <v>5947</v>
      </c>
      <c r="I71" s="3">
        <v>11723.38672</v>
      </c>
      <c r="J71" s="18">
        <v>9476</v>
      </c>
      <c r="K71" s="18">
        <v>7907</v>
      </c>
      <c r="L71" s="18">
        <v>8360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5" x14ac:dyDescent="0.25">
      <c r="A72" t="s">
        <v>65</v>
      </c>
      <c r="B72" s="3">
        <v>4458</v>
      </c>
      <c r="C72" s="3">
        <v>1265</v>
      </c>
      <c r="D72" s="3">
        <v>689</v>
      </c>
      <c r="E72" s="3">
        <v>553</v>
      </c>
      <c r="F72" s="3">
        <v>531</v>
      </c>
      <c r="G72" s="12"/>
      <c r="H72" s="3">
        <v>2291</v>
      </c>
      <c r="I72" s="3">
        <v>6343.9202500000001</v>
      </c>
      <c r="J72" s="18">
        <v>326</v>
      </c>
      <c r="K72" s="18">
        <v>661</v>
      </c>
      <c r="L72" s="18">
        <v>739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5" x14ac:dyDescent="0.25">
      <c r="A73" t="s">
        <v>66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12"/>
      <c r="H73" s="3">
        <v>0</v>
      </c>
      <c r="I73" s="3">
        <v>0</v>
      </c>
      <c r="J73" s="18">
        <v>0</v>
      </c>
      <c r="K73" s="18">
        <v>0</v>
      </c>
      <c r="L73" s="18"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5" x14ac:dyDescent="0.25">
      <c r="A74" t="s">
        <v>67</v>
      </c>
      <c r="B74" s="4">
        <f>SUM(B70:B73)</f>
        <v>11499</v>
      </c>
      <c r="C74" s="4">
        <f t="shared" ref="C74:F74" si="16">SUM(C70:C73)</f>
        <v>16055</v>
      </c>
      <c r="D74" s="4">
        <f t="shared" si="16"/>
        <v>12676</v>
      </c>
      <c r="E74" s="4">
        <f t="shared" si="16"/>
        <v>10905</v>
      </c>
      <c r="F74" s="4">
        <f t="shared" si="16"/>
        <v>9194</v>
      </c>
      <c r="G74" s="14"/>
      <c r="H74" s="4">
        <f t="shared" ref="H74:L74" si="17">SUM(H70:H73)</f>
        <v>15213</v>
      </c>
      <c r="I74" s="4">
        <f t="shared" si="17"/>
        <v>23804.386689999999</v>
      </c>
      <c r="J74" s="19">
        <f t="shared" si="17"/>
        <v>16876</v>
      </c>
      <c r="K74" s="19">
        <f t="shared" si="17"/>
        <v>10385</v>
      </c>
      <c r="L74" s="19">
        <f t="shared" si="17"/>
        <v>15319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25" x14ac:dyDescent="0.25">
      <c r="K76" s="25"/>
      <c r="L76" s="25"/>
    </row>
    <row r="77" spans="1:25" outlineLevel="1" x14ac:dyDescent="0.25"/>
    <row r="78" spans="1:25" outlineLevel="1" x14ac:dyDescent="0.25">
      <c r="A78" t="s">
        <v>72</v>
      </c>
      <c r="B78" s="23"/>
      <c r="C78" s="23"/>
      <c r="D78" s="23"/>
      <c r="E78" s="23"/>
      <c r="F78" s="26">
        <f>F90/F91</f>
        <v>-4.3225589549013019E-3</v>
      </c>
      <c r="G78" s="23"/>
      <c r="H78" s="26">
        <f>H90/H91</f>
        <v>-1.2213228602902438E-2</v>
      </c>
      <c r="I78" s="26">
        <f>I90/I91</f>
        <v>-6.1036675410879732E-2</v>
      </c>
      <c r="J78" s="26">
        <f>J90/J91</f>
        <v>3.1434682057232377E-2</v>
      </c>
      <c r="K78" s="26">
        <f>K90/K91</f>
        <v>-1.8245697514369608E-2</v>
      </c>
      <c r="L78" s="26">
        <f>L90/L91</f>
        <v>-4.4252527190249864E-3</v>
      </c>
    </row>
    <row r="79" spans="1:25" outlineLevel="1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25" outlineLevel="1" x14ac:dyDescent="0.25">
      <c r="A80" t="s">
        <v>73</v>
      </c>
      <c r="B80" s="23"/>
      <c r="C80" s="23"/>
      <c r="D80" s="23"/>
      <c r="E80" s="23"/>
      <c r="F80" s="24">
        <f>SUM(F36:F42)/SUM(F50:F54)</f>
        <v>1.8346852859636513</v>
      </c>
      <c r="G80" s="23"/>
      <c r="H80" s="24">
        <f t="shared" ref="H80:L80" si="18">SUM(H36:H42)/SUM(H50:H54)</f>
        <v>1.0152128815568506</v>
      </c>
      <c r="I80" s="24">
        <f t="shared" si="18"/>
        <v>1.3242968384398937</v>
      </c>
      <c r="J80" s="24">
        <f t="shared" si="18"/>
        <v>1.4650030432136336</v>
      </c>
      <c r="K80" s="24">
        <f t="shared" si="18"/>
        <v>1.707548100641342</v>
      </c>
      <c r="L80" s="24">
        <f t="shared" si="18"/>
        <v>1.9095313519053387</v>
      </c>
    </row>
    <row r="81" spans="1:12" outlineLevel="1" x14ac:dyDescent="0.25">
      <c r="A81" t="s">
        <v>74</v>
      </c>
      <c r="B81" s="23"/>
      <c r="C81" s="23"/>
      <c r="D81" s="23"/>
      <c r="E81" s="23"/>
      <c r="F81" s="26">
        <f>F94/SUM(F50:F54)</f>
        <v>0.52202484854707876</v>
      </c>
      <c r="G81" s="23"/>
      <c r="H81" s="26">
        <f>H94/SUM(H50:H54)</f>
        <v>0.34782179195890545</v>
      </c>
      <c r="I81" s="26">
        <f>I94/SUM(I50:I54)</f>
        <v>0.59791031940806327</v>
      </c>
      <c r="J81" s="26">
        <f>J94/SUM(J50:J54)</f>
        <v>0.60316494217894101</v>
      </c>
      <c r="K81" s="26">
        <f>K94/SUM(K50:K54)</f>
        <v>0.64696595954612723</v>
      </c>
      <c r="L81" s="26">
        <f>L94/SUM(L50:L54)</f>
        <v>0.6753936457653964</v>
      </c>
    </row>
    <row r="82" spans="1:12" outlineLevel="1" x14ac:dyDescent="0.2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outlineLevel="1" x14ac:dyDescent="0.25">
      <c r="A83" t="s">
        <v>75</v>
      </c>
      <c r="B83" s="23"/>
      <c r="C83" s="23"/>
      <c r="D83" s="23"/>
      <c r="E83" s="23"/>
      <c r="F83" s="24">
        <f>(F53+F56)/F8</f>
        <v>0.4353852278073318</v>
      </c>
      <c r="G83" s="23"/>
      <c r="H83" s="24">
        <f t="shared" ref="H83:L83" si="19">(H53+H56)/H8</f>
        <v>0.51667639885961603</v>
      </c>
      <c r="I83" s="24">
        <f t="shared" si="19"/>
        <v>0.51245571455160099</v>
      </c>
      <c r="J83" s="24">
        <f t="shared" si="19"/>
        <v>0.53214151333094273</v>
      </c>
      <c r="K83" s="24">
        <f t="shared" si="19"/>
        <v>0.50966305941959411</v>
      </c>
      <c r="L83" s="24">
        <f t="shared" si="19"/>
        <v>0.49764780757939564</v>
      </c>
    </row>
    <row r="84" spans="1:12" outlineLevel="1" x14ac:dyDescent="0.25">
      <c r="A84" t="s">
        <v>76</v>
      </c>
      <c r="B84" s="23"/>
      <c r="C84" s="23"/>
      <c r="D84" s="23"/>
      <c r="E84" s="23"/>
      <c r="F84" s="24">
        <f>(F89+F23)/F8</f>
        <v>8.8444975210798679E-2</v>
      </c>
      <c r="G84" s="23"/>
      <c r="H84" s="24">
        <f t="shared" ref="H84:L84" si="20">(H89+H23)/H8</f>
        <v>7.9980455466630032E-2</v>
      </c>
      <c r="I84" s="24">
        <f t="shared" si="20"/>
        <v>7.9316999833722451E-2</v>
      </c>
      <c r="J84" s="24">
        <f t="shared" si="20"/>
        <v>7.5683301403979761E-2</v>
      </c>
      <c r="K84" s="24">
        <f t="shared" si="20"/>
        <v>6.9543841451806601E-2</v>
      </c>
      <c r="L84" s="24">
        <f t="shared" si="20"/>
        <v>5.8209293708092559E-2</v>
      </c>
    </row>
    <row r="85" spans="1:12" outlineLevel="1" x14ac:dyDescent="0.25">
      <c r="A85" t="s">
        <v>77</v>
      </c>
      <c r="B85" s="23"/>
      <c r="C85" s="23"/>
      <c r="D85" s="23"/>
      <c r="E85" s="23"/>
      <c r="F85" s="24">
        <f>SUM(F55:F57)/(F8+F9+F10+F18+F15)</f>
        <v>0.41106577911387876</v>
      </c>
      <c r="G85" s="23"/>
      <c r="H85" s="24">
        <f t="shared" ref="H85:L85" si="21">SUM(H55:H57)/(H8+H9+H10+H18+H15)</f>
        <v>0.46736317454231763</v>
      </c>
      <c r="I85" s="24">
        <f t="shared" si="21"/>
        <v>0.47054450229266925</v>
      </c>
      <c r="J85" s="24">
        <f t="shared" si="21"/>
        <v>0.49216858398728441</v>
      </c>
      <c r="K85" s="24">
        <f t="shared" si="21"/>
        <v>0.48005068501934445</v>
      </c>
      <c r="L85" s="24">
        <f t="shared" si="21"/>
        <v>0.46981658598062831</v>
      </c>
    </row>
    <row r="86" spans="1:12" outlineLevel="1" x14ac:dyDescent="0.25">
      <c r="A86" t="s">
        <v>78</v>
      </c>
      <c r="B86" s="23"/>
      <c r="C86" s="23"/>
      <c r="D86" s="23"/>
      <c r="E86" s="23"/>
      <c r="F86" s="24">
        <f>F71/F22</f>
        <v>0.99792423456149459</v>
      </c>
      <c r="G86" s="23"/>
      <c r="H86" s="24">
        <f t="shared" ref="H86:L86" si="22">H71/H22</f>
        <v>0.69191390343222803</v>
      </c>
      <c r="I86" s="24">
        <f t="shared" si="22"/>
        <v>1.3640102043167062</v>
      </c>
      <c r="J86" s="24">
        <f t="shared" si="22"/>
        <v>0.95131696567061197</v>
      </c>
      <c r="K86" s="24">
        <f t="shared" si="22"/>
        <v>0.7239176147179992</v>
      </c>
      <c r="L86" s="24">
        <f t="shared" si="22"/>
        <v>0.73671367316513336</v>
      </c>
    </row>
    <row r="87" spans="1:12" outlineLevel="1" x14ac:dyDescent="0.25"/>
    <row r="88" spans="1:12" outlineLevel="1" x14ac:dyDescent="0.25"/>
    <row r="89" spans="1:12" outlineLevel="1" x14ac:dyDescent="0.25">
      <c r="A89" s="28" t="s">
        <v>79</v>
      </c>
      <c r="B89" s="28"/>
      <c r="C89" s="28"/>
      <c r="D89" s="28"/>
      <c r="E89" s="28"/>
      <c r="F89" s="29">
        <v>1667</v>
      </c>
      <c r="G89" s="28"/>
      <c r="H89" s="29">
        <v>1464.471</v>
      </c>
      <c r="I89" s="29">
        <v>1464.471</v>
      </c>
      <c r="J89" s="29">
        <v>1431.3484834388901</v>
      </c>
      <c r="K89" s="29">
        <v>1363.9835220145301</v>
      </c>
      <c r="L89" s="29">
        <v>1120.54364864831</v>
      </c>
    </row>
    <row r="90" spans="1:12" outlineLevel="1" x14ac:dyDescent="0.25">
      <c r="A90" s="28" t="s">
        <v>72</v>
      </c>
      <c r="B90" s="28"/>
      <c r="C90" s="28"/>
      <c r="D90" s="28"/>
      <c r="E90" s="28"/>
      <c r="F90" s="29">
        <f>F27-F13-F14-F92</f>
        <v>-180</v>
      </c>
      <c r="G90" s="28"/>
      <c r="H90" s="29">
        <f>H27-H13-H14-H92</f>
        <v>-510</v>
      </c>
      <c r="I90" s="29">
        <f>I27-I13-I14-I92</f>
        <v>-2546.5700699999907</v>
      </c>
      <c r="J90" s="29">
        <f>J27-J13-J14-J92</f>
        <v>1427.7168170325967</v>
      </c>
      <c r="K90" s="29">
        <f>K27-K13-K14-K92</f>
        <v>-827.94212708508712</v>
      </c>
      <c r="L90" s="29">
        <f>L27-L13-L14-L92</f>
        <v>-210.93095323535999</v>
      </c>
    </row>
    <row r="91" spans="1:12" outlineLevel="1" x14ac:dyDescent="0.25">
      <c r="A91" s="28" t="s">
        <v>81</v>
      </c>
      <c r="B91" s="28"/>
      <c r="C91" s="28"/>
      <c r="D91" s="28"/>
      <c r="E91" s="28"/>
      <c r="F91" s="29">
        <f>F19-F13-F14-F92</f>
        <v>41642</v>
      </c>
      <c r="G91" s="28"/>
      <c r="H91" s="29">
        <f>H19-H13-H14-H92</f>
        <v>41758</v>
      </c>
      <c r="I91" s="29">
        <f>I19-I13-I14-I92</f>
        <v>41721.965570000015</v>
      </c>
      <c r="J91" s="29">
        <f>J19-J13-J14-J92</f>
        <v>45418.522587032588</v>
      </c>
      <c r="K91" s="29">
        <f>K19-K13-K14-K92</f>
        <v>45377.389734376105</v>
      </c>
      <c r="L91" s="29">
        <f>L19-L13-L14-L92</f>
        <v>47665.289787525246</v>
      </c>
    </row>
    <row r="92" spans="1:12" outlineLevel="1" x14ac:dyDescent="0.25">
      <c r="A92" s="28" t="s">
        <v>82</v>
      </c>
      <c r="B92" s="28"/>
      <c r="C92" s="28"/>
      <c r="D92" s="28"/>
      <c r="E92" s="28"/>
      <c r="F92" s="29">
        <v>3083</v>
      </c>
      <c r="G92" s="28"/>
      <c r="H92" s="30">
        <v>2760</v>
      </c>
      <c r="I92" s="30">
        <v>6337</v>
      </c>
      <c r="J92" s="30">
        <v>1827</v>
      </c>
      <c r="K92" s="30">
        <v>500</v>
      </c>
      <c r="L92" s="30">
        <v>1150</v>
      </c>
    </row>
    <row r="93" spans="1:12" outlineLevel="1" x14ac:dyDescent="0.25">
      <c r="A93" s="28"/>
      <c r="B93" s="28"/>
      <c r="C93" s="28"/>
      <c r="D93" s="28"/>
      <c r="E93" s="28"/>
      <c r="F93" s="29"/>
      <c r="G93" s="28"/>
      <c r="H93" s="30"/>
      <c r="I93" s="30"/>
      <c r="J93" s="30"/>
      <c r="K93" s="30"/>
      <c r="L93" s="30"/>
    </row>
    <row r="94" spans="1:12" outlineLevel="1" x14ac:dyDescent="0.25">
      <c r="A94" s="28" t="s">
        <v>80</v>
      </c>
      <c r="B94" s="28"/>
      <c r="C94" s="28"/>
      <c r="D94" s="28"/>
      <c r="E94" s="28"/>
      <c r="F94" s="29">
        <f>F36-F95-F96-F97-F98</f>
        <v>5084</v>
      </c>
      <c r="G94" s="28"/>
      <c r="H94" s="30">
        <f t="shared" ref="H94:L94" si="23">H36-H95-H96-H97-H98</f>
        <v>3521</v>
      </c>
      <c r="I94" s="30">
        <f t="shared" si="23"/>
        <v>5843.7076240438792</v>
      </c>
      <c r="J94" s="30">
        <f t="shared" si="23"/>
        <v>5946</v>
      </c>
      <c r="K94" s="30">
        <f t="shared" si="23"/>
        <v>6557</v>
      </c>
      <c r="L94" s="30">
        <f t="shared" si="23"/>
        <v>7249</v>
      </c>
    </row>
    <row r="95" spans="1:12" outlineLevel="1" x14ac:dyDescent="0.25">
      <c r="A95" s="31" t="s">
        <v>83</v>
      </c>
      <c r="B95" s="28"/>
      <c r="C95" s="28"/>
      <c r="D95" s="28"/>
      <c r="E95" s="28"/>
      <c r="F95" s="29">
        <v>715</v>
      </c>
      <c r="G95" s="28"/>
      <c r="H95" s="30">
        <v>715</v>
      </c>
      <c r="I95" s="30">
        <v>715</v>
      </c>
      <c r="J95" s="30">
        <f>I95+100+1528</f>
        <v>2343</v>
      </c>
      <c r="K95" s="30">
        <f>J95+100+1987</f>
        <v>4430</v>
      </c>
      <c r="L95" s="30">
        <f>K95+100+2221</f>
        <v>6751</v>
      </c>
    </row>
    <row r="96" spans="1:12" outlineLevel="1" x14ac:dyDescent="0.25">
      <c r="A96" s="31" t="s">
        <v>84</v>
      </c>
      <c r="B96" s="28"/>
      <c r="C96" s="28"/>
      <c r="D96" s="28"/>
      <c r="E96" s="28"/>
      <c r="F96" s="29">
        <v>4875</v>
      </c>
      <c r="G96" s="28"/>
      <c r="H96" s="29">
        <v>0</v>
      </c>
      <c r="I96" s="29">
        <v>0</v>
      </c>
      <c r="J96" s="29">
        <v>0</v>
      </c>
      <c r="K96" s="29">
        <v>0</v>
      </c>
      <c r="L96" s="29">
        <v>0</v>
      </c>
    </row>
    <row r="97" spans="1:12" outlineLevel="1" x14ac:dyDescent="0.25">
      <c r="A97" s="31" t="s">
        <v>85</v>
      </c>
      <c r="F97" s="29">
        <f>F51</f>
        <v>599</v>
      </c>
      <c r="G97" s="28"/>
      <c r="H97" s="29">
        <f t="shared" ref="H97:L97" si="24">H51</f>
        <v>760</v>
      </c>
      <c r="I97" s="29">
        <f t="shared" si="24"/>
        <v>493.375600000004</v>
      </c>
      <c r="J97" s="29">
        <f t="shared" si="24"/>
        <v>493</v>
      </c>
      <c r="K97" s="29">
        <f t="shared" si="24"/>
        <v>493</v>
      </c>
      <c r="L97" s="29">
        <f t="shared" si="24"/>
        <v>493</v>
      </c>
    </row>
    <row r="98" spans="1:12" outlineLevel="1" x14ac:dyDescent="0.25">
      <c r="A98" s="31" t="s">
        <v>86</v>
      </c>
      <c r="F98" s="29">
        <v>900</v>
      </c>
      <c r="G98" s="28"/>
      <c r="H98" s="29">
        <v>0</v>
      </c>
      <c r="I98" s="29">
        <v>0</v>
      </c>
      <c r="J98" s="29">
        <v>0</v>
      </c>
      <c r="K98" s="29">
        <v>0</v>
      </c>
      <c r="L98" s="29">
        <v>0</v>
      </c>
    </row>
    <row r="99" spans="1:12" outlineLevel="1" x14ac:dyDescent="0.25">
      <c r="G99" s="28"/>
    </row>
  </sheetData>
  <pageMargins left="0.51181102362204722" right="0.51181102362204722" top="0.55118110236220474" bottom="0.55118110236220474" header="0.31496062992125984" footer="0.31496062992125984"/>
  <pageSetup paperSize="9" scale="77" fitToHeight="6" orientation="landscape" r:id="rId1"/>
  <ignoredErrors>
    <ignoredError sqref="F80 H80:L80 F85:L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topLeftCell="A70" workbookViewId="0">
      <selection activeCell="I86" sqref="I86"/>
    </sheetView>
  </sheetViews>
  <sheetFormatPr defaultRowHeight="15" outlineLevelRow="1" x14ac:dyDescent="0.25"/>
  <cols>
    <col min="1" max="1" width="46.140625" customWidth="1"/>
    <col min="2" max="6" width="11.7109375" customWidth="1"/>
    <col min="7" max="7" width="4.140625" customWidth="1"/>
    <col min="8" max="12" width="11.7109375" customWidth="1"/>
  </cols>
  <sheetData>
    <row r="1" spans="1:15" x14ac:dyDescent="0.25">
      <c r="A1" s="6" t="s">
        <v>0</v>
      </c>
    </row>
    <row r="2" spans="1:15" x14ac:dyDescent="0.25">
      <c r="A2" s="6"/>
    </row>
    <row r="3" spans="1:15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x14ac:dyDescent="0.25">
      <c r="G4" s="12"/>
    </row>
    <row r="5" spans="1:15" x14ac:dyDescent="0.25">
      <c r="A5" s="6" t="s">
        <v>2</v>
      </c>
      <c r="G5" s="12"/>
      <c r="H5" s="6" t="s">
        <v>87</v>
      </c>
      <c r="I5" s="6"/>
    </row>
    <row r="6" spans="1:15" x14ac:dyDescent="0.25">
      <c r="G6" s="12"/>
      <c r="I6" s="16"/>
      <c r="J6" s="16"/>
      <c r="K6" s="16"/>
      <c r="L6" s="16"/>
    </row>
    <row r="7" spans="1:15" s="6" customFormat="1" x14ac:dyDescent="0.25">
      <c r="B7" s="7" t="s">
        <v>3</v>
      </c>
      <c r="C7" s="7" t="s">
        <v>68</v>
      </c>
      <c r="D7" s="7" t="s">
        <v>69</v>
      </c>
      <c r="E7" s="7" t="s">
        <v>6</v>
      </c>
      <c r="F7" s="7" t="s">
        <v>7</v>
      </c>
      <c r="G7" s="13"/>
      <c r="H7" s="7" t="s">
        <v>25</v>
      </c>
      <c r="I7" s="17" t="s">
        <v>71</v>
      </c>
      <c r="J7" s="17" t="s">
        <v>26</v>
      </c>
      <c r="K7" s="17" t="s">
        <v>27</v>
      </c>
      <c r="L7" s="17" t="s">
        <v>28</v>
      </c>
      <c r="M7" s="7"/>
      <c r="N7"/>
      <c r="O7"/>
    </row>
    <row r="8" spans="1:15" x14ac:dyDescent="0.25">
      <c r="A8" s="1" t="s">
        <v>8</v>
      </c>
      <c r="B8" s="3">
        <v>21003</v>
      </c>
      <c r="C8" s="3">
        <v>22643</v>
      </c>
      <c r="D8" s="3">
        <v>24162</v>
      </c>
      <c r="E8" s="3">
        <v>26018</v>
      </c>
      <c r="F8" s="3">
        <v>27633</v>
      </c>
      <c r="G8" s="14"/>
      <c r="H8" s="3">
        <v>29113</v>
      </c>
      <c r="I8" s="18">
        <v>29354.17382</v>
      </c>
      <c r="J8" s="18">
        <v>30486.548890974307</v>
      </c>
      <c r="K8" s="18">
        <v>31644.250842466121</v>
      </c>
      <c r="L8" s="18">
        <v>32874.634276615427</v>
      </c>
      <c r="M8" s="3"/>
    </row>
    <row r="9" spans="1:15" x14ac:dyDescent="0.25">
      <c r="A9" s="1" t="s">
        <v>9</v>
      </c>
      <c r="B9" s="3">
        <v>655</v>
      </c>
      <c r="C9" s="3">
        <v>552</v>
      </c>
      <c r="D9" s="3">
        <v>550</v>
      </c>
      <c r="E9" s="3">
        <v>460</v>
      </c>
      <c r="F9" s="3">
        <v>481</v>
      </c>
      <c r="G9" s="14"/>
      <c r="H9" s="3">
        <v>600</v>
      </c>
      <c r="I9" s="18">
        <v>617.98649999999998</v>
      </c>
      <c r="J9" s="18">
        <v>641.79999999999995</v>
      </c>
      <c r="K9" s="18">
        <v>664.14652544813225</v>
      </c>
      <c r="L9" s="18">
        <v>683.6060757019535</v>
      </c>
      <c r="M9" s="3"/>
    </row>
    <row r="10" spans="1:15" x14ac:dyDescent="0.25">
      <c r="A10" s="1" t="s">
        <v>10</v>
      </c>
      <c r="B10" s="3">
        <v>1347</v>
      </c>
      <c r="C10" s="3">
        <v>1614</v>
      </c>
      <c r="D10" s="3">
        <v>1572</v>
      </c>
      <c r="E10" s="3">
        <v>1420</v>
      </c>
      <c r="F10" s="3">
        <v>1716</v>
      </c>
      <c r="G10" s="14"/>
      <c r="H10" s="3">
        <v>1654</v>
      </c>
      <c r="I10" s="18">
        <v>1802.3120000000001</v>
      </c>
      <c r="J10" s="18">
        <v>1920.6849999999999</v>
      </c>
      <c r="K10" s="18">
        <v>2152.7335765350754</v>
      </c>
      <c r="L10" s="18">
        <v>2289.9560148450646</v>
      </c>
      <c r="M10" s="3"/>
    </row>
    <row r="11" spans="1:15" x14ac:dyDescent="0.25">
      <c r="A11" s="1" t="s">
        <v>11</v>
      </c>
      <c r="B11" s="3">
        <v>10407</v>
      </c>
      <c r="C11" s="3">
        <v>13087</v>
      </c>
      <c r="D11" s="3">
        <v>9374</v>
      </c>
      <c r="E11" s="3">
        <v>6644</v>
      </c>
      <c r="F11" s="3">
        <v>11822</v>
      </c>
      <c r="G11" s="14"/>
      <c r="H11" s="3">
        <f>8470+232</f>
        <v>8702</v>
      </c>
      <c r="I11" s="18">
        <v>7394.6422899999998</v>
      </c>
      <c r="J11" s="18">
        <v>9049.7368599999991</v>
      </c>
      <c r="K11" s="18">
        <v>9344.2215107443699</v>
      </c>
      <c r="L11" s="18">
        <v>9799.9685472550336</v>
      </c>
      <c r="M11" s="3"/>
    </row>
    <row r="12" spans="1:15" x14ac:dyDescent="0.25">
      <c r="A12" s="1" t="s">
        <v>12</v>
      </c>
      <c r="B12" s="3">
        <v>7930</v>
      </c>
      <c r="C12" s="3">
        <v>8551</v>
      </c>
      <c r="D12" s="3">
        <v>8773</v>
      </c>
      <c r="E12" s="3">
        <v>4054</v>
      </c>
      <c r="F12" s="3">
        <v>4961</v>
      </c>
      <c r="G12" s="14"/>
      <c r="H12" s="3">
        <f>1757+2760</f>
        <v>4517</v>
      </c>
      <c r="I12" s="18">
        <v>8847.0349999999999</v>
      </c>
      <c r="J12" s="18">
        <v>4725.5469999999996</v>
      </c>
      <c r="K12" s="18">
        <v>1378.547</v>
      </c>
      <c r="L12" s="18">
        <v>2028.547</v>
      </c>
      <c r="M12" s="3"/>
    </row>
    <row r="13" spans="1:15" x14ac:dyDescent="0.25">
      <c r="A13" s="1" t="s">
        <v>36</v>
      </c>
      <c r="B13" s="3">
        <v>0</v>
      </c>
      <c r="C13" s="3">
        <v>335</v>
      </c>
      <c r="D13" s="3">
        <v>369</v>
      </c>
      <c r="E13" s="3">
        <v>104</v>
      </c>
      <c r="F13" s="3">
        <v>933</v>
      </c>
      <c r="G13" s="14"/>
      <c r="H13" s="3">
        <v>780</v>
      </c>
      <c r="I13" s="18">
        <v>200.20000000000002</v>
      </c>
      <c r="J13" s="18">
        <v>2352.86</v>
      </c>
      <c r="K13" s="18">
        <v>102.5</v>
      </c>
      <c r="L13" s="18">
        <v>3239.0625</v>
      </c>
      <c r="M13" s="3"/>
    </row>
    <row r="14" spans="1:15" x14ac:dyDescent="0.25">
      <c r="A14" s="1" t="s">
        <v>37</v>
      </c>
      <c r="B14" s="3">
        <v>4317</v>
      </c>
      <c r="C14" s="3">
        <v>3511</v>
      </c>
      <c r="D14" s="3">
        <v>4891</v>
      </c>
      <c r="E14" s="3">
        <v>4275</v>
      </c>
      <c r="F14" s="3">
        <v>3848</v>
      </c>
      <c r="G14" s="14"/>
      <c r="H14" s="3">
        <v>4500</v>
      </c>
      <c r="I14" s="18">
        <v>4500</v>
      </c>
      <c r="J14" s="18">
        <v>4635</v>
      </c>
      <c r="K14" s="18">
        <v>4750.875</v>
      </c>
      <c r="L14" s="18">
        <v>4869.6468750000004</v>
      </c>
      <c r="M14" s="3"/>
    </row>
    <row r="15" spans="1:15" x14ac:dyDescent="0.25">
      <c r="A15" s="1" t="s">
        <v>60</v>
      </c>
      <c r="B15" s="3">
        <v>-2233</v>
      </c>
      <c r="C15" s="3">
        <v>-4871</v>
      </c>
      <c r="D15" s="3">
        <v>-219</v>
      </c>
      <c r="E15" s="3">
        <v>-1380</v>
      </c>
      <c r="F15" s="3">
        <v>-3612</v>
      </c>
      <c r="G15" s="14"/>
      <c r="H15" s="3">
        <v>-1491</v>
      </c>
      <c r="I15" s="18">
        <v>-1456.6359299999999</v>
      </c>
      <c r="J15" s="18">
        <v>-1336.77944</v>
      </c>
      <c r="K15" s="18">
        <v>-1500</v>
      </c>
      <c r="L15" s="18">
        <v>-1500</v>
      </c>
      <c r="M15" s="3"/>
    </row>
    <row r="16" spans="1:15" x14ac:dyDescent="0.25">
      <c r="A16" s="1" t="s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14"/>
      <c r="H16" s="3">
        <v>0</v>
      </c>
      <c r="I16" s="18">
        <v>0</v>
      </c>
      <c r="J16" s="18">
        <v>0</v>
      </c>
      <c r="K16" s="18">
        <v>0</v>
      </c>
      <c r="L16" s="18">
        <v>0</v>
      </c>
      <c r="M16" s="3"/>
    </row>
    <row r="17" spans="1:13" x14ac:dyDescent="0.25">
      <c r="A17" s="1" t="s">
        <v>14</v>
      </c>
      <c r="B17" s="3">
        <v>9</v>
      </c>
      <c r="C17" s="3">
        <v>-225</v>
      </c>
      <c r="D17" s="3">
        <v>0</v>
      </c>
      <c r="E17" s="3">
        <v>0</v>
      </c>
      <c r="F17" s="3">
        <v>0</v>
      </c>
      <c r="G17" s="14"/>
      <c r="H17" s="3">
        <v>0</v>
      </c>
      <c r="I17" s="18">
        <v>0</v>
      </c>
      <c r="J17" s="18">
        <v>0</v>
      </c>
      <c r="K17" s="18">
        <v>0</v>
      </c>
      <c r="L17" s="18">
        <v>0</v>
      </c>
      <c r="M17" s="3"/>
    </row>
    <row r="18" spans="1:13" x14ac:dyDescent="0.25">
      <c r="A18" s="1" t="s">
        <v>15</v>
      </c>
      <c r="B18" s="3">
        <f>1333+574</f>
        <v>1907</v>
      </c>
      <c r="C18" s="3">
        <f>1338+786-335</f>
        <v>1789</v>
      </c>
      <c r="D18" s="3">
        <f>1167+755</f>
        <v>1922</v>
      </c>
      <c r="E18" s="3">
        <f>1013+478</f>
        <v>1491</v>
      </c>
      <c r="F18" s="3">
        <v>1724</v>
      </c>
      <c r="G18" s="14"/>
      <c r="H18" s="3">
        <f>1026+397</f>
        <v>1423</v>
      </c>
      <c r="I18" s="18">
        <v>1499.4518900000003</v>
      </c>
      <c r="J18" s="18">
        <v>1498.9521699999996</v>
      </c>
      <c r="K18" s="18">
        <v>1651.0658399156141</v>
      </c>
      <c r="L18" s="18">
        <v>1787.0037814605075</v>
      </c>
      <c r="M18" s="3"/>
    </row>
    <row r="19" spans="1:13" x14ac:dyDescent="0.25">
      <c r="A19" t="s">
        <v>16</v>
      </c>
      <c r="B19" s="4">
        <f>SUM(B8:B18)</f>
        <v>45342</v>
      </c>
      <c r="C19" s="4">
        <f t="shared" ref="C19:F19" si="0">SUM(C8:C18)</f>
        <v>46986</v>
      </c>
      <c r="D19" s="4">
        <f t="shared" si="0"/>
        <v>51394</v>
      </c>
      <c r="E19" s="4">
        <f t="shared" si="0"/>
        <v>43086</v>
      </c>
      <c r="F19" s="4">
        <f t="shared" si="0"/>
        <v>49506</v>
      </c>
      <c r="G19" s="14"/>
      <c r="H19" s="4">
        <f t="shared" ref="H19" si="1">SUM(H8:H18)</f>
        <v>49798</v>
      </c>
      <c r="I19" s="19">
        <f t="shared" ref="I19" si="2">SUM(I8:I18)</f>
        <v>52759.165570000012</v>
      </c>
      <c r="J19" s="19">
        <f t="shared" ref="J19" si="3">SUM(J8:J18)</f>
        <v>53974.350480974303</v>
      </c>
      <c r="K19" s="19">
        <f t="shared" ref="K19" si="4">SUM(K8:K18)</f>
        <v>50188.340295109316</v>
      </c>
      <c r="L19" s="19">
        <f t="shared" ref="L19" si="5">SUM(L8:L18)</f>
        <v>56072.42507087798</v>
      </c>
      <c r="M19" s="3"/>
    </row>
    <row r="20" spans="1:13" x14ac:dyDescent="0.25">
      <c r="A20" s="1" t="s">
        <v>17</v>
      </c>
      <c r="B20" s="3">
        <f>13374+471</f>
        <v>13845</v>
      </c>
      <c r="C20" s="3">
        <f>14433+2395</f>
        <v>16828</v>
      </c>
      <c r="D20" s="3">
        <v>15685</v>
      </c>
      <c r="E20" s="3">
        <v>16712</v>
      </c>
      <c r="F20" s="3">
        <v>17094</v>
      </c>
      <c r="G20" s="14"/>
      <c r="H20" s="3">
        <v>17735</v>
      </c>
      <c r="I20" s="18">
        <v>17927.388200000001</v>
      </c>
      <c r="J20" s="18">
        <v>18225.575989999998</v>
      </c>
      <c r="K20" s="18">
        <v>19243.652284032931</v>
      </c>
      <c r="L20" s="18">
        <v>20018.589183706135</v>
      </c>
      <c r="M20" s="3"/>
    </row>
    <row r="21" spans="1:13" x14ac:dyDescent="0.25">
      <c r="A21" s="1" t="s">
        <v>18</v>
      </c>
      <c r="B21" s="3">
        <v>16498</v>
      </c>
      <c r="C21" s="3">
        <v>16857</v>
      </c>
      <c r="D21" s="3">
        <v>18928</v>
      </c>
      <c r="E21" s="3">
        <v>16081</v>
      </c>
      <c r="F21" s="3">
        <v>15428</v>
      </c>
      <c r="G21" s="14"/>
      <c r="H21" s="3">
        <v>14292</v>
      </c>
      <c r="I21" s="18">
        <v>16131.631230000001</v>
      </c>
      <c r="J21" s="18">
        <v>14138.292589999999</v>
      </c>
      <c r="K21" s="18">
        <v>14376.420766001433</v>
      </c>
      <c r="L21" s="18">
        <v>14859.292196240494</v>
      </c>
      <c r="M21" s="3"/>
    </row>
    <row r="22" spans="1:13" x14ac:dyDescent="0.25">
      <c r="A22" s="1" t="s">
        <v>19</v>
      </c>
      <c r="B22" s="3">
        <v>8192</v>
      </c>
      <c r="C22" s="3">
        <v>8706</v>
      </c>
      <c r="D22" s="3">
        <v>8425</v>
      </c>
      <c r="E22" s="3">
        <v>7280</v>
      </c>
      <c r="F22" s="3">
        <v>7708</v>
      </c>
      <c r="G22" s="14"/>
      <c r="H22" s="3">
        <v>8595</v>
      </c>
      <c r="I22" s="18">
        <v>8594.7939999999999</v>
      </c>
      <c r="J22" s="18">
        <v>9960.92821</v>
      </c>
      <c r="K22" s="18">
        <v>10913.913611</v>
      </c>
      <c r="L22" s="18">
        <v>11328.131521709594</v>
      </c>
      <c r="M22" s="3"/>
    </row>
    <row r="23" spans="1:13" x14ac:dyDescent="0.25">
      <c r="A23" s="1" t="s">
        <v>20</v>
      </c>
      <c r="B23" s="3">
        <v>703</v>
      </c>
      <c r="C23" s="3">
        <v>983</v>
      </c>
      <c r="D23" s="3">
        <v>899</v>
      </c>
      <c r="E23" s="3">
        <v>852</v>
      </c>
      <c r="F23" s="3">
        <v>777</v>
      </c>
      <c r="G23" s="14"/>
      <c r="H23" s="3">
        <v>864</v>
      </c>
      <c r="I23" s="18">
        <v>863.81399999999996</v>
      </c>
      <c r="J23" s="18">
        <v>895.57858999999996</v>
      </c>
      <c r="K23" s="18">
        <v>868.10211407831048</v>
      </c>
      <c r="L23" s="18">
        <v>836.29426001527645</v>
      </c>
      <c r="M23" s="3"/>
    </row>
    <row r="24" spans="1:13" x14ac:dyDescent="0.25">
      <c r="A24" s="1" t="s">
        <v>21</v>
      </c>
      <c r="B24" s="3">
        <v>0</v>
      </c>
      <c r="C24" s="3">
        <v>0</v>
      </c>
      <c r="D24" s="3">
        <v>0</v>
      </c>
      <c r="E24" s="3">
        <v>0</v>
      </c>
      <c r="F24" s="3">
        <v>22</v>
      </c>
      <c r="G24" s="14"/>
      <c r="H24" s="3">
        <v>0</v>
      </c>
      <c r="I24" s="18">
        <v>0</v>
      </c>
      <c r="J24" s="18">
        <v>0</v>
      </c>
      <c r="K24" s="18">
        <v>0</v>
      </c>
      <c r="L24" s="18">
        <v>0</v>
      </c>
      <c r="M24" s="3"/>
    </row>
    <row r="25" spans="1:13" x14ac:dyDescent="0.25">
      <c r="A25" s="1" t="s">
        <v>22</v>
      </c>
      <c r="B25" s="3">
        <v>432</v>
      </c>
      <c r="C25" s="3">
        <v>738</v>
      </c>
      <c r="D25" s="3">
        <v>584</v>
      </c>
      <c r="E25" s="3">
        <v>508</v>
      </c>
      <c r="F25" s="3">
        <v>793</v>
      </c>
      <c r="G25" s="14"/>
      <c r="H25" s="3">
        <v>782</v>
      </c>
      <c r="I25" s="18">
        <v>750.90821000000005</v>
      </c>
      <c r="J25" s="18">
        <v>770.43038999999999</v>
      </c>
      <c r="K25" s="18">
        <v>788.3927196818471</v>
      </c>
      <c r="L25" s="18">
        <v>808.10253767389327</v>
      </c>
      <c r="M25" s="3"/>
    </row>
    <row r="26" spans="1:13" x14ac:dyDescent="0.25">
      <c r="A26" s="2" t="s">
        <v>23</v>
      </c>
      <c r="B26" s="4">
        <f>SUM(B20:B25)</f>
        <v>39670</v>
      </c>
      <c r="C26" s="4">
        <f t="shared" ref="C26:F26" si="6">SUM(C20:C25)</f>
        <v>44112</v>
      </c>
      <c r="D26" s="4">
        <f t="shared" si="6"/>
        <v>44521</v>
      </c>
      <c r="E26" s="4">
        <f t="shared" si="6"/>
        <v>41433</v>
      </c>
      <c r="F26" s="4">
        <f t="shared" si="6"/>
        <v>41822</v>
      </c>
      <c r="G26" s="14"/>
      <c r="H26" s="4">
        <f t="shared" ref="H26" si="7">SUM(H20:H25)</f>
        <v>42268</v>
      </c>
      <c r="I26" s="19">
        <f t="shared" ref="I26" si="8">SUM(I20:I25)</f>
        <v>44268.535640000002</v>
      </c>
      <c r="J26" s="19">
        <f t="shared" ref="J26" si="9">SUM(J20:J25)</f>
        <v>43990.805769999992</v>
      </c>
      <c r="K26" s="19">
        <f t="shared" ref="K26" si="10">SUM(K20:K25)</f>
        <v>46190.48149479452</v>
      </c>
      <c r="L26" s="19">
        <f t="shared" ref="L26" si="11">SUM(L20:L25)</f>
        <v>47850.409699345393</v>
      </c>
      <c r="M26" s="3"/>
    </row>
    <row r="27" spans="1:13" ht="15.75" thickBot="1" x14ac:dyDescent="0.3">
      <c r="A27" s="2" t="s">
        <v>24</v>
      </c>
      <c r="B27" s="5">
        <f>B19-B26</f>
        <v>5672</v>
      </c>
      <c r="C27" s="5">
        <f t="shared" ref="C27:F27" si="12">C19-C26</f>
        <v>2874</v>
      </c>
      <c r="D27" s="5">
        <f t="shared" si="12"/>
        <v>6873</v>
      </c>
      <c r="E27" s="5">
        <f t="shared" si="12"/>
        <v>1653</v>
      </c>
      <c r="F27" s="5">
        <f t="shared" si="12"/>
        <v>7684</v>
      </c>
      <c r="G27" s="14"/>
      <c r="H27" s="5">
        <f t="shared" ref="H27:I27" si="13">H19-H26</f>
        <v>7530</v>
      </c>
      <c r="I27" s="20">
        <f t="shared" si="13"/>
        <v>8490.6299300000101</v>
      </c>
      <c r="J27" s="20">
        <f t="shared" ref="J27" si="14">J19-J26</f>
        <v>9983.5447109743109</v>
      </c>
      <c r="K27" s="20">
        <f t="shared" ref="K27" si="15">K19-K26</f>
        <v>3997.8588003147961</v>
      </c>
      <c r="L27" s="20">
        <f t="shared" ref="L27" si="16">L19-L26</f>
        <v>8222.0153715325869</v>
      </c>
      <c r="M27" s="3"/>
    </row>
    <row r="28" spans="1:13" ht="15.75" thickTop="1" x14ac:dyDescent="0.25">
      <c r="B28" s="3"/>
      <c r="C28" s="3"/>
      <c r="D28" s="3"/>
      <c r="E28" s="3"/>
      <c r="F28" s="3"/>
      <c r="G28" s="14"/>
      <c r="H28" s="3"/>
      <c r="I28" s="18"/>
      <c r="J28" s="18"/>
      <c r="K28" s="18"/>
      <c r="L28" s="18"/>
      <c r="M28" s="3"/>
    </row>
    <row r="29" spans="1:13" x14ac:dyDescent="0.25">
      <c r="A29" t="s">
        <v>70</v>
      </c>
      <c r="B29" s="3"/>
      <c r="C29" s="3"/>
      <c r="D29" s="3"/>
      <c r="E29" s="3"/>
      <c r="F29" s="3"/>
      <c r="G29" s="14"/>
      <c r="H29" s="3"/>
      <c r="I29" s="18"/>
      <c r="J29" s="18"/>
      <c r="K29" s="18"/>
      <c r="L29" s="18"/>
      <c r="M29" s="3"/>
    </row>
    <row r="30" spans="1:13" x14ac:dyDescent="0.25">
      <c r="G30" s="12"/>
      <c r="I30" s="16"/>
      <c r="J30" s="16"/>
      <c r="K30" s="16"/>
      <c r="L30" s="16"/>
    </row>
    <row r="31" spans="1:13" x14ac:dyDescent="0.25">
      <c r="A31" s="8" t="s">
        <v>29</v>
      </c>
      <c r="B31" s="9"/>
      <c r="C31" s="9"/>
      <c r="D31" s="9"/>
      <c r="E31" s="9"/>
      <c r="F31" s="9"/>
      <c r="G31" s="9"/>
      <c r="H31" s="9"/>
      <c r="I31" s="21"/>
      <c r="J31" s="21"/>
      <c r="K31" s="21"/>
      <c r="L31" s="21"/>
      <c r="M31" s="9"/>
    </row>
    <row r="32" spans="1:13" x14ac:dyDescent="0.25">
      <c r="G32" s="12"/>
      <c r="I32" s="16"/>
      <c r="J32" s="16"/>
      <c r="K32" s="16"/>
      <c r="L32" s="16"/>
    </row>
    <row r="33" spans="1:17" x14ac:dyDescent="0.25">
      <c r="A33" s="6" t="s">
        <v>30</v>
      </c>
      <c r="G33" s="12"/>
      <c r="H33" s="6" t="s">
        <v>88</v>
      </c>
      <c r="I33" s="22"/>
      <c r="J33" s="16"/>
      <c r="K33" s="16"/>
      <c r="L33" s="16"/>
    </row>
    <row r="34" spans="1:17" x14ac:dyDescent="0.25">
      <c r="G34" s="12"/>
      <c r="I34" s="16"/>
      <c r="J34" s="16"/>
      <c r="K34" s="16"/>
      <c r="L34" s="16"/>
    </row>
    <row r="35" spans="1:17" x14ac:dyDescent="0.25">
      <c r="B35" s="7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13"/>
      <c r="H35" s="7" t="s">
        <v>25</v>
      </c>
      <c r="I35" s="17" t="s">
        <v>71</v>
      </c>
      <c r="J35" s="17" t="s">
        <v>26</v>
      </c>
      <c r="K35" s="17" t="s">
        <v>27</v>
      </c>
      <c r="L35" s="17" t="s">
        <v>28</v>
      </c>
    </row>
    <row r="36" spans="1:17" x14ac:dyDescent="0.25">
      <c r="A36" s="1" t="s">
        <v>39</v>
      </c>
      <c r="B36" s="3">
        <v>13181</v>
      </c>
      <c r="C36" s="3">
        <v>13840</v>
      </c>
      <c r="D36" s="3">
        <v>11272</v>
      </c>
      <c r="E36" s="3">
        <v>9576</v>
      </c>
      <c r="F36" s="3">
        <v>12173</v>
      </c>
      <c r="G36" s="14"/>
      <c r="H36" s="3">
        <v>4996</v>
      </c>
      <c r="I36" s="18">
        <v>7052.0832240438831</v>
      </c>
      <c r="J36" s="18">
        <v>8807</v>
      </c>
      <c r="K36" s="18">
        <v>11505</v>
      </c>
      <c r="L36" s="18">
        <v>14521</v>
      </c>
      <c r="N36" s="3"/>
      <c r="O36" s="3"/>
      <c r="P36" s="3"/>
      <c r="Q36" s="3"/>
    </row>
    <row r="37" spans="1:17" x14ac:dyDescent="0.25">
      <c r="A37" s="1" t="s">
        <v>40</v>
      </c>
      <c r="B37" s="3">
        <v>4751</v>
      </c>
      <c r="C37" s="3">
        <v>4581</v>
      </c>
      <c r="D37" s="3">
        <v>3652</v>
      </c>
      <c r="E37" s="3">
        <v>3899</v>
      </c>
      <c r="F37" s="3">
        <v>4377</v>
      </c>
      <c r="G37" s="14"/>
      <c r="H37" s="3">
        <v>4108</v>
      </c>
      <c r="I37" s="18">
        <v>4573.4785574100051</v>
      </c>
      <c r="J37" s="18">
        <v>4316</v>
      </c>
      <c r="K37" s="18">
        <v>4455</v>
      </c>
      <c r="L37" s="18">
        <v>4601</v>
      </c>
      <c r="N37" s="3"/>
      <c r="O37" s="3"/>
      <c r="P37" s="3"/>
      <c r="Q37" s="3"/>
    </row>
    <row r="38" spans="1:17" x14ac:dyDescent="0.25">
      <c r="A38" s="1" t="s">
        <v>41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14"/>
      <c r="H38" s="3">
        <v>0</v>
      </c>
      <c r="I38" s="18">
        <v>0</v>
      </c>
      <c r="J38" s="18">
        <v>0</v>
      </c>
      <c r="K38" s="18">
        <v>0</v>
      </c>
      <c r="L38" s="18">
        <v>0</v>
      </c>
      <c r="N38" s="3"/>
      <c r="O38" s="3"/>
      <c r="P38" s="3"/>
      <c r="Q38" s="3"/>
    </row>
    <row r="39" spans="1:17" x14ac:dyDescent="0.25">
      <c r="A39" s="1" t="s">
        <v>42</v>
      </c>
      <c r="B39" s="3">
        <v>0</v>
      </c>
      <c r="C39" s="3">
        <v>0</v>
      </c>
      <c r="D39" s="3">
        <v>0</v>
      </c>
      <c r="E39" s="3">
        <v>17</v>
      </c>
      <c r="F39" s="3">
        <v>21</v>
      </c>
      <c r="G39" s="14"/>
      <c r="H39" s="3">
        <v>0</v>
      </c>
      <c r="I39" s="18">
        <v>0</v>
      </c>
      <c r="J39" s="18">
        <v>0</v>
      </c>
      <c r="K39" s="18">
        <v>0</v>
      </c>
      <c r="L39" s="18">
        <v>0</v>
      </c>
      <c r="N39" s="3"/>
      <c r="O39" s="3"/>
      <c r="P39" s="3"/>
      <c r="Q39" s="3"/>
    </row>
    <row r="40" spans="1:17" x14ac:dyDescent="0.25">
      <c r="A40" s="1" t="s">
        <v>43</v>
      </c>
      <c r="B40" s="3">
        <v>1236</v>
      </c>
      <c r="C40" s="3">
        <v>1053</v>
      </c>
      <c r="D40" s="3">
        <v>1053</v>
      </c>
      <c r="E40" s="3">
        <v>991</v>
      </c>
      <c r="F40" s="3">
        <v>991</v>
      </c>
      <c r="G40" s="14"/>
      <c r="H40" s="3">
        <v>991</v>
      </c>
      <c r="I40" s="18">
        <v>990.5</v>
      </c>
      <c r="J40" s="18">
        <v>991</v>
      </c>
      <c r="K40" s="18">
        <v>991</v>
      </c>
      <c r="L40" s="18">
        <v>991</v>
      </c>
      <c r="N40" s="3"/>
      <c r="O40" s="3"/>
      <c r="P40" s="3"/>
      <c r="Q40" s="3"/>
    </row>
    <row r="41" spans="1:17" x14ac:dyDescent="0.25">
      <c r="A41" s="1" t="s">
        <v>44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14"/>
      <c r="H41" s="3">
        <v>0</v>
      </c>
      <c r="I41" s="18">
        <v>0</v>
      </c>
      <c r="J41" s="18">
        <v>0</v>
      </c>
      <c r="K41" s="18">
        <v>0</v>
      </c>
      <c r="L41" s="18">
        <v>0</v>
      </c>
      <c r="N41" s="3"/>
      <c r="O41" s="3"/>
      <c r="P41" s="3"/>
      <c r="Q41" s="3"/>
    </row>
    <row r="42" spans="1:17" x14ac:dyDescent="0.25">
      <c r="A42" s="1" t="s">
        <v>45</v>
      </c>
      <c r="B42" s="3">
        <v>288</v>
      </c>
      <c r="C42" s="3">
        <v>262</v>
      </c>
      <c r="D42" s="3">
        <v>194</v>
      </c>
      <c r="E42" s="3">
        <v>165</v>
      </c>
      <c r="F42" s="3">
        <v>306</v>
      </c>
      <c r="G42" s="14"/>
      <c r="H42" s="3">
        <v>182</v>
      </c>
      <c r="I42" s="18">
        <v>327.02229000000005</v>
      </c>
      <c r="J42" s="18">
        <v>327</v>
      </c>
      <c r="K42" s="18">
        <v>327</v>
      </c>
      <c r="L42" s="18">
        <v>327</v>
      </c>
      <c r="N42" s="3"/>
      <c r="O42" s="3"/>
      <c r="P42" s="3"/>
      <c r="Q42" s="3"/>
    </row>
    <row r="43" spans="1:17" x14ac:dyDescent="0.25">
      <c r="A43" s="1" t="s">
        <v>46</v>
      </c>
      <c r="B43" s="3">
        <v>120</v>
      </c>
      <c r="C43" s="3">
        <v>126</v>
      </c>
      <c r="D43" s="3">
        <v>127</v>
      </c>
      <c r="E43" s="3">
        <v>127</v>
      </c>
      <c r="F43" s="3">
        <v>122</v>
      </c>
      <c r="G43" s="14"/>
      <c r="H43" s="3">
        <v>127</v>
      </c>
      <c r="I43" s="18">
        <v>122.00779</v>
      </c>
      <c r="J43" s="18">
        <v>122</v>
      </c>
      <c r="K43" s="18">
        <v>122</v>
      </c>
      <c r="L43" s="18">
        <v>122</v>
      </c>
      <c r="N43" s="3"/>
      <c r="O43" s="3"/>
      <c r="P43" s="3"/>
      <c r="Q43" s="3"/>
    </row>
    <row r="44" spans="1:17" x14ac:dyDescent="0.25">
      <c r="A44" s="1" t="s">
        <v>47</v>
      </c>
      <c r="B44" s="3">
        <v>538</v>
      </c>
      <c r="C44" s="3">
        <v>0</v>
      </c>
      <c r="D44" s="3">
        <v>0</v>
      </c>
      <c r="E44" s="3">
        <v>0</v>
      </c>
      <c r="F44" s="3">
        <v>0</v>
      </c>
      <c r="G44" s="14"/>
      <c r="H44" s="3">
        <v>0</v>
      </c>
      <c r="I44" s="18">
        <v>0</v>
      </c>
      <c r="J44" s="18">
        <v>0</v>
      </c>
      <c r="K44" s="18">
        <v>0</v>
      </c>
      <c r="L44" s="18">
        <v>0</v>
      </c>
      <c r="N44" s="3"/>
      <c r="O44" s="3"/>
      <c r="P44" s="3"/>
      <c r="Q44" s="3"/>
    </row>
    <row r="45" spans="1:17" x14ac:dyDescent="0.25">
      <c r="A45" s="1" t="s">
        <v>48</v>
      </c>
      <c r="B45" s="3">
        <v>320188</v>
      </c>
      <c r="C45" s="3">
        <v>315171</v>
      </c>
      <c r="D45" s="3">
        <v>489047</v>
      </c>
      <c r="E45" s="3">
        <v>422110</v>
      </c>
      <c r="F45" s="3">
        <v>438128</v>
      </c>
      <c r="G45" s="14"/>
      <c r="H45" s="3">
        <v>476258</v>
      </c>
      <c r="I45" s="18">
        <v>455061.84997999988</v>
      </c>
      <c r="J45" s="18">
        <v>494606</v>
      </c>
      <c r="K45" s="18">
        <v>500177</v>
      </c>
      <c r="L45" s="18">
        <v>506337</v>
      </c>
      <c r="N45" s="3"/>
      <c r="O45" s="3"/>
      <c r="P45" s="3"/>
      <c r="Q45" s="3"/>
    </row>
    <row r="46" spans="1:17" x14ac:dyDescent="0.25">
      <c r="A46" s="1" t="s">
        <v>49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14"/>
      <c r="H46" s="3">
        <v>0</v>
      </c>
      <c r="I46" s="18">
        <v>0</v>
      </c>
      <c r="J46" s="18">
        <v>0</v>
      </c>
      <c r="K46" s="18">
        <v>0</v>
      </c>
      <c r="L46" s="18">
        <v>0</v>
      </c>
      <c r="N46" s="3"/>
      <c r="O46" s="3"/>
      <c r="P46" s="3"/>
      <c r="Q46" s="3"/>
    </row>
    <row r="47" spans="1:17" x14ac:dyDescent="0.25">
      <c r="A47" s="1" t="s">
        <v>50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14"/>
      <c r="H47" s="3">
        <v>0</v>
      </c>
      <c r="I47" s="18">
        <v>0</v>
      </c>
      <c r="J47" s="18">
        <v>0</v>
      </c>
      <c r="K47" s="18">
        <v>0</v>
      </c>
      <c r="L47" s="18">
        <v>0</v>
      </c>
      <c r="N47" s="3"/>
      <c r="O47" s="3"/>
      <c r="P47" s="3"/>
      <c r="Q47" s="3"/>
    </row>
    <row r="48" spans="1:17" x14ac:dyDescent="0.25">
      <c r="A48" s="1" t="s">
        <v>51</v>
      </c>
      <c r="B48" s="3">
        <v>0</v>
      </c>
      <c r="C48" s="3">
        <v>56</v>
      </c>
      <c r="D48" s="3">
        <v>42</v>
      </c>
      <c r="E48" s="3">
        <v>0</v>
      </c>
      <c r="F48" s="3">
        <v>0</v>
      </c>
      <c r="G48" s="14"/>
      <c r="H48" s="3">
        <v>0</v>
      </c>
      <c r="I48" s="18">
        <v>0</v>
      </c>
      <c r="J48" s="18">
        <v>0</v>
      </c>
      <c r="K48" s="18">
        <v>0</v>
      </c>
      <c r="L48" s="18">
        <v>0</v>
      </c>
      <c r="N48" s="3"/>
      <c r="O48" s="3"/>
      <c r="P48" s="3"/>
      <c r="Q48" s="3"/>
    </row>
    <row r="49" spans="1:17" x14ac:dyDescent="0.25">
      <c r="A49" s="2" t="s">
        <v>31</v>
      </c>
      <c r="B49" s="4">
        <f>SUM(B36:B48)-2</f>
        <v>340300</v>
      </c>
      <c r="C49" s="4">
        <f>SUM(C36:C48)-2</f>
        <v>335087</v>
      </c>
      <c r="D49" s="4">
        <f>SUM(D36:D48)-1</f>
        <v>505386</v>
      </c>
      <c r="E49" s="4">
        <f t="shared" ref="E49" si="17">SUM(E36:E48)</f>
        <v>436885</v>
      </c>
      <c r="F49" s="4">
        <f>SUM(F36:F48)-2</f>
        <v>456116</v>
      </c>
      <c r="G49" s="14"/>
      <c r="H49" s="4">
        <f>SUM(H36:H48)</f>
        <v>486662</v>
      </c>
      <c r="I49" s="19">
        <f>SUM(I36:I48)</f>
        <v>468126.94184145378</v>
      </c>
      <c r="J49" s="19">
        <f t="shared" ref="J49:L49" si="18">SUM(J36:J48)</f>
        <v>509169</v>
      </c>
      <c r="K49" s="19">
        <f t="shared" si="18"/>
        <v>517577</v>
      </c>
      <c r="L49" s="19">
        <f t="shared" si="18"/>
        <v>526899</v>
      </c>
      <c r="N49" s="3"/>
      <c r="O49" s="3"/>
      <c r="P49" s="3"/>
    </row>
    <row r="50" spans="1:17" x14ac:dyDescent="0.25">
      <c r="A50" s="1" t="s">
        <v>52</v>
      </c>
      <c r="B50" s="3">
        <v>3746</v>
      </c>
      <c r="C50" s="3">
        <v>2982</v>
      </c>
      <c r="D50" s="3">
        <v>5183</v>
      </c>
      <c r="E50" s="3">
        <v>6338</v>
      </c>
      <c r="F50" s="3">
        <v>3856</v>
      </c>
      <c r="G50" s="14"/>
      <c r="H50" s="3">
        <v>3769</v>
      </c>
      <c r="I50" s="18">
        <v>4028.6078900000007</v>
      </c>
      <c r="J50" s="18">
        <v>3727</v>
      </c>
      <c r="K50" s="18">
        <v>3791</v>
      </c>
      <c r="L50" s="18">
        <v>3917</v>
      </c>
      <c r="N50" s="3"/>
      <c r="O50" s="3"/>
      <c r="P50" s="3"/>
      <c r="Q50" s="3"/>
    </row>
    <row r="51" spans="1:17" x14ac:dyDescent="0.25">
      <c r="A51" s="1" t="s">
        <v>53</v>
      </c>
      <c r="B51" s="3">
        <v>1028</v>
      </c>
      <c r="C51" s="3">
        <v>1434</v>
      </c>
      <c r="D51" s="3">
        <v>797</v>
      </c>
      <c r="E51" s="3">
        <v>813</v>
      </c>
      <c r="F51" s="3">
        <v>599</v>
      </c>
      <c r="G51" s="14"/>
      <c r="H51" s="3">
        <v>760</v>
      </c>
      <c r="I51" s="18">
        <v>493.375600000004</v>
      </c>
      <c r="J51" s="18">
        <v>493</v>
      </c>
      <c r="K51" s="18">
        <v>493</v>
      </c>
      <c r="L51" s="18">
        <v>493</v>
      </c>
      <c r="N51" s="3"/>
      <c r="O51" s="3"/>
      <c r="P51" s="3"/>
      <c r="Q51" s="3"/>
    </row>
    <row r="52" spans="1:17" x14ac:dyDescent="0.25">
      <c r="A52" s="1" t="s">
        <v>54</v>
      </c>
      <c r="B52" s="3">
        <v>2783</v>
      </c>
      <c r="C52" s="3">
        <v>3244</v>
      </c>
      <c r="D52" s="3">
        <v>3486</v>
      </c>
      <c r="E52" s="3">
        <v>3520</v>
      </c>
      <c r="F52" s="3">
        <v>3820</v>
      </c>
      <c r="G52" s="14"/>
      <c r="H52" s="3">
        <v>4163</v>
      </c>
      <c r="I52" s="18">
        <v>3820.2200700000003</v>
      </c>
      <c r="J52" s="18">
        <v>4274</v>
      </c>
      <c r="K52" s="18">
        <v>4730</v>
      </c>
      <c r="L52" s="18">
        <v>5203</v>
      </c>
      <c r="N52" s="3"/>
      <c r="O52" s="3"/>
      <c r="P52" s="3"/>
      <c r="Q52" s="3"/>
    </row>
    <row r="53" spans="1:17" x14ac:dyDescent="0.25">
      <c r="A53" s="1" t="s">
        <v>55</v>
      </c>
      <c r="B53" s="3">
        <v>2294</v>
      </c>
      <c r="C53" s="3">
        <v>2340</v>
      </c>
      <c r="D53" s="3">
        <v>2384</v>
      </c>
      <c r="E53" s="3">
        <v>5107</v>
      </c>
      <c r="F53" s="3">
        <v>1464</v>
      </c>
      <c r="G53" s="14"/>
      <c r="H53" s="3">
        <v>1431</v>
      </c>
      <c r="I53" s="18">
        <v>1431.3484834388892</v>
      </c>
      <c r="J53" s="18">
        <v>1364</v>
      </c>
      <c r="K53" s="18">
        <v>1121</v>
      </c>
      <c r="L53" s="18">
        <v>1120</v>
      </c>
      <c r="N53" s="3"/>
      <c r="O53" s="3"/>
      <c r="P53" s="3"/>
      <c r="Q53" s="3"/>
    </row>
    <row r="54" spans="1:17" x14ac:dyDescent="0.25">
      <c r="A54" s="1" t="s">
        <v>56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14"/>
      <c r="H54" s="3">
        <v>0</v>
      </c>
      <c r="I54" s="18">
        <v>0</v>
      </c>
      <c r="J54" s="18">
        <v>0</v>
      </c>
      <c r="K54" s="18">
        <v>0</v>
      </c>
      <c r="L54" s="18">
        <v>0</v>
      </c>
      <c r="N54" s="3"/>
      <c r="O54" s="3"/>
      <c r="P54" s="3"/>
      <c r="Q54" s="3"/>
    </row>
    <row r="55" spans="1:17" x14ac:dyDescent="0.25">
      <c r="A55" s="1" t="s">
        <v>57</v>
      </c>
      <c r="B55" s="3">
        <v>353</v>
      </c>
      <c r="C55" s="3">
        <v>477</v>
      </c>
      <c r="D55" s="3">
        <v>503</v>
      </c>
      <c r="E55" s="3">
        <v>923</v>
      </c>
      <c r="F55" s="3">
        <v>919</v>
      </c>
      <c r="G55" s="14"/>
      <c r="H55" s="3">
        <v>1017</v>
      </c>
      <c r="I55" s="18">
        <v>1360.0844414538678</v>
      </c>
      <c r="J55" s="18">
        <v>1476</v>
      </c>
      <c r="K55" s="18">
        <v>1593</v>
      </c>
      <c r="L55" s="18">
        <v>1714</v>
      </c>
      <c r="N55" s="3"/>
      <c r="O55" s="3"/>
      <c r="P55" s="3"/>
      <c r="Q55" s="3"/>
    </row>
    <row r="56" spans="1:17" x14ac:dyDescent="0.25">
      <c r="A56" s="1" t="s">
        <v>58</v>
      </c>
      <c r="B56" s="3">
        <v>11098</v>
      </c>
      <c r="C56" s="3">
        <v>10538</v>
      </c>
      <c r="D56" s="3">
        <v>9004</v>
      </c>
      <c r="E56" s="3">
        <v>7592</v>
      </c>
      <c r="F56" s="3">
        <v>10567</v>
      </c>
      <c r="G56" s="14"/>
      <c r="H56" s="3">
        <v>13611</v>
      </c>
      <c r="I56" s="18">
        <v>13611.36563656111</v>
      </c>
      <c r="J56" s="18">
        <v>14855</v>
      </c>
      <c r="K56" s="18">
        <v>15141</v>
      </c>
      <c r="L56" s="18">
        <v>15521</v>
      </c>
      <c r="N56" s="3"/>
      <c r="O56" s="3"/>
      <c r="P56" s="3"/>
      <c r="Q56" s="3"/>
    </row>
    <row r="57" spans="1:17" x14ac:dyDescent="0.25">
      <c r="A57" s="1" t="s">
        <v>59</v>
      </c>
      <c r="B57" s="3">
        <v>471</v>
      </c>
      <c r="C57" s="3">
        <v>2395</v>
      </c>
      <c r="D57" s="3">
        <v>0</v>
      </c>
      <c r="E57" s="3">
        <v>0</v>
      </c>
      <c r="F57" s="3">
        <v>0</v>
      </c>
      <c r="G57" s="14"/>
      <c r="H57" s="3">
        <v>0</v>
      </c>
      <c r="I57" s="18">
        <v>0</v>
      </c>
      <c r="J57" s="18">
        <v>0</v>
      </c>
      <c r="K57" s="18">
        <v>0</v>
      </c>
      <c r="L57" s="18">
        <v>0</v>
      </c>
      <c r="N57" s="3"/>
      <c r="O57" s="3"/>
      <c r="P57" s="3"/>
      <c r="Q57" s="3"/>
    </row>
    <row r="58" spans="1:17" x14ac:dyDescent="0.25">
      <c r="A58" s="2" t="s">
        <v>32</v>
      </c>
      <c r="B58" s="4">
        <f>SUM(B50:B57)</f>
        <v>21773</v>
      </c>
      <c r="C58" s="4">
        <f t="shared" ref="C58:F58" si="19">SUM(C50:C57)</f>
        <v>23410</v>
      </c>
      <c r="D58" s="4">
        <f t="shared" si="19"/>
        <v>21357</v>
      </c>
      <c r="E58" s="4">
        <f t="shared" si="19"/>
        <v>24293</v>
      </c>
      <c r="F58" s="4">
        <f t="shared" si="19"/>
        <v>21225</v>
      </c>
      <c r="G58" s="14"/>
      <c r="H58" s="4">
        <f t="shared" ref="H58:I58" si="20">SUM(H50:H57)</f>
        <v>24751</v>
      </c>
      <c r="I58" s="19">
        <f t="shared" si="20"/>
        <v>24745.002121453872</v>
      </c>
      <c r="J58" s="19">
        <f t="shared" ref="J58" si="21">SUM(J50:J57)</f>
        <v>26189</v>
      </c>
      <c r="K58" s="19">
        <f t="shared" ref="K58" si="22">SUM(K50:K57)</f>
        <v>26869</v>
      </c>
      <c r="L58" s="19">
        <f t="shared" ref="L58" si="23">SUM(L50:L57)</f>
        <v>27968</v>
      </c>
      <c r="N58" s="3"/>
      <c r="O58" s="3"/>
      <c r="P58" s="3"/>
    </row>
    <row r="59" spans="1:17" x14ac:dyDescent="0.25">
      <c r="A59" s="1" t="s">
        <v>35</v>
      </c>
      <c r="B59" s="3">
        <v>166611</v>
      </c>
      <c r="C59" s="3">
        <v>157899</v>
      </c>
      <c r="D59" s="3">
        <v>322733</v>
      </c>
      <c r="E59" s="3">
        <v>287606</v>
      </c>
      <c r="F59" s="3">
        <v>303281</v>
      </c>
      <c r="G59" s="14"/>
      <c r="H59" s="3">
        <v>323786</v>
      </c>
      <c r="I59" s="18">
        <f>'[1]Balance Sheet'!$I$44+'[1]Balance Sheet'!$I$45</f>
        <v>303280.64112000004</v>
      </c>
      <c r="J59" s="18">
        <v>329256</v>
      </c>
      <c r="K59" s="18">
        <v>332987</v>
      </c>
      <c r="L59" s="18">
        <v>332987</v>
      </c>
      <c r="N59" s="3"/>
      <c r="O59" s="3"/>
      <c r="P59" s="3"/>
      <c r="Q59" s="3"/>
    </row>
    <row r="60" spans="1:17" x14ac:dyDescent="0.25">
      <c r="A60" s="1" t="s">
        <v>33</v>
      </c>
      <c r="B60" s="3">
        <v>151916</v>
      </c>
      <c r="C60" s="3">
        <v>153779</v>
      </c>
      <c r="D60" s="3">
        <v>161296</v>
      </c>
      <c r="E60" s="3">
        <v>124985</v>
      </c>
      <c r="F60" s="3">
        <v>131611</v>
      </c>
      <c r="G60" s="14"/>
      <c r="H60" s="3">
        <v>138125</v>
      </c>
      <c r="I60" s="18">
        <v>140101.29860000001</v>
      </c>
      <c r="J60" s="18">
        <v>153723</v>
      </c>
      <c r="K60" s="18">
        <v>157720</v>
      </c>
      <c r="L60" s="18">
        <v>165942</v>
      </c>
      <c r="N60" s="3"/>
      <c r="O60" s="3"/>
      <c r="P60" s="3"/>
      <c r="Q60" s="3"/>
    </row>
    <row r="61" spans="1:17" x14ac:dyDescent="0.25">
      <c r="A61" s="2" t="s">
        <v>34</v>
      </c>
      <c r="B61" s="4">
        <f>SUM(B59:B60)</f>
        <v>318527</v>
      </c>
      <c r="C61" s="4">
        <f>SUM(C59:C60)-1</f>
        <v>311677</v>
      </c>
      <c r="D61" s="4">
        <f t="shared" ref="D61" si="24">SUM(D59:D60)</f>
        <v>484029</v>
      </c>
      <c r="E61" s="4">
        <f>SUM(E59:E60)+1</f>
        <v>412592</v>
      </c>
      <c r="F61" s="4">
        <f>SUM(F59:F60)-1</f>
        <v>434891</v>
      </c>
      <c r="G61" s="14"/>
      <c r="H61" s="4">
        <f t="shared" ref="H61:I61" si="25">SUM(H59:H60)</f>
        <v>461911</v>
      </c>
      <c r="I61" s="19">
        <f t="shared" si="25"/>
        <v>443381.93972000002</v>
      </c>
      <c r="J61" s="19">
        <f>SUM(J59:J60)+1</f>
        <v>482980</v>
      </c>
      <c r="K61" s="19">
        <f>SUM(K59:K60)+1</f>
        <v>490708</v>
      </c>
      <c r="L61" s="19">
        <f>SUM(L59:L60)+2</f>
        <v>498931</v>
      </c>
    </row>
    <row r="62" spans="1:17" x14ac:dyDescent="0.25">
      <c r="B62" s="3"/>
      <c r="C62" s="3"/>
      <c r="D62" s="3"/>
      <c r="E62" s="3"/>
      <c r="F62" s="3"/>
      <c r="G62" s="14"/>
      <c r="H62" s="3"/>
      <c r="I62" s="3"/>
      <c r="J62" s="18"/>
      <c r="K62" s="18"/>
      <c r="L62" s="18"/>
    </row>
    <row r="63" spans="1:17" x14ac:dyDescent="0.25">
      <c r="A63" s="10" t="s">
        <v>38</v>
      </c>
      <c r="B63" s="11">
        <f t="shared" ref="B63:F63" si="26">B49-B58-B61</f>
        <v>0</v>
      </c>
      <c r="C63" s="11">
        <f t="shared" si="26"/>
        <v>0</v>
      </c>
      <c r="D63" s="11">
        <f t="shared" si="26"/>
        <v>0</v>
      </c>
      <c r="E63" s="11">
        <f t="shared" si="26"/>
        <v>0</v>
      </c>
      <c r="F63" s="11">
        <f t="shared" si="26"/>
        <v>0</v>
      </c>
      <c r="G63" s="15"/>
      <c r="H63" s="11">
        <f>H49-H58-H61</f>
        <v>0</v>
      </c>
      <c r="I63" s="11">
        <f>I49-I58-I61</f>
        <v>0</v>
      </c>
      <c r="J63" s="34">
        <f t="shared" ref="J63:L63" si="27">J49-J58-J61</f>
        <v>0</v>
      </c>
      <c r="K63" s="34">
        <f t="shared" si="27"/>
        <v>0</v>
      </c>
      <c r="L63" s="34">
        <f t="shared" si="27"/>
        <v>0</v>
      </c>
    </row>
    <row r="64" spans="1:17" x14ac:dyDescent="0.25">
      <c r="B64" s="3"/>
      <c r="C64" s="3"/>
      <c r="D64" s="3"/>
      <c r="E64" s="3"/>
      <c r="F64" s="3"/>
      <c r="G64" s="14"/>
      <c r="H64" s="3"/>
      <c r="I64" s="3"/>
      <c r="J64" s="18"/>
      <c r="K64" s="18"/>
      <c r="L64" s="18"/>
    </row>
    <row r="65" spans="1:25" x14ac:dyDescent="0.25">
      <c r="A65" s="8" t="s">
        <v>61</v>
      </c>
      <c r="B65" s="9"/>
      <c r="C65" s="9"/>
      <c r="D65" s="9"/>
      <c r="E65" s="9"/>
      <c r="F65" s="9"/>
      <c r="G65" s="9"/>
      <c r="H65" s="9"/>
      <c r="I65" s="9"/>
      <c r="J65" s="21"/>
      <c r="K65" s="21"/>
      <c r="L65" s="21"/>
      <c r="M65" s="9"/>
    </row>
    <row r="66" spans="1:25" x14ac:dyDescent="0.25">
      <c r="G66" s="12"/>
      <c r="J66" s="16"/>
      <c r="K66" s="16"/>
      <c r="L66" s="16"/>
    </row>
    <row r="67" spans="1:25" x14ac:dyDescent="0.25">
      <c r="A67" s="6" t="s">
        <v>62</v>
      </c>
      <c r="G67" s="12"/>
      <c r="H67" s="6" t="s">
        <v>89</v>
      </c>
      <c r="I67" s="6"/>
      <c r="J67" s="16"/>
      <c r="K67" s="16"/>
      <c r="L67" s="16"/>
    </row>
    <row r="68" spans="1:25" x14ac:dyDescent="0.25">
      <c r="A68" s="6"/>
      <c r="G68" s="12"/>
      <c r="H68" s="6"/>
      <c r="I68" s="6"/>
      <c r="J68" s="16"/>
      <c r="K68" s="16"/>
      <c r="L68" s="16"/>
    </row>
    <row r="69" spans="1:25" x14ac:dyDescent="0.25">
      <c r="A69" s="6"/>
      <c r="B69" s="7" t="s">
        <v>3</v>
      </c>
      <c r="C69" s="7" t="s">
        <v>4</v>
      </c>
      <c r="D69" s="7" t="s">
        <v>5</v>
      </c>
      <c r="E69" s="7" t="s">
        <v>6</v>
      </c>
      <c r="F69" s="7" t="s">
        <v>7</v>
      </c>
      <c r="G69" s="12"/>
      <c r="H69" s="7" t="s">
        <v>25</v>
      </c>
      <c r="I69" s="7" t="s">
        <v>71</v>
      </c>
      <c r="J69" s="17" t="s">
        <v>26</v>
      </c>
      <c r="K69" s="17" t="s">
        <v>27</v>
      </c>
      <c r="L69" s="17" t="s">
        <v>28</v>
      </c>
    </row>
    <row r="70" spans="1:25" x14ac:dyDescent="0.25">
      <c r="A70" t="s">
        <v>63</v>
      </c>
      <c r="B70" s="3">
        <v>3877</v>
      </c>
      <c r="C70" s="3">
        <v>2848</v>
      </c>
      <c r="D70" s="3">
        <v>455</v>
      </c>
      <c r="E70" s="3">
        <v>462</v>
      </c>
      <c r="F70" s="3">
        <v>971</v>
      </c>
      <c r="G70" s="12"/>
      <c r="H70" s="3">
        <v>6975</v>
      </c>
      <c r="I70" s="3">
        <v>5737.0797199999997</v>
      </c>
      <c r="J70" s="18">
        <v>6749</v>
      </c>
      <c r="K70" s="18">
        <v>1307</v>
      </c>
      <c r="L70" s="18">
        <v>5402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t="s">
        <v>64</v>
      </c>
      <c r="B71" s="3">
        <v>3164</v>
      </c>
      <c r="C71" s="3">
        <v>11942</v>
      </c>
      <c r="D71" s="3">
        <v>11532</v>
      </c>
      <c r="E71" s="3">
        <v>9890</v>
      </c>
      <c r="F71" s="3">
        <v>7692</v>
      </c>
      <c r="G71" s="12"/>
      <c r="H71" s="3">
        <v>5947</v>
      </c>
      <c r="I71" s="3">
        <v>11723.38672</v>
      </c>
      <c r="J71" s="18">
        <v>9476</v>
      </c>
      <c r="K71" s="18">
        <v>7907</v>
      </c>
      <c r="L71" s="18">
        <v>8360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5" x14ac:dyDescent="0.25">
      <c r="A72" t="s">
        <v>65</v>
      </c>
      <c r="B72" s="3">
        <v>4458</v>
      </c>
      <c r="C72" s="3">
        <v>1265</v>
      </c>
      <c r="D72" s="3">
        <v>689</v>
      </c>
      <c r="E72" s="3">
        <v>553</v>
      </c>
      <c r="F72" s="3">
        <v>531</v>
      </c>
      <c r="G72" s="12"/>
      <c r="H72" s="3">
        <v>2291</v>
      </c>
      <c r="I72" s="3">
        <v>6343.9202500000001</v>
      </c>
      <c r="J72" s="18">
        <v>251</v>
      </c>
      <c r="K72" s="18">
        <v>661</v>
      </c>
      <c r="L72" s="18">
        <v>739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5" x14ac:dyDescent="0.25">
      <c r="A73" t="s">
        <v>66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12"/>
      <c r="H73" s="3">
        <v>0</v>
      </c>
      <c r="I73" s="3">
        <v>0</v>
      </c>
      <c r="J73" s="18">
        <v>0</v>
      </c>
      <c r="K73" s="18">
        <v>0</v>
      </c>
      <c r="L73" s="18"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5" x14ac:dyDescent="0.25">
      <c r="A74" t="s">
        <v>67</v>
      </c>
      <c r="B74" s="4">
        <f>SUM(B70:B73)</f>
        <v>11499</v>
      </c>
      <c r="C74" s="4">
        <f t="shared" ref="C74:F74" si="28">SUM(C70:C73)</f>
        <v>16055</v>
      </c>
      <c r="D74" s="4">
        <f t="shared" si="28"/>
        <v>12676</v>
      </c>
      <c r="E74" s="4">
        <f t="shared" si="28"/>
        <v>10905</v>
      </c>
      <c r="F74" s="4">
        <f t="shared" si="28"/>
        <v>9194</v>
      </c>
      <c r="G74" s="14"/>
      <c r="H74" s="4">
        <f t="shared" ref="H74:I74" si="29">SUM(H70:H73)</f>
        <v>15213</v>
      </c>
      <c r="I74" s="4">
        <f t="shared" si="29"/>
        <v>23804.386689999999</v>
      </c>
      <c r="J74" s="19">
        <f t="shared" ref="J74" si="30">SUM(J70:J73)</f>
        <v>16476</v>
      </c>
      <c r="K74" s="19">
        <f t="shared" ref="K74" si="31">SUM(K70:K73)</f>
        <v>9875</v>
      </c>
      <c r="L74" s="19">
        <f t="shared" ref="L74" si="32">SUM(L70:L73)</f>
        <v>14501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5" x14ac:dyDescent="0.25">
      <c r="B75" s="3"/>
      <c r="C75" s="3"/>
      <c r="D75" s="3"/>
      <c r="E75" s="3"/>
      <c r="F75" s="3"/>
      <c r="G75" s="3"/>
      <c r="H75" s="3"/>
      <c r="I75" s="3"/>
      <c r="J75" s="18"/>
      <c r="K75" s="18"/>
      <c r="L75" s="18"/>
      <c r="M75" s="3"/>
    </row>
    <row r="76" spans="1:25" x14ac:dyDescent="0.25">
      <c r="K76" s="33"/>
      <c r="L76" s="33"/>
    </row>
    <row r="77" spans="1:25" outlineLevel="1" x14ac:dyDescent="0.25"/>
    <row r="78" spans="1:25" outlineLevel="1" x14ac:dyDescent="0.25">
      <c r="A78" t="s">
        <v>72</v>
      </c>
      <c r="B78" s="23"/>
      <c r="C78" s="23"/>
      <c r="D78" s="23"/>
      <c r="E78" s="23"/>
      <c r="F78" s="26">
        <f>F90/F91</f>
        <v>-4.3225589549013019E-3</v>
      </c>
      <c r="G78" s="27"/>
      <c r="H78" s="26">
        <f t="shared" ref="H78:L78" si="33">H90/H91</f>
        <v>-1.2213228602902438E-2</v>
      </c>
      <c r="I78" s="26">
        <f>I90/I91</f>
        <v>-6.1036675410879732E-2</v>
      </c>
      <c r="J78" s="26">
        <f t="shared" si="33"/>
        <v>2.5879049974371994E-2</v>
      </c>
      <c r="K78" s="26">
        <f t="shared" si="33"/>
        <v>-3.0233461557581852E-2</v>
      </c>
      <c r="L78" s="26">
        <f t="shared" si="33"/>
        <v>-2.2145091199387446E-2</v>
      </c>
      <c r="M78" s="23"/>
    </row>
    <row r="79" spans="1:25" outlineLevel="1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25" outlineLevel="1" x14ac:dyDescent="0.25">
      <c r="A80" t="s">
        <v>73</v>
      </c>
      <c r="B80" s="23"/>
      <c r="C80" s="23"/>
      <c r="D80" s="23"/>
      <c r="E80" s="23"/>
      <c r="F80" s="24">
        <f>SUM(F36:F42)/SUM(F50:F54)</f>
        <v>1.8346852859636513</v>
      </c>
      <c r="G80" s="23"/>
      <c r="H80" s="24">
        <f t="shared" ref="H80:L80" si="34">SUM(H36:H42)/SUM(H50:H54)</f>
        <v>1.0152128815568506</v>
      </c>
      <c r="I80" s="24">
        <f t="shared" ref="I80" si="35">SUM(I36:I42)/SUM(I50:I54)</f>
        <v>1.3242968384398937</v>
      </c>
      <c r="J80" s="24">
        <f t="shared" si="34"/>
        <v>1.4649016027591804</v>
      </c>
      <c r="K80" s="24">
        <f t="shared" si="34"/>
        <v>1.7047853971386284</v>
      </c>
      <c r="L80" s="24">
        <f t="shared" si="34"/>
        <v>1.904406969160533</v>
      </c>
      <c r="M80" s="24"/>
    </row>
    <row r="81" spans="1:13" outlineLevel="1" x14ac:dyDescent="0.25">
      <c r="A81" t="s">
        <v>74</v>
      </c>
      <c r="B81" s="23"/>
      <c r="C81" s="23"/>
      <c r="D81" s="23"/>
      <c r="E81" s="23"/>
      <c r="F81" s="26">
        <f>F94/SUM(F50:F54)</f>
        <v>0.52202484854707876</v>
      </c>
      <c r="G81" s="27"/>
      <c r="H81" s="26">
        <f t="shared" ref="H81:L81" si="36">H94/SUM(H50:H54)</f>
        <v>0.34782179195890545</v>
      </c>
      <c r="I81" s="26">
        <f>I94/SUM(I50:I54)</f>
        <v>0.59791031940806327</v>
      </c>
      <c r="J81" s="26">
        <f t="shared" si="36"/>
        <v>0.60570095354027187</v>
      </c>
      <c r="K81" s="26">
        <f t="shared" si="36"/>
        <v>0.65180069067587565</v>
      </c>
      <c r="L81" s="26">
        <f t="shared" si="36"/>
        <v>0.68238144041740423</v>
      </c>
      <c r="M81" s="23"/>
    </row>
    <row r="82" spans="1:13" outlineLevel="1" x14ac:dyDescent="0.2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outlineLevel="1" x14ac:dyDescent="0.25">
      <c r="A83" t="s">
        <v>75</v>
      </c>
      <c r="B83" s="23"/>
      <c r="C83" s="23"/>
      <c r="D83" s="23"/>
      <c r="E83" s="23"/>
      <c r="F83" s="24">
        <f>(F53+F56)/F8</f>
        <v>0.4353852278073318</v>
      </c>
      <c r="G83" s="23"/>
      <c r="H83" s="24">
        <f t="shared" ref="H83:L83" si="37">(H53+H56)/H8</f>
        <v>0.51667639885961603</v>
      </c>
      <c r="I83" s="24">
        <f t="shared" si="37"/>
        <v>0.51245571455160099</v>
      </c>
      <c r="J83" s="24">
        <f t="shared" si="37"/>
        <v>0.53200511668284356</v>
      </c>
      <c r="K83" s="24">
        <f t="shared" si="37"/>
        <v>0.51390061597466019</v>
      </c>
      <c r="L83" s="24">
        <f t="shared" si="37"/>
        <v>0.50619574532688172</v>
      </c>
      <c r="M83" s="24"/>
    </row>
    <row r="84" spans="1:13" outlineLevel="1" x14ac:dyDescent="0.25">
      <c r="A84" t="s">
        <v>76</v>
      </c>
      <c r="B84" s="23"/>
      <c r="C84" s="23"/>
      <c r="D84" s="23"/>
      <c r="E84" s="23"/>
      <c r="F84" s="24">
        <f>(F89+F23)/F8</f>
        <v>8.8444975210798679E-2</v>
      </c>
      <c r="G84" s="23"/>
      <c r="H84" s="24">
        <f t="shared" ref="H84:L84" si="38">(H89+H23)/H8</f>
        <v>7.9980455466630032E-2</v>
      </c>
      <c r="I84" s="24">
        <f t="shared" si="38"/>
        <v>7.9316999833722451E-2</v>
      </c>
      <c r="J84" s="24">
        <f t="shared" si="38"/>
        <v>7.632635237791012E-2</v>
      </c>
      <c r="K84" s="24">
        <f t="shared" si="38"/>
        <v>7.0536845609168744E-2</v>
      </c>
      <c r="L84" s="24">
        <f t="shared" si="38"/>
        <v>5.952424876268618E-2</v>
      </c>
      <c r="M84" s="23"/>
    </row>
    <row r="85" spans="1:13" outlineLevel="1" x14ac:dyDescent="0.25">
      <c r="A85" t="s">
        <v>77</v>
      </c>
      <c r="B85" s="23"/>
      <c r="C85" s="23"/>
      <c r="D85" s="23"/>
      <c r="E85" s="23"/>
      <c r="F85" s="24">
        <f>SUM(F55:F57)/(F8+F9+F10+F18+F15)</f>
        <v>0.41106577911387876</v>
      </c>
      <c r="G85" s="23"/>
      <c r="H85" s="24">
        <f t="shared" ref="H85:L85" si="39">SUM(H55:H57)/(H8+H9+H10+H18+H15)</f>
        <v>0.46736317454231763</v>
      </c>
      <c r="I85" s="24">
        <f t="shared" ref="I85" si="40">SUM(I55:I57)/(I8+I9+I10+I18+I15)</f>
        <v>0.47054450229266925</v>
      </c>
      <c r="J85" s="24">
        <f t="shared" si="39"/>
        <v>0.4917316069355418</v>
      </c>
      <c r="K85" s="24">
        <f t="shared" si="39"/>
        <v>0.48347119092883167</v>
      </c>
      <c r="L85" s="24">
        <f t="shared" si="39"/>
        <v>0.47695875293655449</v>
      </c>
      <c r="M85" s="24"/>
    </row>
    <row r="86" spans="1:13" outlineLevel="1" x14ac:dyDescent="0.25">
      <c r="A86" t="s">
        <v>78</v>
      </c>
      <c r="B86" s="23"/>
      <c r="C86" s="23"/>
      <c r="D86" s="23"/>
      <c r="E86" s="23"/>
      <c r="F86" s="24">
        <f>F71/F22</f>
        <v>0.99792423456149459</v>
      </c>
      <c r="G86" s="23"/>
      <c r="H86" s="24">
        <f t="shared" ref="H86:L86" si="41">H71/H22</f>
        <v>0.69191390343222803</v>
      </c>
      <c r="I86" s="24">
        <f t="shared" si="41"/>
        <v>1.3640102043167062</v>
      </c>
      <c r="J86" s="24">
        <f t="shared" si="41"/>
        <v>0.95131696567061197</v>
      </c>
      <c r="K86" s="24">
        <f t="shared" si="41"/>
        <v>0.72448805092525481</v>
      </c>
      <c r="L86" s="24">
        <f t="shared" si="41"/>
        <v>0.7379857820310991</v>
      </c>
      <c r="M86" s="24"/>
    </row>
    <row r="87" spans="1:13" outlineLevel="1" x14ac:dyDescent="0.25"/>
    <row r="88" spans="1:13" outlineLevel="1" x14ac:dyDescent="0.25"/>
    <row r="89" spans="1:13" outlineLevel="1" x14ac:dyDescent="0.25">
      <c r="A89" s="28" t="s">
        <v>79</v>
      </c>
      <c r="B89" s="28"/>
      <c r="C89" s="28"/>
      <c r="D89" s="28"/>
      <c r="E89" s="28"/>
      <c r="F89" s="29">
        <v>1667</v>
      </c>
      <c r="G89" s="28"/>
      <c r="H89" s="29">
        <v>1464.471</v>
      </c>
      <c r="I89" s="29">
        <v>1464.471</v>
      </c>
      <c r="J89" s="29">
        <v>1431.3484834388901</v>
      </c>
      <c r="K89" s="29">
        <v>1363.9835220145301</v>
      </c>
      <c r="L89" s="29">
        <v>1120.54364864831</v>
      </c>
      <c r="M89" s="25"/>
    </row>
    <row r="90" spans="1:13" outlineLevel="1" x14ac:dyDescent="0.25">
      <c r="A90" s="28" t="s">
        <v>72</v>
      </c>
      <c r="B90" s="28"/>
      <c r="C90" s="28"/>
      <c r="D90" s="28"/>
      <c r="E90" s="28"/>
      <c r="F90" s="29">
        <f>F27-F13-F14-F92</f>
        <v>-180</v>
      </c>
      <c r="G90" s="28"/>
      <c r="H90" s="30">
        <f t="shared" ref="H90:L90" si="42">H27-H13-H14-H92</f>
        <v>-510</v>
      </c>
      <c r="I90" s="29">
        <f>I27-I13-I14-I92</f>
        <v>-2546.5700699999907</v>
      </c>
      <c r="J90" s="30">
        <f t="shared" si="42"/>
        <v>1168.6847109743103</v>
      </c>
      <c r="K90" s="30">
        <f t="shared" si="42"/>
        <v>-1355.5161996852039</v>
      </c>
      <c r="L90" s="30">
        <f t="shared" si="42"/>
        <v>-1036.6940034674135</v>
      </c>
    </row>
    <row r="91" spans="1:13" outlineLevel="1" x14ac:dyDescent="0.25">
      <c r="A91" s="28" t="s">
        <v>81</v>
      </c>
      <c r="B91" s="28"/>
      <c r="C91" s="28"/>
      <c r="D91" s="28"/>
      <c r="E91" s="28"/>
      <c r="F91" s="29">
        <f>F19-F13-F14-F92</f>
        <v>41642</v>
      </c>
      <c r="G91" s="28"/>
      <c r="H91" s="30">
        <f t="shared" ref="H91:L91" si="43">H19-H13-H14-H92</f>
        <v>41758</v>
      </c>
      <c r="I91" s="29">
        <f>I19-I13-I14-I92</f>
        <v>41721.965570000015</v>
      </c>
      <c r="J91" s="30">
        <f t="shared" si="43"/>
        <v>45159.490480974302</v>
      </c>
      <c r="K91" s="30">
        <f t="shared" si="43"/>
        <v>44834.965295109316</v>
      </c>
      <c r="L91" s="30">
        <f t="shared" si="43"/>
        <v>46813.715695877981</v>
      </c>
    </row>
    <row r="92" spans="1:13" outlineLevel="1" x14ac:dyDescent="0.25">
      <c r="A92" s="28" t="s">
        <v>82</v>
      </c>
      <c r="B92" s="28"/>
      <c r="C92" s="28"/>
      <c r="D92" s="28"/>
      <c r="E92" s="28"/>
      <c r="F92" s="29">
        <v>3083</v>
      </c>
      <c r="G92" s="28"/>
      <c r="H92" s="30">
        <v>2760</v>
      </c>
      <c r="I92" s="30">
        <v>6337</v>
      </c>
      <c r="J92" s="29">
        <v>1827</v>
      </c>
      <c r="K92" s="29">
        <v>500</v>
      </c>
      <c r="L92" s="29">
        <v>1150</v>
      </c>
    </row>
    <row r="93" spans="1:13" outlineLevel="1" x14ac:dyDescent="0.25">
      <c r="A93" s="28"/>
      <c r="B93" s="28"/>
      <c r="C93" s="28"/>
      <c r="D93" s="28"/>
      <c r="E93" s="28"/>
      <c r="F93" s="29"/>
      <c r="G93" s="28"/>
      <c r="H93" s="30"/>
      <c r="I93" s="30"/>
      <c r="J93" s="28"/>
      <c r="K93" s="28"/>
      <c r="L93" s="28"/>
    </row>
    <row r="94" spans="1:13" outlineLevel="1" x14ac:dyDescent="0.25">
      <c r="A94" s="28" t="s">
        <v>80</v>
      </c>
      <c r="B94" s="28"/>
      <c r="C94" s="28"/>
      <c r="D94" s="28"/>
      <c r="E94" s="28"/>
      <c r="F94" s="29">
        <f>F36-F95-F96-F97-F98</f>
        <v>5084</v>
      </c>
      <c r="G94" s="28"/>
      <c r="H94" s="30">
        <f>H36-H95-H96-H97-H98</f>
        <v>3521</v>
      </c>
      <c r="I94" s="30">
        <f t="shared" ref="I94" si="44">I36-I95-I96-I97-I98</f>
        <v>5843.7076240438792</v>
      </c>
      <c r="J94" s="30">
        <f t="shared" ref="J94:L94" si="45">J36-J95-J96-J97-J98</f>
        <v>5971</v>
      </c>
      <c r="K94" s="30">
        <f t="shared" si="45"/>
        <v>6606</v>
      </c>
      <c r="L94" s="30">
        <f t="shared" si="45"/>
        <v>7324</v>
      </c>
    </row>
    <row r="95" spans="1:13" outlineLevel="1" x14ac:dyDescent="0.25">
      <c r="A95" s="31" t="s">
        <v>83</v>
      </c>
      <c r="B95" s="28"/>
      <c r="C95" s="28"/>
      <c r="D95" s="28"/>
      <c r="E95" s="28"/>
      <c r="F95" s="29">
        <v>715</v>
      </c>
      <c r="G95" s="28"/>
      <c r="H95" s="30">
        <v>715</v>
      </c>
      <c r="I95" s="30">
        <v>715</v>
      </c>
      <c r="J95" s="32">
        <f>H95+100+1528</f>
        <v>2343</v>
      </c>
      <c r="K95" s="32">
        <f>J95+100+1963</f>
        <v>4406</v>
      </c>
      <c r="L95" s="32">
        <f>K95+100+2198</f>
        <v>6704</v>
      </c>
    </row>
    <row r="96" spans="1:13" outlineLevel="1" x14ac:dyDescent="0.25">
      <c r="A96" s="31" t="s">
        <v>84</v>
      </c>
      <c r="B96" s="28"/>
      <c r="C96" s="28"/>
      <c r="D96" s="28"/>
      <c r="E96" s="28"/>
      <c r="F96" s="29">
        <v>4875</v>
      </c>
      <c r="G96" s="28"/>
      <c r="H96" s="29">
        <v>0</v>
      </c>
      <c r="I96" s="29">
        <v>0</v>
      </c>
      <c r="J96" s="29">
        <v>0</v>
      </c>
      <c r="K96" s="29">
        <v>0</v>
      </c>
      <c r="L96" s="29">
        <v>0</v>
      </c>
    </row>
    <row r="97" spans="1:12" outlineLevel="1" x14ac:dyDescent="0.25">
      <c r="A97" s="31" t="s">
        <v>85</v>
      </c>
      <c r="B97" s="28"/>
      <c r="C97" s="28"/>
      <c r="D97" s="28"/>
      <c r="E97" s="28"/>
      <c r="F97" s="29">
        <f>F51</f>
        <v>599</v>
      </c>
      <c r="G97" s="28"/>
      <c r="H97" s="29">
        <f t="shared" ref="H97:L97" si="46">H51</f>
        <v>760</v>
      </c>
      <c r="I97" s="29">
        <f t="shared" si="46"/>
        <v>493.375600000004</v>
      </c>
      <c r="J97" s="29">
        <f t="shared" si="46"/>
        <v>493</v>
      </c>
      <c r="K97" s="29">
        <f t="shared" si="46"/>
        <v>493</v>
      </c>
      <c r="L97" s="29">
        <f t="shared" si="46"/>
        <v>493</v>
      </c>
    </row>
    <row r="98" spans="1:12" outlineLevel="1" x14ac:dyDescent="0.25">
      <c r="A98" s="31" t="s">
        <v>86</v>
      </c>
      <c r="B98" s="28"/>
      <c r="C98" s="28"/>
      <c r="D98" s="28"/>
      <c r="E98" s="28"/>
      <c r="F98" s="29">
        <v>900</v>
      </c>
      <c r="G98" s="28"/>
      <c r="H98" s="29">
        <v>0</v>
      </c>
      <c r="I98" s="29">
        <v>0</v>
      </c>
      <c r="J98" s="29">
        <v>0</v>
      </c>
      <c r="K98" s="29">
        <v>0</v>
      </c>
      <c r="L98" s="29">
        <v>0</v>
      </c>
    </row>
    <row r="99" spans="1:12" outlineLevel="1" x14ac:dyDescent="0.25"/>
  </sheetData>
  <pageMargins left="0.51181102362204722" right="0.51181102362204722" top="0.55118110236220474" bottom="0.55118110236220474" header="0.31496062992125984" footer="0.31496062992125984"/>
  <pageSetup paperSize="9" scale="82" fitToHeight="6" orientation="landscape" r:id="rId1"/>
  <ignoredErrors>
    <ignoredError sqref="J61 C61 I19 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Higher Cap</vt:lpstr>
      <vt:lpstr>No Higher Cap</vt:lpstr>
    </vt:vector>
  </TitlesOfParts>
  <Company>Moorabool 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Light</dc:creator>
  <cp:lastModifiedBy>Aaron Light</cp:lastModifiedBy>
  <cp:lastPrinted>2016-04-26T00:15:35Z</cp:lastPrinted>
  <dcterms:created xsi:type="dcterms:W3CDTF">2016-04-22T03:40:53Z</dcterms:created>
  <dcterms:modified xsi:type="dcterms:W3CDTF">2016-04-27T02:49:34Z</dcterms:modified>
</cp:coreProperties>
</file>