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hidePivotFieldList="1" defaultThemeVersion="164011"/>
  <workbookProtection workbookAlgorithmName="SHA-512" workbookHashValue="JoRj6DIrhBsAYf6gBL928U1OhirbR1Df5NQ2WRa/dO+qrLjUp8+zC2Cb9ambelDWMMuTBzCrNfzIQn36BHKWWw==" workbookSaltValue="7ZfgtbBOddBAVMLN6H32bw==" workbookSpinCount="100000" lockStructure="1"/>
  <bookViews>
    <workbookView xWindow="-120" yWindow="-120" windowWidth="38640" windowHeight="15840" tabRatio="844"/>
  </bookViews>
  <sheets>
    <sheet name="Revenue" sheetId="1" r:id="rId1"/>
    <sheet name="Full_out" sheetId="21" r:id="rId2"/>
    <sheet name="Full_in" sheetId="36" r:id="rId3"/>
    <sheet name="Bass Strait" sheetId="57" r:id="rId4"/>
    <sheet name="General Cargo" sheetId="61" r:id="rId5"/>
    <sheet name="Empty" sheetId="60" r:id="rId6"/>
    <sheet name="Other Bulk" sheetId="62" r:id="rId7"/>
    <sheet name="Transhipments" sheetId="63" r:id="rId8"/>
    <sheet name="Data Notes" sheetId="65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_123Graph_A" localSheetId="3" hidden="1">[1]Labour!#REF!</definedName>
    <definedName name="__123Graph_A" localSheetId="5" hidden="1">[1]Labour!#REF!</definedName>
    <definedName name="__123Graph_A" localSheetId="6" hidden="1">[1]Labour!#REF!</definedName>
    <definedName name="__123Graph_A" localSheetId="7" hidden="1">[1]Labour!#REF!</definedName>
    <definedName name="__123Graph_A" hidden="1">[1]Labour!#REF!</definedName>
    <definedName name="__123Graph_AF" localSheetId="3" hidden="1">[1]Labour!#REF!</definedName>
    <definedName name="__123Graph_AF" localSheetId="5" hidden="1">[1]Labour!#REF!</definedName>
    <definedName name="__123Graph_AF" localSheetId="6" hidden="1">[1]Labour!#REF!</definedName>
    <definedName name="__123Graph_AF" localSheetId="7" hidden="1">[1]Labour!#REF!</definedName>
    <definedName name="__123Graph_AF" hidden="1">[1]Labour!#REF!</definedName>
    <definedName name="__123Graph_AM" localSheetId="3" hidden="1">[1]Labour!#REF!</definedName>
    <definedName name="__123Graph_AM" localSheetId="5" hidden="1">[1]Labour!#REF!</definedName>
    <definedName name="__123Graph_AM" localSheetId="6" hidden="1">[1]Labour!#REF!</definedName>
    <definedName name="__123Graph_AM" localSheetId="7" hidden="1">[1]Labour!#REF!</definedName>
    <definedName name="__123Graph_AM" hidden="1">[1]Labour!#REF!</definedName>
    <definedName name="__123Graph_ATOT" localSheetId="3" hidden="1">[1]Labour!#REF!</definedName>
    <definedName name="__123Graph_ATOT" localSheetId="5" hidden="1">[1]Labour!#REF!</definedName>
    <definedName name="__123Graph_ATOT" localSheetId="6" hidden="1">[1]Labour!#REF!</definedName>
    <definedName name="__123Graph_ATOT" localSheetId="7" hidden="1">[1]Labour!#REF!</definedName>
    <definedName name="__123Graph_ATOT" hidden="1">[1]Labour!#REF!</definedName>
    <definedName name="__123Graph_X" localSheetId="3" hidden="1">[1]Labour!#REF!</definedName>
    <definedName name="__123Graph_X" localSheetId="5" hidden="1">[1]Labour!#REF!</definedName>
    <definedName name="__123Graph_X" localSheetId="6" hidden="1">[1]Labour!#REF!</definedName>
    <definedName name="__123Graph_X" localSheetId="7" hidden="1">[1]Labour!#REF!</definedName>
    <definedName name="__123Graph_X" hidden="1">[1]Labour!#REF!</definedName>
    <definedName name="__123Graph_XF" localSheetId="3" hidden="1">[1]Labour!#REF!</definedName>
    <definedName name="__123Graph_XF" localSheetId="5" hidden="1">[1]Labour!#REF!</definedName>
    <definedName name="__123Graph_XF" localSheetId="6" hidden="1">[1]Labour!#REF!</definedName>
    <definedName name="__123Graph_XF" localSheetId="7" hidden="1">[1]Labour!#REF!</definedName>
    <definedName name="__123Graph_XF" hidden="1">[1]Labour!#REF!</definedName>
    <definedName name="__123Graph_XM" localSheetId="3" hidden="1">[1]Labour!#REF!</definedName>
    <definedName name="__123Graph_XM" localSheetId="5" hidden="1">[1]Labour!#REF!</definedName>
    <definedName name="__123Graph_XM" localSheetId="6" hidden="1">[1]Labour!#REF!</definedName>
    <definedName name="__123Graph_XM" localSheetId="7" hidden="1">[1]Labour!#REF!</definedName>
    <definedName name="__123Graph_XM" hidden="1">[1]Labour!#REF!</definedName>
    <definedName name="__123Graph_XTOT" localSheetId="3" hidden="1">[1]Labour!#REF!</definedName>
    <definedName name="__123Graph_XTOT" localSheetId="5" hidden="1">[1]Labour!#REF!</definedName>
    <definedName name="__123Graph_XTOT" localSheetId="6" hidden="1">[1]Labour!#REF!</definedName>
    <definedName name="__123Graph_XTOT" localSheetId="7" hidden="1">[1]Labour!#REF!</definedName>
    <definedName name="__123Graph_XTOT" hidden="1">[1]Labour!#REF!</definedName>
    <definedName name="_del1" localSheetId="3" hidden="1">#REF!</definedName>
    <definedName name="_del1" localSheetId="5" hidden="1">#REF!</definedName>
    <definedName name="_del1" localSheetId="6" hidden="1">#REF!</definedName>
    <definedName name="_del1" localSheetId="7" hidden="1">#REF!</definedName>
    <definedName name="_del1" hidden="1">#REF!</definedName>
    <definedName name="_del2" localSheetId="3" hidden="1">#REF!</definedName>
    <definedName name="_del2" localSheetId="5" hidden="1">#REF!</definedName>
    <definedName name="_del2" localSheetId="6" hidden="1">#REF!</definedName>
    <definedName name="_del2" localSheetId="7" hidden="1">#REF!</definedName>
    <definedName name="_del2" hidden="1">#REF!</definedName>
    <definedName name="AssetList">[2]Assum_Capex!$B$43:$B$77</definedName>
    <definedName name="con" localSheetId="3">'[3]Table 1'!#REF!</definedName>
    <definedName name="con" localSheetId="5">'[3]Table 1'!#REF!</definedName>
    <definedName name="con" localSheetId="6">'[3]Table 1'!#REF!</definedName>
    <definedName name="con" localSheetId="7">'[3]Table 1'!#REF!</definedName>
    <definedName name="con">'[3]Table 1'!#REF!</definedName>
    <definedName name="DetailedOpexCategories">[2]Assum_Opex!$B$73:$B$197</definedName>
    <definedName name="fraFAFA" localSheetId="3">'[3]Table 1'!#REF!</definedName>
    <definedName name="fraFAFA" localSheetId="5">'[3]Table 1'!#REF!</definedName>
    <definedName name="fraFAFA" localSheetId="6">'[3]Table 1'!#REF!</definedName>
    <definedName name="fraFAFA" localSheetId="7">'[3]Table 1'!#REF!</definedName>
    <definedName name="fraFAFA">'[3]Table 1'!#REF!</definedName>
    <definedName name="OpexCategories">[2]Assum_Opex!$B$32:$B$46</definedName>
    <definedName name="pagend" localSheetId="3">'[4]Table 35a'!#REF!</definedName>
    <definedName name="pagend" localSheetId="5">'[4]Table 35a'!#REF!</definedName>
    <definedName name="pagend" localSheetId="6">'[4]Table 35a'!#REF!</definedName>
    <definedName name="pagend" localSheetId="7">'[4]Table 35a'!#REF!</definedName>
    <definedName name="pagend">'[4]Table 35a'!#REF!</definedName>
    <definedName name="Pagestart" localSheetId="3">'[4]Table 35a'!#REF!</definedName>
    <definedName name="Pagestart" localSheetId="5">'[4]Table 35a'!#REF!</definedName>
    <definedName name="Pagestart" localSheetId="6">'[4]Table 35a'!#REF!</definedName>
    <definedName name="Pagestart" localSheetId="7">'[4]Table 35a'!#REF!</definedName>
    <definedName name="Pagestart">'[4]Table 35a'!#REF!</definedName>
    <definedName name="RegAssetList">[2]Assum_Capex!$B$20:$B$33</definedName>
    <definedName name="tablend" localSheetId="3">'[4]Table 35a'!#REF!</definedName>
    <definedName name="tablend" localSheetId="5">'[4]Table 35a'!#REF!</definedName>
    <definedName name="tablend" localSheetId="6">'[4]Table 35a'!#REF!</definedName>
    <definedName name="tablend" localSheetId="7">'[4]Table 35a'!#REF!</definedName>
    <definedName name="tablend">'[4]Table 35a'!#REF!</definedName>
    <definedName name="tablestart" localSheetId="3">'[4]Table 35a'!#REF!</definedName>
    <definedName name="tablestart" localSheetId="5">'[4]Table 35a'!#REF!</definedName>
    <definedName name="tablestart" localSheetId="6">'[4]Table 35a'!#REF!</definedName>
    <definedName name="tablestart" localSheetId="7">'[4]Table 35a'!#REF!</definedName>
    <definedName name="tablestart">'[4]Table 35a'!#REF!</definedName>
    <definedName name="TradeList" localSheetId="3">[5]BIS_2026!#REF!</definedName>
    <definedName name="TradeList" localSheetId="5">[5]BIS_2026!#REF!</definedName>
    <definedName name="TradeList" localSheetId="2">[5]BIS_2026!#REF!</definedName>
    <definedName name="TradeList" localSheetId="6">[5]BIS_2026!#REF!</definedName>
    <definedName name="TradeList" localSheetId="7">[5]BIS_2026!#REF!</definedName>
    <definedName name="TradeList">[5]BIS_2026!#REF!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D36" i="1"/>
  <c r="A36" i="1"/>
  <c r="B36" i="1"/>
  <c r="E36" i="1"/>
  <c r="F36" i="1"/>
  <c r="G36" i="1"/>
  <c r="H36" i="1"/>
  <c r="A37" i="1"/>
  <c r="B37" i="1"/>
  <c r="E37" i="1"/>
  <c r="F37" i="1"/>
  <c r="G37" i="1"/>
  <c r="H37" i="1"/>
  <c r="H12" i="1"/>
  <c r="H13" i="1"/>
  <c r="H14" i="1"/>
  <c r="G14" i="1"/>
  <c r="G13" i="1"/>
  <c r="G12" i="1"/>
  <c r="P18" i="60" l="1"/>
  <c r="P17" i="60"/>
  <c r="H21" i="1"/>
  <c r="G21" i="1"/>
  <c r="M18" i="63"/>
  <c r="L18" i="63" s="1"/>
  <c r="F2" i="1"/>
  <c r="F26" i="1" s="1"/>
  <c r="F28" i="1"/>
  <c r="F29" i="1"/>
  <c r="F32" i="1"/>
  <c r="F39" i="1"/>
  <c r="F40" i="1"/>
  <c r="F42" i="1"/>
  <c r="F43" i="1"/>
  <c r="F25" i="1"/>
  <c r="F27" i="1"/>
  <c r="F34" i="1"/>
  <c r="F38" i="1"/>
  <c r="F44" i="1"/>
  <c r="H11" i="1"/>
  <c r="H9" i="1"/>
  <c r="G9" i="1"/>
  <c r="H5" i="1"/>
  <c r="G5" i="1"/>
  <c r="H3" i="1"/>
  <c r="G3" i="1"/>
  <c r="H2" i="1"/>
  <c r="H4" i="1"/>
  <c r="H32" i="1"/>
  <c r="B20" i="63"/>
  <c r="K20" i="63"/>
  <c r="Y20" i="63"/>
  <c r="AC20" i="63"/>
  <c r="H22" i="1" s="1"/>
  <c r="K19" i="63"/>
  <c r="L19" i="63" s="1"/>
  <c r="C19" i="63"/>
  <c r="G17" i="1" s="1"/>
  <c r="B19" i="63"/>
  <c r="F19" i="63" s="1"/>
  <c r="Y18" i="63"/>
  <c r="U18" i="63"/>
  <c r="K18" i="63"/>
  <c r="B18" i="63"/>
  <c r="F18" i="63" s="1"/>
  <c r="X20" i="62"/>
  <c r="H16" i="1" s="1"/>
  <c r="X19" i="62"/>
  <c r="G16" i="1" s="1"/>
  <c r="T20" i="62"/>
  <c r="H15" i="1" s="1"/>
  <c r="T19" i="62"/>
  <c r="G15" i="1" s="1"/>
  <c r="V18" i="62"/>
  <c r="L20" i="62"/>
  <c r="D20" i="62"/>
  <c r="B20" i="62" s="1"/>
  <c r="D19" i="62"/>
  <c r="C19" i="60"/>
  <c r="C20" i="60" s="1"/>
  <c r="E18" i="60"/>
  <c r="E13" i="60"/>
  <c r="E14" i="60"/>
  <c r="E15" i="60"/>
  <c r="E16" i="60"/>
  <c r="E17" i="60"/>
  <c r="B20" i="60"/>
  <c r="B19" i="60"/>
  <c r="B18" i="60"/>
  <c r="B17" i="60"/>
  <c r="B15" i="60"/>
  <c r="J15" i="60"/>
  <c r="M15" i="60"/>
  <c r="B16" i="60"/>
  <c r="J16" i="60"/>
  <c r="M16" i="60"/>
  <c r="J17" i="60"/>
  <c r="M17" i="60"/>
  <c r="J18" i="60"/>
  <c r="M18" i="60"/>
  <c r="E19" i="60"/>
  <c r="J19" i="60"/>
  <c r="M19" i="60"/>
  <c r="E20" i="60"/>
  <c r="J20" i="60"/>
  <c r="M20" i="60"/>
  <c r="H20" i="61"/>
  <c r="AE20" i="57"/>
  <c r="AJ20" i="57" s="1"/>
  <c r="AE19" i="57"/>
  <c r="AF20" i="57"/>
  <c r="AF19" i="57"/>
  <c r="P20" i="57"/>
  <c r="N20" i="57"/>
  <c r="O20" i="57" s="1"/>
  <c r="I20" i="57"/>
  <c r="G20" i="57"/>
  <c r="F20" i="57"/>
  <c r="B20" i="57"/>
  <c r="M19" i="57"/>
  <c r="M20" i="57" s="1"/>
  <c r="K19" i="57"/>
  <c r="K20" i="57" s="1"/>
  <c r="J19" i="57"/>
  <c r="J20" i="57" s="1"/>
  <c r="I19" i="57"/>
  <c r="H19" i="57"/>
  <c r="H20" i="57" s="1"/>
  <c r="G19" i="57"/>
  <c r="F19" i="57"/>
  <c r="E19" i="57"/>
  <c r="E20" i="57" s="1"/>
  <c r="D19" i="57"/>
  <c r="D20" i="57" s="1"/>
  <c r="C19" i="57"/>
  <c r="C20" i="57" s="1"/>
  <c r="B19" i="57"/>
  <c r="F21" i="36"/>
  <c r="F19" i="36"/>
  <c r="F18" i="36"/>
  <c r="Y19" i="36"/>
  <c r="AA19" i="36" s="1"/>
  <c r="I19" i="36"/>
  <c r="D21" i="36"/>
  <c r="D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4" i="36"/>
  <c r="L3" i="36"/>
  <c r="C21" i="36"/>
  <c r="C20" i="36"/>
  <c r="B21" i="36"/>
  <c r="B20" i="36"/>
  <c r="M3" i="36"/>
  <c r="M19" i="36"/>
  <c r="Q19" i="36"/>
  <c r="S19" i="36" s="1"/>
  <c r="U19" i="36"/>
  <c r="W19" i="36" s="1"/>
  <c r="H26" i="1" l="1"/>
  <c r="P16" i="60"/>
  <c r="U20" i="63"/>
  <c r="AC19" i="63"/>
  <c r="G22" i="1" s="1"/>
  <c r="H45" i="1" s="1"/>
  <c r="F41" i="1"/>
  <c r="F45" i="1"/>
  <c r="F35" i="1"/>
  <c r="H39" i="1"/>
  <c r="H28" i="1"/>
  <c r="H25" i="1"/>
  <c r="H38" i="1"/>
  <c r="H35" i="1"/>
  <c r="AC18" i="63"/>
  <c r="L20" i="63"/>
  <c r="U19" i="63"/>
  <c r="Y19" i="63"/>
  <c r="H44" i="1" s="1"/>
  <c r="C20" i="63"/>
  <c r="H17" i="1" s="1"/>
  <c r="F20" i="63"/>
  <c r="G19" i="63"/>
  <c r="G18" i="1" s="1"/>
  <c r="O19" i="63"/>
  <c r="P19" i="63" s="1"/>
  <c r="S19" i="63" s="1"/>
  <c r="G19" i="1" s="1"/>
  <c r="O18" i="63"/>
  <c r="P18" i="63" s="1"/>
  <c r="S18" i="63" s="1"/>
  <c r="G18" i="63"/>
  <c r="C18" i="63"/>
  <c r="P20" i="60"/>
  <c r="H7" i="1" s="1"/>
  <c r="H20" i="60"/>
  <c r="H6" i="1" s="1"/>
  <c r="P15" i="60"/>
  <c r="H15" i="60"/>
  <c r="H19" i="60"/>
  <c r="G6" i="1" s="1"/>
  <c r="P19" i="60"/>
  <c r="G7" i="1" s="1"/>
  <c r="O19" i="36"/>
  <c r="H29" i="1" l="1"/>
  <c r="H20" i="1"/>
  <c r="G20" i="1"/>
  <c r="H43" i="1" s="1"/>
  <c r="H40" i="1"/>
  <c r="F31" i="1"/>
  <c r="F30" i="1"/>
  <c r="H30" i="1"/>
  <c r="O20" i="63"/>
  <c r="P20" i="63" s="1"/>
  <c r="S20" i="63" s="1"/>
  <c r="H19" i="1" s="1"/>
  <c r="G20" i="63"/>
  <c r="H18" i="1" s="1"/>
  <c r="H41" i="1" l="1"/>
  <c r="H42" i="1"/>
  <c r="M19" i="21" l="1"/>
  <c r="M20" i="21" s="1"/>
  <c r="L19" i="21"/>
  <c r="L20" i="21" s="1"/>
  <c r="K19" i="21"/>
  <c r="K20" i="21" s="1"/>
  <c r="J19" i="21"/>
  <c r="J20" i="21" s="1"/>
  <c r="I19" i="21"/>
  <c r="I20" i="21" s="1"/>
  <c r="H19" i="21"/>
  <c r="H20" i="21" s="1"/>
  <c r="G19" i="21"/>
  <c r="G20" i="21" s="1"/>
  <c r="F19" i="21"/>
  <c r="F20" i="21" s="1"/>
  <c r="E19" i="21"/>
  <c r="E20" i="21" s="1"/>
  <c r="D19" i="21"/>
  <c r="D20" i="21" s="1"/>
  <c r="C19" i="21"/>
  <c r="C20" i="21" s="1"/>
  <c r="B19" i="21"/>
  <c r="B20" i="21" s="1"/>
  <c r="N20" i="21" l="1"/>
  <c r="AC14" i="63" l="1"/>
  <c r="AC10" i="63"/>
  <c r="AC6" i="63"/>
  <c r="Y13" i="63"/>
  <c r="Y11" i="63"/>
  <c r="U13" i="63"/>
  <c r="U9" i="63"/>
  <c r="U5" i="63"/>
  <c r="B17" i="63"/>
  <c r="F17" i="63" s="1"/>
  <c r="O17" i="63" s="1"/>
  <c r="B16" i="63"/>
  <c r="F16" i="63" s="1"/>
  <c r="B15" i="63"/>
  <c r="F15" i="63" s="1"/>
  <c r="O15" i="63" s="1"/>
  <c r="B14" i="63"/>
  <c r="B13" i="63"/>
  <c r="F13" i="63" s="1"/>
  <c r="O13" i="63" s="1"/>
  <c r="P13" i="63" s="1"/>
  <c r="B12" i="63"/>
  <c r="F12" i="63" s="1"/>
  <c r="O12" i="63" s="1"/>
  <c r="P12" i="63" s="1"/>
  <c r="B11" i="63"/>
  <c r="B10" i="63"/>
  <c r="B9" i="63"/>
  <c r="F9" i="63" s="1"/>
  <c r="O9" i="63" s="1"/>
  <c r="B8" i="63"/>
  <c r="B7" i="63"/>
  <c r="F7" i="63" s="1"/>
  <c r="O7" i="63" s="1"/>
  <c r="B6" i="63"/>
  <c r="F6" i="63" s="1"/>
  <c r="O6" i="63" s="1"/>
  <c r="B5" i="63"/>
  <c r="F5" i="63" s="1"/>
  <c r="O5" i="63" s="1"/>
  <c r="P5" i="63" s="1"/>
  <c r="R8" i="62"/>
  <c r="B14" i="60"/>
  <c r="B13" i="60"/>
  <c r="B12" i="60"/>
  <c r="B11" i="60"/>
  <c r="B10" i="60"/>
  <c r="B9" i="60"/>
  <c r="B8" i="60"/>
  <c r="B7" i="60"/>
  <c r="B6" i="60"/>
  <c r="B5" i="60"/>
  <c r="AF18" i="57"/>
  <c r="AF6" i="57"/>
  <c r="AF7" i="57"/>
  <c r="AF8" i="57"/>
  <c r="AF9" i="57"/>
  <c r="AH9" i="57" s="1"/>
  <c r="AF10" i="57"/>
  <c r="AF11" i="57"/>
  <c r="AF12" i="57"/>
  <c r="AF13" i="57"/>
  <c r="AH13" i="57" s="1"/>
  <c r="AF14" i="57"/>
  <c r="AF15" i="57"/>
  <c r="AF16" i="57"/>
  <c r="AF17" i="57"/>
  <c r="AH17" i="57" s="1"/>
  <c r="AF5" i="57"/>
  <c r="Y13" i="36"/>
  <c r="Y18" i="36"/>
  <c r="Y17" i="36"/>
  <c r="Y16" i="36"/>
  <c r="Y15" i="36"/>
  <c r="Y14" i="36"/>
  <c r="Y4" i="36"/>
  <c r="U17" i="36"/>
  <c r="M17" i="36"/>
  <c r="U16" i="36"/>
  <c r="Q16" i="36"/>
  <c r="Q15" i="36"/>
  <c r="U13" i="36"/>
  <c r="U12" i="36"/>
  <c r="Q12" i="36"/>
  <c r="U11" i="36"/>
  <c r="Q11" i="36"/>
  <c r="M11" i="36"/>
  <c r="U10" i="36"/>
  <c r="Q10" i="36"/>
  <c r="U9" i="36"/>
  <c r="Q9" i="36"/>
  <c r="U8" i="36"/>
  <c r="Q8" i="36"/>
  <c r="Q7" i="36"/>
  <c r="U6" i="36"/>
  <c r="U5" i="36"/>
  <c r="Q5" i="36"/>
  <c r="U4" i="36"/>
  <c r="Q4" i="36"/>
  <c r="U3" i="36"/>
  <c r="Q3" i="36"/>
  <c r="Q6" i="36"/>
  <c r="Q17" i="36"/>
  <c r="M10" i="36"/>
  <c r="M8" i="36"/>
  <c r="M7" i="36"/>
  <c r="M6" i="36"/>
  <c r="U18" i="36"/>
  <c r="U15" i="36"/>
  <c r="W15" i="36" s="1"/>
  <c r="U14" i="36"/>
  <c r="W14" i="36" s="1"/>
  <c r="U7" i="36"/>
  <c r="W7" i="36" s="1"/>
  <c r="M18" i="36"/>
  <c r="M4" i="36"/>
  <c r="U17" i="63" l="1"/>
  <c r="W18" i="36"/>
  <c r="W3" i="36"/>
  <c r="W6" i="36"/>
  <c r="W10" i="36"/>
  <c r="AA4" i="36"/>
  <c r="C11" i="63"/>
  <c r="W11" i="36"/>
  <c r="W16" i="36"/>
  <c r="W4" i="36"/>
  <c r="W8" i="36"/>
  <c r="W12" i="36"/>
  <c r="W17" i="36"/>
  <c r="W5" i="36"/>
  <c r="W9" i="36"/>
  <c r="W13" i="36"/>
  <c r="H17" i="61"/>
  <c r="V11" i="62"/>
  <c r="U7" i="63"/>
  <c r="AC12" i="63"/>
  <c r="P7" i="63"/>
  <c r="AC5" i="63"/>
  <c r="AC9" i="63"/>
  <c r="AC13" i="63"/>
  <c r="P15" i="63"/>
  <c r="U11" i="63"/>
  <c r="Y9" i="63"/>
  <c r="Y17" i="63"/>
  <c r="AC17" i="63"/>
  <c r="P12" i="60"/>
  <c r="AC7" i="63"/>
  <c r="AC11" i="63"/>
  <c r="AC15" i="63"/>
  <c r="P5" i="60"/>
  <c r="P13" i="60"/>
  <c r="P6" i="60"/>
  <c r="P14" i="60"/>
  <c r="P7" i="60"/>
  <c r="U15" i="63"/>
  <c r="V5" i="62"/>
  <c r="V13" i="62"/>
  <c r="H8" i="61"/>
  <c r="H10" i="61"/>
  <c r="H12" i="61"/>
  <c r="H14" i="61"/>
  <c r="P11" i="60"/>
  <c r="U8" i="63"/>
  <c r="U12" i="63"/>
  <c r="U16" i="63"/>
  <c r="H5" i="61"/>
  <c r="P8" i="60"/>
  <c r="H16" i="61"/>
  <c r="P9" i="60"/>
  <c r="Y10" i="63"/>
  <c r="Y14" i="63"/>
  <c r="H5" i="60"/>
  <c r="P10" i="60"/>
  <c r="P9" i="63"/>
  <c r="P17" i="63"/>
  <c r="Y7" i="63"/>
  <c r="Y15" i="63"/>
  <c r="AC8" i="63"/>
  <c r="AC16" i="63"/>
  <c r="AA15" i="62"/>
  <c r="V6" i="62"/>
  <c r="AA11" i="62"/>
  <c r="V8" i="62"/>
  <c r="V16" i="62"/>
  <c r="AH11" i="57"/>
  <c r="H13" i="60"/>
  <c r="H9" i="61"/>
  <c r="H11" i="61"/>
  <c r="AH10" i="57"/>
  <c r="H6" i="60"/>
  <c r="H14" i="60"/>
  <c r="H13" i="61"/>
  <c r="H15" i="61"/>
  <c r="AA5" i="62"/>
  <c r="AA13" i="62"/>
  <c r="R7" i="62"/>
  <c r="R15" i="62"/>
  <c r="AA6" i="62"/>
  <c r="AA14" i="62"/>
  <c r="V7" i="62"/>
  <c r="P6" i="63"/>
  <c r="Y8" i="63"/>
  <c r="Y16" i="63"/>
  <c r="H10" i="60"/>
  <c r="H6" i="61"/>
  <c r="R6" i="62"/>
  <c r="AA9" i="62"/>
  <c r="AA17" i="62"/>
  <c r="U6" i="63"/>
  <c r="U10" i="63"/>
  <c r="U14" i="63"/>
  <c r="H12" i="60"/>
  <c r="H7" i="61"/>
  <c r="AA10" i="62"/>
  <c r="Y6" i="63"/>
  <c r="AA16" i="36"/>
  <c r="AA14" i="36"/>
  <c r="AA17" i="36"/>
  <c r="AA15" i="36"/>
  <c r="AA13" i="36"/>
  <c r="AA18" i="36"/>
  <c r="G16" i="63"/>
  <c r="Y12" i="63"/>
  <c r="Y5" i="63"/>
  <c r="C13" i="63"/>
  <c r="G13" i="63"/>
  <c r="C7" i="63"/>
  <c r="G7" i="63"/>
  <c r="G12" i="63"/>
  <c r="O16" i="63"/>
  <c r="P16" i="63" s="1"/>
  <c r="C8" i="63"/>
  <c r="F8" i="63"/>
  <c r="C12" i="63"/>
  <c r="G15" i="63"/>
  <c r="C9" i="63"/>
  <c r="G9" i="63"/>
  <c r="C10" i="63"/>
  <c r="C17" i="63"/>
  <c r="C5" i="63"/>
  <c r="G17" i="63"/>
  <c r="C14" i="63"/>
  <c r="G5" i="63"/>
  <c r="G6" i="63"/>
  <c r="C15" i="63"/>
  <c r="F10" i="63"/>
  <c r="F14" i="63"/>
  <c r="O14" i="63" s="1"/>
  <c r="P14" i="63" s="1"/>
  <c r="C16" i="63"/>
  <c r="C6" i="63"/>
  <c r="F11" i="63"/>
  <c r="R17" i="62"/>
  <c r="R14" i="62"/>
  <c r="V17" i="62"/>
  <c r="R5" i="62"/>
  <c r="V14" i="62"/>
  <c r="R12" i="62"/>
  <c r="R9" i="62"/>
  <c r="R10" i="62"/>
  <c r="V15" i="62"/>
  <c r="AA12" i="62"/>
  <c r="R11" i="62"/>
  <c r="V9" i="62"/>
  <c r="R16" i="62"/>
  <c r="V10" i="62"/>
  <c r="V12" i="62"/>
  <c r="R13" i="62"/>
  <c r="L18" i="62"/>
  <c r="AA8" i="62"/>
  <c r="AA16" i="62"/>
  <c r="AA7" i="62"/>
  <c r="F6" i="62"/>
  <c r="F14" i="62"/>
  <c r="L9" i="62"/>
  <c r="L13" i="62"/>
  <c r="L17" i="62"/>
  <c r="B11" i="62"/>
  <c r="L11" i="62"/>
  <c r="L15" i="62"/>
  <c r="L8" i="62"/>
  <c r="L12" i="62"/>
  <c r="L16" i="62"/>
  <c r="B7" i="62"/>
  <c r="B15" i="62"/>
  <c r="F9" i="62"/>
  <c r="F17" i="62"/>
  <c r="L7" i="62"/>
  <c r="B12" i="62"/>
  <c r="B5" i="62"/>
  <c r="B13" i="62"/>
  <c r="F8" i="62"/>
  <c r="F16" i="62"/>
  <c r="L5" i="62"/>
  <c r="L6" i="62"/>
  <c r="L14" i="62"/>
  <c r="B10" i="62"/>
  <c r="L19" i="62"/>
  <c r="L10" i="62"/>
  <c r="B6" i="62"/>
  <c r="B14" i="62"/>
  <c r="B8" i="62"/>
  <c r="B16" i="62"/>
  <c r="B9" i="62"/>
  <c r="B17" i="62"/>
  <c r="F7" i="62"/>
  <c r="F15" i="62"/>
  <c r="F11" i="62"/>
  <c r="F12" i="62"/>
  <c r="F10" i="62"/>
  <c r="F5" i="62"/>
  <c r="F13" i="62"/>
  <c r="B19" i="62"/>
  <c r="G11" i="1" s="1"/>
  <c r="H34" i="1" s="1"/>
  <c r="AH14" i="57"/>
  <c r="AH6" i="57"/>
  <c r="M9" i="60"/>
  <c r="M10" i="60"/>
  <c r="M11" i="60"/>
  <c r="M12" i="60"/>
  <c r="AH15" i="57"/>
  <c r="M5" i="60"/>
  <c r="M13" i="60"/>
  <c r="M6" i="60"/>
  <c r="M14" i="60"/>
  <c r="M7" i="60"/>
  <c r="M8" i="60"/>
  <c r="H9" i="60"/>
  <c r="H11" i="60"/>
  <c r="H7" i="60"/>
  <c r="H8" i="60"/>
  <c r="AH12" i="57"/>
  <c r="AH5" i="57"/>
  <c r="AH7" i="57"/>
  <c r="AH8" i="57"/>
  <c r="AH16" i="57"/>
  <c r="N5" i="57"/>
  <c r="P5" i="57" s="1"/>
  <c r="N16" i="57"/>
  <c r="P16" i="57" s="1"/>
  <c r="N14" i="57"/>
  <c r="P14" i="57" s="1"/>
  <c r="N12" i="57"/>
  <c r="P12" i="57" s="1"/>
  <c r="N10" i="57"/>
  <c r="P10" i="57" s="1"/>
  <c r="N15" i="57"/>
  <c r="N13" i="57"/>
  <c r="P13" i="57" s="1"/>
  <c r="N11" i="57"/>
  <c r="N7" i="57"/>
  <c r="P7" i="57" s="1"/>
  <c r="N17" i="57"/>
  <c r="P17" i="57" s="1"/>
  <c r="K17" i="63" s="1"/>
  <c r="L17" i="63" s="1"/>
  <c r="N9" i="57"/>
  <c r="P9" i="57" s="1"/>
  <c r="K9" i="63" s="1"/>
  <c r="L9" i="63" s="1"/>
  <c r="N8" i="57"/>
  <c r="P8" i="57" s="1"/>
  <c r="K8" i="63" s="1"/>
  <c r="L8" i="63" s="1"/>
  <c r="N6" i="57"/>
  <c r="P6" i="57" s="1"/>
  <c r="M5" i="36"/>
  <c r="M13" i="36"/>
  <c r="Q18" i="36"/>
  <c r="Q13" i="36"/>
  <c r="M16" i="36"/>
  <c r="M14" i="36"/>
  <c r="M9" i="36"/>
  <c r="Q14" i="36"/>
  <c r="M12" i="36"/>
  <c r="M15" i="36"/>
  <c r="Y3" i="36"/>
  <c r="AA3" i="36" s="1"/>
  <c r="Y11" i="36"/>
  <c r="AA11" i="36" s="1"/>
  <c r="Y12" i="36"/>
  <c r="AA12" i="36" s="1"/>
  <c r="Y5" i="36"/>
  <c r="AA5" i="36" s="1"/>
  <c r="Y6" i="36"/>
  <c r="AA6" i="36" s="1"/>
  <c r="Y8" i="36"/>
  <c r="AA8" i="36" s="1"/>
  <c r="Y7" i="36"/>
  <c r="AA7" i="36" s="1"/>
  <c r="Y9" i="36"/>
  <c r="AA9" i="36" s="1"/>
  <c r="Y10" i="36"/>
  <c r="AA10" i="36" s="1"/>
  <c r="J13" i="60" l="1"/>
  <c r="K13" i="63"/>
  <c r="L13" i="63" s="1"/>
  <c r="S13" i="63" s="1"/>
  <c r="J6" i="60"/>
  <c r="K6" i="63"/>
  <c r="L6" i="63" s="1"/>
  <c r="S6" i="63" s="1"/>
  <c r="J10" i="60"/>
  <c r="K10" i="63"/>
  <c r="L10" i="63" s="1"/>
  <c r="J12" i="60"/>
  <c r="K12" i="63"/>
  <c r="L12" i="63" s="1"/>
  <c r="S12" i="63" s="1"/>
  <c r="R19" i="62"/>
  <c r="J14" i="60"/>
  <c r="K14" i="63"/>
  <c r="L14" i="63" s="1"/>
  <c r="S14" i="63" s="1"/>
  <c r="K16" i="63"/>
  <c r="L16" i="63" s="1"/>
  <c r="S16" i="63" s="1"/>
  <c r="J5" i="60"/>
  <c r="K5" i="63"/>
  <c r="L5" i="63" s="1"/>
  <c r="S5" i="63" s="1"/>
  <c r="R18" i="62"/>
  <c r="J7" i="60"/>
  <c r="K7" i="63"/>
  <c r="L7" i="63" s="1"/>
  <c r="S7" i="63" s="1"/>
  <c r="S9" i="63"/>
  <c r="G10" i="63"/>
  <c r="O10" i="63"/>
  <c r="P10" i="63" s="1"/>
  <c r="G11" i="63"/>
  <c r="O11" i="63"/>
  <c r="P11" i="63" s="1"/>
  <c r="G14" i="63"/>
  <c r="G8" i="63"/>
  <c r="O8" i="63"/>
  <c r="P8" i="63" s="1"/>
  <c r="S8" i="63" s="1"/>
  <c r="S17" i="63"/>
  <c r="AJ5" i="57"/>
  <c r="O15" i="57"/>
  <c r="J8" i="60"/>
  <c r="AJ8" i="57"/>
  <c r="J9" i="60"/>
  <c r="AJ9" i="57"/>
  <c r="AJ13" i="57"/>
  <c r="O7" i="57"/>
  <c r="AJ17" i="57"/>
  <c r="AJ7" i="57"/>
  <c r="P15" i="57"/>
  <c r="K15" i="63" s="1"/>
  <c r="L15" i="63" s="1"/>
  <c r="S15" i="63" s="1"/>
  <c r="AJ14" i="57"/>
  <c r="AJ12" i="57"/>
  <c r="AJ10" i="57"/>
  <c r="O14" i="57"/>
  <c r="AJ6" i="57"/>
  <c r="O8" i="57"/>
  <c r="O6" i="57"/>
  <c r="O13" i="57"/>
  <c r="O17" i="57"/>
  <c r="O9" i="57"/>
  <c r="O16" i="57"/>
  <c r="O10" i="57"/>
  <c r="O12" i="57"/>
  <c r="O11" i="57"/>
  <c r="P11" i="57"/>
  <c r="K11" i="63" s="1"/>
  <c r="L11" i="63" s="1"/>
  <c r="S10" i="63" l="1"/>
  <c r="S11" i="63"/>
  <c r="AJ15" i="57"/>
  <c r="J11" i="60"/>
  <c r="AJ11" i="57"/>
  <c r="N18" i="57" l="1"/>
  <c r="O18" i="57" l="1"/>
  <c r="P18" i="57"/>
  <c r="N19" i="57"/>
  <c r="P19" i="57" l="1"/>
  <c r="O19" i="57"/>
  <c r="H18" i="61"/>
  <c r="AJ18" i="57"/>
  <c r="AJ19" i="57" l="1"/>
  <c r="H19" i="61"/>
  <c r="S18" i="36" l="1"/>
  <c r="S23" i="36" s="1"/>
  <c r="R23" i="36"/>
  <c r="S17" i="36"/>
  <c r="O18" i="36"/>
  <c r="O17" i="36"/>
  <c r="S15" i="36" l="1"/>
  <c r="O14" i="36"/>
  <c r="S11" i="36"/>
  <c r="O10" i="36"/>
  <c r="S14" i="36"/>
  <c r="O5" i="36"/>
  <c r="O4" i="36"/>
  <c r="S10" i="36"/>
  <c r="O13" i="36"/>
  <c r="O16" i="36"/>
  <c r="N16" i="21"/>
  <c r="O6" i="36"/>
  <c r="O9" i="36"/>
  <c r="O12" i="36"/>
  <c r="S12" i="36"/>
  <c r="S8" i="36"/>
  <c r="S7" i="36"/>
  <c r="O3" i="36"/>
  <c r="S16" i="36"/>
  <c r="S9" i="36"/>
  <c r="S13" i="36"/>
  <c r="S3" i="36"/>
  <c r="O15" i="36"/>
  <c r="O11" i="36"/>
  <c r="O7" i="36"/>
  <c r="S6" i="36"/>
  <c r="O8" i="36"/>
  <c r="N15" i="21"/>
  <c r="N14" i="21" l="1"/>
  <c r="N10" i="21"/>
  <c r="N5" i="21"/>
  <c r="N13" i="21"/>
  <c r="N11" i="21"/>
  <c r="N8" i="21"/>
  <c r="N7" i="21"/>
  <c r="S4" i="36"/>
  <c r="N6" i="21"/>
  <c r="N12" i="21"/>
  <c r="S5" i="36"/>
  <c r="N9" i="21"/>
  <c r="N17" i="21" l="1"/>
  <c r="U20" i="36" l="1"/>
  <c r="U21" i="36"/>
  <c r="D23" i="36" s="1"/>
  <c r="Q21" i="36"/>
  <c r="C23" i="36" l="1"/>
  <c r="Q23" i="36"/>
  <c r="N18" i="21" l="1"/>
  <c r="N19" i="21" l="1"/>
  <c r="O20" i="21" s="1"/>
  <c r="A26" i="1" l="1"/>
  <c r="A27" i="1"/>
  <c r="A28" i="1"/>
  <c r="A29" i="1"/>
  <c r="P5" i="21" l="1"/>
  <c r="E5" i="60" s="1"/>
  <c r="O8" i="21"/>
  <c r="P9" i="21"/>
  <c r="E9" i="60" s="1"/>
  <c r="P11" i="21"/>
  <c r="E11" i="60" s="1"/>
  <c r="O12" i="21"/>
  <c r="P13" i="21"/>
  <c r="O16" i="21"/>
  <c r="O14" i="21" l="1"/>
  <c r="O15" i="21"/>
  <c r="O10" i="21"/>
  <c r="O7" i="21"/>
  <c r="P12" i="21"/>
  <c r="E12" i="60" s="1"/>
  <c r="O6" i="21"/>
  <c r="P10" i="21"/>
  <c r="E10" i="60" s="1"/>
  <c r="P8" i="21"/>
  <c r="E8" i="60" s="1"/>
  <c r="P15" i="21"/>
  <c r="P7" i="21"/>
  <c r="E7" i="60" s="1"/>
  <c r="O13" i="21"/>
  <c r="O17" i="21"/>
  <c r="O9" i="21"/>
  <c r="P14" i="21"/>
  <c r="P6" i="21"/>
  <c r="E6" i="60" s="1"/>
  <c r="O11" i="21"/>
  <c r="B25" i="1" l="1"/>
  <c r="C25" i="1"/>
  <c r="D25" i="1"/>
  <c r="E25" i="1"/>
  <c r="G25" i="1"/>
  <c r="B26" i="1"/>
  <c r="B27" i="1"/>
  <c r="B28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I18" i="36" l="1"/>
  <c r="G2" i="1"/>
  <c r="E2" i="1"/>
  <c r="C2" i="1"/>
  <c r="D2" i="1"/>
  <c r="D28" i="1"/>
  <c r="D30" i="1"/>
  <c r="D26" i="1"/>
  <c r="D42" i="1"/>
  <c r="D41" i="1"/>
  <c r="D40" i="1"/>
  <c r="D35" i="1"/>
  <c r="D32" i="1"/>
  <c r="D31" i="1"/>
  <c r="D27" i="1" l="1"/>
  <c r="E26" i="1"/>
  <c r="D44" i="1"/>
  <c r="E44" i="1"/>
  <c r="E45" i="1"/>
  <c r="D45" i="1"/>
  <c r="E35" i="1"/>
  <c r="E30" i="1"/>
  <c r="D43" i="1"/>
  <c r="E27" i="1"/>
  <c r="G44" i="1" l="1"/>
  <c r="G45" i="1"/>
  <c r="F17" i="36"/>
  <c r="F16" i="36"/>
  <c r="F14" i="36"/>
  <c r="F15" i="36"/>
  <c r="F13" i="36"/>
  <c r="F9" i="36" l="1"/>
  <c r="F12" i="36"/>
  <c r="F10" i="36"/>
  <c r="F11" i="36"/>
  <c r="G35" i="1" l="1"/>
  <c r="F8" i="36" l="1"/>
  <c r="F7" i="36" l="1"/>
  <c r="F6" i="36" l="1"/>
  <c r="F5" i="36" l="1"/>
  <c r="F4" i="36" l="1"/>
  <c r="D29" i="1" l="1"/>
  <c r="E29" i="1" l="1"/>
  <c r="E31" i="1" l="1"/>
  <c r="F3" i="36"/>
  <c r="E41" i="1" l="1"/>
  <c r="E43" i="1"/>
  <c r="E40" i="1" l="1"/>
  <c r="D38" i="1" l="1"/>
  <c r="E38" i="1" l="1"/>
  <c r="G43" i="1" l="1"/>
  <c r="D34" i="1" l="1"/>
  <c r="E34" i="1" l="1"/>
  <c r="I7" i="36" l="1"/>
  <c r="I13" i="36"/>
  <c r="I15" i="36"/>
  <c r="I9" i="36"/>
  <c r="I11" i="36"/>
  <c r="E28" i="1"/>
  <c r="E42" i="1"/>
  <c r="I8" i="36"/>
  <c r="I10" i="36"/>
  <c r="I12" i="36"/>
  <c r="I14" i="36"/>
  <c r="I16" i="36"/>
  <c r="I17" i="36"/>
  <c r="G38" i="1" l="1"/>
  <c r="D39" i="1" l="1"/>
  <c r="E39" i="1" l="1"/>
  <c r="O18" i="21" l="1"/>
  <c r="O19" i="21" l="1"/>
  <c r="P19" i="21" s="1"/>
  <c r="P20" i="21" s="1"/>
  <c r="G26" i="1" l="1"/>
  <c r="E32" i="1" l="1"/>
  <c r="G39" i="1" l="1"/>
  <c r="G28" i="1" l="1"/>
  <c r="G32" i="1" l="1"/>
  <c r="I4" i="36" l="1"/>
  <c r="I5" i="36" l="1"/>
  <c r="I6" i="36"/>
  <c r="B23" i="36"/>
  <c r="M21" i="36"/>
  <c r="M20" i="36"/>
  <c r="Q20" i="36" l="1"/>
  <c r="Y20" i="36"/>
  <c r="E20" i="36" s="1"/>
  <c r="F20" i="36" s="1"/>
  <c r="H20" i="36" l="1"/>
  <c r="H21" i="36"/>
  <c r="I20" i="36" l="1"/>
  <c r="G4" i="1"/>
  <c r="I21" i="36"/>
  <c r="G27" i="1" l="1"/>
  <c r="H27" i="1"/>
  <c r="G40" i="1"/>
  <c r="G42" i="1" l="1"/>
  <c r="G41" i="1"/>
  <c r="Y21" i="36"/>
  <c r="E21" i="36"/>
  <c r="L21" i="36"/>
  <c r="E23" i="36"/>
  <c r="H18" i="60"/>
  <c r="G29" i="1" l="1"/>
  <c r="G30" i="1" l="1"/>
  <c r="G8" i="1" l="1"/>
  <c r="F18" i="62"/>
  <c r="B18" i="62"/>
  <c r="G31" i="1" l="1"/>
  <c r="H8" i="1"/>
  <c r="G34" i="1"/>
  <c r="H31" i="1" l="1"/>
</calcChain>
</file>

<file path=xl/sharedStrings.xml><?xml version="1.0" encoding="utf-8"?>
<sst xmlns="http://schemas.openxmlformats.org/spreadsheetml/2006/main" count="238" uniqueCount="152">
  <si>
    <t xml:space="preserve">Financial year </t>
  </si>
  <si>
    <t>Wharfage volumes</t>
  </si>
  <si>
    <t>Containerised - Full - outward</t>
  </si>
  <si>
    <t>TEU</t>
  </si>
  <si>
    <t>Containerised - Full - inward</t>
  </si>
  <si>
    <t>Containerised - Full - Bass Strait</t>
  </si>
  <si>
    <t>Containerised - Empty</t>
  </si>
  <si>
    <t>Containerised - Empty - Bass Strait (incl transhipment)</t>
  </si>
  <si>
    <t>Containerised - Empty returns</t>
  </si>
  <si>
    <t>Non-containerised / general</t>
  </si>
  <si>
    <t>tonne or cm</t>
  </si>
  <si>
    <t>Accompanied passenger vehicles</t>
  </si>
  <si>
    <t>Motor vehicles</t>
  </si>
  <si>
    <t>Dry bulk - inwards - overseas and coastal</t>
  </si>
  <si>
    <t>tonne</t>
  </si>
  <si>
    <t>Dry bulk - outwards - overseas and coastal</t>
  </si>
  <si>
    <t>Transhipment - Full - outward</t>
  </si>
  <si>
    <t>Transhipment - Full - inward</t>
  </si>
  <si>
    <t>Transhipment - Full - Bass Strait</t>
  </si>
  <si>
    <t>Transhipment - Containerised Empty (excl Bass Strait)</t>
  </si>
  <si>
    <t>Transhipment - Motor vehicles and break bulk</t>
  </si>
  <si>
    <t>Transhipment - Non-containerised / general</t>
  </si>
  <si>
    <t>Total</t>
  </si>
  <si>
    <t>Other</t>
  </si>
  <si>
    <t>Timber</t>
  </si>
  <si>
    <t>Paper</t>
  </si>
  <si>
    <t>Manufacturing</t>
  </si>
  <si>
    <t>Agriculture</t>
  </si>
  <si>
    <t>Export (excl. Bass Strait)</t>
  </si>
  <si>
    <t>Misc</t>
  </si>
  <si>
    <t>Vehicles</t>
  </si>
  <si>
    <t>Medical</t>
  </si>
  <si>
    <t>Machinery</t>
  </si>
  <si>
    <t>Construction</t>
  </si>
  <si>
    <t>Chemical</t>
  </si>
  <si>
    <t>Mining / Quarrying</t>
  </si>
  <si>
    <t>Beverages</t>
  </si>
  <si>
    <t>Annual Growth</t>
  </si>
  <si>
    <t>Total TEUs</t>
  </si>
  <si>
    <t>Wheeled Imports</t>
  </si>
  <si>
    <t>Wheeled Exports</t>
  </si>
  <si>
    <t>Imports</t>
  </si>
  <si>
    <t>Barley</t>
  </si>
  <si>
    <t>Wheat</t>
  </si>
  <si>
    <t>Exports</t>
  </si>
  <si>
    <t>Total Empty</t>
  </si>
  <si>
    <t>Legend</t>
  </si>
  <si>
    <t>Hard Coded (Historic)</t>
  </si>
  <si>
    <t>Linked (Forecasts)</t>
  </si>
  <si>
    <t>Financial Year</t>
  </si>
  <si>
    <t>Year Ending</t>
  </si>
  <si>
    <t>Calculation</t>
  </si>
  <si>
    <t>Wharfage volumes: Annual Growth Rates</t>
  </si>
  <si>
    <t>Consumer Goods (Food and Beverages)</t>
  </si>
  <si>
    <t>Consumer Goods (Other)</t>
  </si>
  <si>
    <t>Capital Goods and Parts</t>
  </si>
  <si>
    <t>Macro Driver: Non-Food Retail Turnover</t>
  </si>
  <si>
    <t>Modelled Driver/TEUs Trend</t>
  </si>
  <si>
    <t>Macro Driver: Machinery and Equipment Investment</t>
  </si>
  <si>
    <t>Macro Driver: Building Activity + GSP</t>
  </si>
  <si>
    <t>Other Goods (Industrial/Intermediate)</t>
  </si>
  <si>
    <t>Agriculture Production</t>
  </si>
  <si>
    <t>Beverage Production</t>
  </si>
  <si>
    <t>Mine production</t>
  </si>
  <si>
    <t>Non-Commodity Manufacturing</t>
  </si>
  <si>
    <t>Machinery Exports ($ terms)</t>
  </si>
  <si>
    <t>Motor Vehicle Manufacturing</t>
  </si>
  <si>
    <t>Bass Strait Exports - TEUs</t>
  </si>
  <si>
    <t>Tas Priv Consumption Expenditure</t>
  </si>
  <si>
    <t>Total Bass Strait Trade</t>
  </si>
  <si>
    <t>Empty In - TEUs</t>
  </si>
  <si>
    <t>Full In - TEUs</t>
  </si>
  <si>
    <t>Ratio</t>
  </si>
  <si>
    <t>Empty Out - TEUs</t>
  </si>
  <si>
    <t>Full Out - TEUs</t>
  </si>
  <si>
    <t>Net In</t>
  </si>
  <si>
    <t>Total (excl. Bass Strait)</t>
  </si>
  <si>
    <t>Total Wheeled Unitised + Breakbulk</t>
  </si>
  <si>
    <t>Total Motor Vehicles</t>
  </si>
  <si>
    <t>New Motor Vehicle Imports</t>
  </si>
  <si>
    <t>Motor Vehicle Sales</t>
  </si>
  <si>
    <t>Transport Equipment + Second Hand Motor Veh. Imports</t>
  </si>
  <si>
    <t>Transport Equipment + Second Hand Motor Veh. Exports</t>
  </si>
  <si>
    <t>New Motor Vehicle Exports</t>
  </si>
  <si>
    <t>Modelled Driver/Unit Trend</t>
  </si>
  <si>
    <t>Building Materials</t>
  </si>
  <si>
    <t>Transhipments In - TEUs</t>
  </si>
  <si>
    <t>Transhipments Out - TEUs</t>
  </si>
  <si>
    <t>Transhipments Empty In - TEUs</t>
  </si>
  <si>
    <t>Total Bass Strait</t>
  </si>
  <si>
    <t>Out</t>
  </si>
  <si>
    <t>In</t>
  </si>
  <si>
    <t>Table 1: TEUs</t>
  </si>
  <si>
    <t>Table 2: Drivers (Index: 2006=100)</t>
  </si>
  <si>
    <t>Full Import Excl Bass Strait (domestic plus international)</t>
  </si>
  <si>
    <r>
      <t>Subtotal</t>
    </r>
    <r>
      <rPr>
        <sz val="11"/>
        <rFont val="Calibri"/>
        <family val="2"/>
        <scheme val="minor"/>
      </rPr>
      <t xml:space="preserve"> (modelled international)</t>
    </r>
  </si>
  <si>
    <t>Table 1: Full Direct Imports (TEUs)</t>
  </si>
  <si>
    <t>Table 2: Sub-Component Drivers (In Log terms)</t>
  </si>
  <si>
    <t>Table 1: Bass Strait Imports - TEUs</t>
  </si>
  <si>
    <t>Table 3: Bass Strait Exports - TEUs</t>
  </si>
  <si>
    <t>Table 1: Empty In - TEUs</t>
  </si>
  <si>
    <t>Table 2: Empty Out - TEUs</t>
  </si>
  <si>
    <t>Table 3: Bass Strait Empty In - TEUs</t>
  </si>
  <si>
    <t>Table 4: Bass Strait Empty Out - TEUs</t>
  </si>
  <si>
    <t>Table 1: Motor Vehicles</t>
  </si>
  <si>
    <t>Table 3: Dry Bulk</t>
  </si>
  <si>
    <t>Table 1: Wheeled Unitised</t>
  </si>
  <si>
    <t>Table 2: Break Bulk</t>
  </si>
  <si>
    <t>Table 1: Transhipments In - TEUs</t>
  </si>
  <si>
    <t>Table 2: Transhipments Out - TEUs</t>
  </si>
  <si>
    <t>Table 3: Bass Strait Transhipments In - TEUs</t>
  </si>
  <si>
    <t>Table 4: Bass Strait Transhipments Out - TEUs</t>
  </si>
  <si>
    <t>Table 5: Empty Transhipments - TEUs</t>
  </si>
  <si>
    <t>Table 6: MV + breakbulk Transhipments</t>
  </si>
  <si>
    <t>Table 7: Other Transhipments</t>
  </si>
  <si>
    <t>Sheet</t>
  </si>
  <si>
    <t>Input/assumption</t>
  </si>
  <si>
    <t>Source/basis</t>
  </si>
  <si>
    <t>Revenue</t>
  </si>
  <si>
    <t>Linked to other sheets</t>
  </si>
  <si>
    <t>N/A</t>
  </si>
  <si>
    <t>Full_out</t>
  </si>
  <si>
    <t>BISOE custom series on industrial production and demand.</t>
  </si>
  <si>
    <t>Based on historical link between production volumes and trade</t>
  </si>
  <si>
    <t>Full_in</t>
  </si>
  <si>
    <t>Retail turnover, investment and production (ABS)</t>
  </si>
  <si>
    <t>Based on historical link between demand and trade</t>
  </si>
  <si>
    <t>Bass Strait</t>
  </si>
  <si>
    <t>Demand for consumer goods (ABS), BISOE custom series on industrial production and demand.</t>
  </si>
  <si>
    <t>Based on historical link between demand/production volumes and trade</t>
  </si>
  <si>
    <t>General Cargo</t>
  </si>
  <si>
    <t>Bass Strait trade, recent trends</t>
  </si>
  <si>
    <t>Based on prominence of RoRo trade in the Bass Strait</t>
  </si>
  <si>
    <t>Empty</t>
  </si>
  <si>
    <t xml:space="preserve">Full imports and full exports </t>
  </si>
  <si>
    <t>Balancing equation</t>
  </si>
  <si>
    <t>Other Bulk</t>
  </si>
  <si>
    <t>Motor vehicle sales, BISOE custom series on agricultural production and building activity</t>
  </si>
  <si>
    <t>Federal Chamber of Automotive Industries, BISOE economic model (for forecasts)</t>
  </si>
  <si>
    <t>Transhipments</t>
  </si>
  <si>
    <t>In-bound (direct) TEUs, recent trends</t>
  </si>
  <si>
    <t>Based on historical link between transhipment and direct volumes</t>
  </si>
  <si>
    <t>Input Assumptions</t>
  </si>
  <si>
    <t>Other Notes</t>
  </si>
  <si>
    <t>1. All value measures are based in constant prices</t>
  </si>
  <si>
    <t>2. References to the BISOE economic model refer to series that are constructed in our database that serve to explain underlying movements in sectors of interest but may not reflect a public data series.</t>
  </si>
  <si>
    <t>3. Professional judgment is employed throughout. This allows us to account for factors that are difficult to quantify and therefore difficult to explicitly model. For example, we know there is a strong trend globally towards using 40-foot containers (as opposed to 20-foot containers) but the shape of trend is difficult to quantify. Thus we make sure our forecasts are consistent with this factor, making manual adjustments where necessary.</t>
  </si>
  <si>
    <t>Population</t>
  </si>
  <si>
    <t>Liquid bulk (excl Mobil at Gellibrand)</t>
  </si>
  <si>
    <t>Liquid bulk - Inward (Mobil at Gellibrand)</t>
  </si>
  <si>
    <t>Liquid bulk - Outward (Mobil at Gellibrand)</t>
  </si>
  <si>
    <t>Table 2a: Liquid bulk (excl Mobil at Gellibrand)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</si>
</sst>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dd\-mmm\-yy;@"/>
    <numFmt numFmtId="165" formatCode="_(\ #,##0.0_);_(\ \(#,##0.0\);_(* &quot;-&quot;??_);_(@_)"/>
    <numFmt numFmtId="166" formatCode="0.0%"/>
    <numFmt numFmtId="167" formatCode="0.0"/>
    <numFmt numFmtId="168" formatCode="#,##0.0"/>
    <numFmt numFmtId="169" formatCode="_(* #,##0_);_(* \(#,##0\);_(* &quot;-&quot;??_);_(@_)"/>
    <numFmt numFmtId="170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 Narrow"/>
      <family val="2"/>
    </font>
    <font>
      <b/>
      <sz val="10"/>
      <color indexed="9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1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3469"/>
        <bgColor indexed="64"/>
      </patternFill>
    </fill>
    <fill>
      <patternFill patternType="solid">
        <fgColor rgb="FFCBCDD4"/>
        <bgColor indexed="64"/>
      </patternFill>
    </fill>
    <fill>
      <patternFill patternType="solid">
        <fgColor rgb="FFE7E8EB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>
      <alignment horizontal="center"/>
    </xf>
    <xf numFmtId="165" fontId="8" fillId="4" borderId="0" applyNumberFormat="0" applyProtection="0">
      <alignment horizontal="left" vertical="center"/>
    </xf>
    <xf numFmtId="0" fontId="9" fillId="0" borderId="0"/>
    <xf numFmtId="0" fontId="19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/>
    <xf numFmtId="0" fontId="9" fillId="0" borderId="0" xfId="5" applyAlignment="1">
      <alignment wrapText="1"/>
    </xf>
    <xf numFmtId="3" fontId="6" fillId="0" borderId="0" xfId="0" applyNumberFormat="1" applyFont="1"/>
    <xf numFmtId="17" fontId="0" fillId="0" borderId="0" xfId="0" applyNumberFormat="1"/>
    <xf numFmtId="166" fontId="0" fillId="0" borderId="0" xfId="2" applyNumberFormat="1" applyFont="1"/>
    <xf numFmtId="1" fontId="0" fillId="0" borderId="0" xfId="0" applyNumberFormat="1"/>
    <xf numFmtId="1" fontId="0" fillId="2" borderId="0" xfId="0" applyNumberFormat="1" applyFill="1"/>
    <xf numFmtId="166" fontId="0" fillId="5" borderId="0" xfId="2" applyNumberFormat="1" applyFont="1" applyFill="1"/>
    <xf numFmtId="1" fontId="0" fillId="5" borderId="0" xfId="0" applyNumberFormat="1" applyFill="1"/>
    <xf numFmtId="0" fontId="0" fillId="0" borderId="1" xfId="0" applyBorder="1"/>
    <xf numFmtId="3" fontId="10" fillId="0" borderId="0" xfId="0" applyNumberFormat="1" applyFont="1"/>
    <xf numFmtId="1" fontId="0" fillId="2" borderId="1" xfId="0" applyNumberFormat="1" applyFill="1" applyBorder="1"/>
    <xf numFmtId="166" fontId="0" fillId="5" borderId="1" xfId="2" applyNumberFormat="1" applyFont="1" applyFill="1" applyBorder="1"/>
    <xf numFmtId="1" fontId="0" fillId="5" borderId="1" xfId="0" applyNumberFormat="1" applyFill="1" applyBorder="1"/>
    <xf numFmtId="0" fontId="12" fillId="5" borderId="0" xfId="0" applyFont="1" applyFill="1" applyAlignment="1">
      <alignment horizontal="center" wrapText="1"/>
    </xf>
    <xf numFmtId="3" fontId="13" fillId="6" borderId="0" xfId="0" applyNumberFormat="1" applyFont="1" applyFill="1" applyAlignment="1">
      <alignment horizontal="center" wrapText="1"/>
    </xf>
    <xf numFmtId="167" fontId="13" fillId="6" borderId="0" xfId="0" applyNumberFormat="1" applyFont="1" applyFill="1" applyAlignment="1">
      <alignment horizontal="center" wrapText="1"/>
    </xf>
    <xf numFmtId="0" fontId="11" fillId="0" borderId="0" xfId="0" applyFont="1"/>
    <xf numFmtId="3" fontId="16" fillId="0" borderId="0" xfId="0" applyNumberFormat="1" applyFont="1"/>
    <xf numFmtId="3" fontId="14" fillId="0" borderId="0" xfId="0" applyNumberFormat="1" applyFont="1"/>
    <xf numFmtId="0" fontId="6" fillId="0" borderId="0" xfId="0" applyFont="1"/>
    <xf numFmtId="168" fontId="14" fillId="0" borderId="0" xfId="0" applyNumberFormat="1" applyFont="1"/>
    <xf numFmtId="166" fontId="6" fillId="0" borderId="0" xfId="2" applyNumberFormat="1" applyFont="1"/>
    <xf numFmtId="0" fontId="0" fillId="0" borderId="0" xfId="0" applyAlignment="1">
      <alignment wrapText="1"/>
    </xf>
    <xf numFmtId="167" fontId="0" fillId="0" borderId="0" xfId="0" applyNumberFormat="1"/>
    <xf numFmtId="167" fontId="0" fillId="0" borderId="1" xfId="0" applyNumberFormat="1" applyBorder="1"/>
    <xf numFmtId="3" fontId="10" fillId="6" borderId="0" xfId="0" applyNumberFormat="1" applyFont="1" applyFill="1"/>
    <xf numFmtId="0" fontId="9" fillId="0" borderId="0" xfId="5"/>
    <xf numFmtId="3" fontId="18" fillId="0" borderId="0" xfId="0" applyNumberFormat="1" applyFont="1"/>
    <xf numFmtId="0" fontId="18" fillId="0" borderId="0" xfId="0" applyFont="1"/>
    <xf numFmtId="3" fontId="10" fillId="6" borderId="0" xfId="6" applyNumberFormat="1" applyFont="1" applyFill="1" applyAlignment="1">
      <alignment wrapText="1"/>
    </xf>
    <xf numFmtId="3" fontId="6" fillId="0" borderId="0" xfId="6" applyNumberFormat="1" applyFont="1" applyAlignment="1">
      <alignment wrapText="1"/>
    </xf>
    <xf numFmtId="3" fontId="1" fillId="0" borderId="0" xfId="6" applyNumberFormat="1" applyFont="1" applyAlignment="1">
      <alignment wrapText="1"/>
    </xf>
    <xf numFmtId="3" fontId="0" fillId="0" borderId="0" xfId="0" applyNumberFormat="1" applyAlignment="1">
      <alignment wrapText="1"/>
    </xf>
    <xf numFmtId="0" fontId="17" fillId="0" borderId="0" xfId="0" applyFont="1" applyAlignment="1">
      <alignment wrapText="1"/>
    </xf>
    <xf numFmtId="3" fontId="0" fillId="3" borderId="0" xfId="0" applyNumberFormat="1" applyFill="1"/>
    <xf numFmtId="3" fontId="15" fillId="0" borderId="0" xfId="0" applyNumberFormat="1" applyFont="1"/>
    <xf numFmtId="1" fontId="20" fillId="0" borderId="0" xfId="1" applyNumberFormat="1" applyFont="1" applyAlignment="1">
      <alignment horizontal="right"/>
    </xf>
    <xf numFmtId="0" fontId="3" fillId="0" borderId="0" xfId="0" applyFont="1"/>
    <xf numFmtId="17" fontId="3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horizontal="left"/>
    </xf>
    <xf numFmtId="3" fontId="5" fillId="0" borderId="0" xfId="1" applyNumberFormat="1" applyFont="1" applyAlignment="1">
      <alignment horizontal="right"/>
    </xf>
    <xf numFmtId="3" fontId="20" fillId="7" borderId="0" xfId="1" applyNumberFormat="1" applyFont="1" applyFill="1" applyAlignment="1">
      <alignment horizontal="right" vertical="center"/>
    </xf>
    <xf numFmtId="3" fontId="3" fillId="0" borderId="0" xfId="0" applyNumberFormat="1" applyFont="1"/>
    <xf numFmtId="3" fontId="20" fillId="5" borderId="0" xfId="1" applyNumberFormat="1" applyFont="1" applyFill="1" applyAlignment="1">
      <alignment horizontal="right" vertical="center"/>
    </xf>
    <xf numFmtId="166" fontId="20" fillId="5" borderId="0" xfId="2" applyNumberFormat="1" applyFont="1" applyFill="1" applyAlignment="1">
      <alignment horizontal="right" vertical="center"/>
    </xf>
    <xf numFmtId="3" fontId="10" fillId="0" borderId="1" xfId="0" applyNumberFormat="1" applyFont="1" applyBorder="1"/>
    <xf numFmtId="3" fontId="9" fillId="0" borderId="0" xfId="5" applyNumberFormat="1"/>
    <xf numFmtId="0" fontId="18" fillId="0" borderId="0" xfId="5" applyFont="1" applyAlignment="1">
      <alignment horizontal="right"/>
    </xf>
    <xf numFmtId="3" fontId="15" fillId="0" borderId="1" xfId="0" applyNumberFormat="1" applyFont="1" applyBorder="1"/>
    <xf numFmtId="3" fontId="0" fillId="0" borderId="2" xfId="0" applyNumberFormat="1" applyBorder="1"/>
    <xf numFmtId="167" fontId="0" fillId="3" borderId="0" xfId="0" applyNumberFormat="1" applyFill="1"/>
    <xf numFmtId="3" fontId="6" fillId="0" borderId="2" xfId="0" applyNumberFormat="1" applyFont="1" applyBorder="1"/>
    <xf numFmtId="0" fontId="6" fillId="0" borderId="0" xfId="0" applyFont="1" applyAlignment="1">
      <alignment wrapText="1"/>
    </xf>
    <xf numFmtId="9" fontId="0" fillId="3" borderId="0" xfId="2" applyFont="1" applyFill="1"/>
    <xf numFmtId="9" fontId="0" fillId="3" borderId="2" xfId="2" applyFont="1" applyFill="1" applyBorder="1"/>
    <xf numFmtId="3" fontId="0" fillId="3" borderId="2" xfId="0" applyNumberFormat="1" applyFill="1" applyBorder="1"/>
    <xf numFmtId="168" fontId="0" fillId="3" borderId="0" xfId="0" applyNumberFormat="1" applyFill="1"/>
    <xf numFmtId="3" fontId="20" fillId="5" borderId="0" xfId="2" applyNumberFormat="1" applyFont="1" applyFill="1" applyAlignment="1">
      <alignment horizontal="right" vertical="center"/>
    </xf>
    <xf numFmtId="168" fontId="0" fillId="3" borderId="2" xfId="0" applyNumberFormat="1" applyFill="1" applyBorder="1"/>
    <xf numFmtId="166" fontId="0" fillId="3" borderId="2" xfId="2" applyNumberFormat="1" applyFont="1" applyFill="1" applyBorder="1"/>
    <xf numFmtId="166" fontId="0" fillId="3" borderId="0" xfId="2" applyNumberFormat="1" applyFont="1" applyFill="1"/>
    <xf numFmtId="3" fontId="15" fillId="0" borderId="2" xfId="0" applyNumberFormat="1" applyFont="1" applyBorder="1"/>
    <xf numFmtId="3" fontId="6" fillId="5" borderId="0" xfId="0" applyNumberFormat="1" applyFont="1" applyFill="1"/>
    <xf numFmtId="3" fontId="15" fillId="5" borderId="0" xfId="0" applyNumberFormat="1" applyFont="1" applyFill="1"/>
    <xf numFmtId="3" fontId="21" fillId="5" borderId="0" xfId="0" applyNumberFormat="1" applyFont="1" applyFill="1"/>
    <xf numFmtId="3" fontId="0" fillId="5" borderId="0" xfId="0" applyNumberFormat="1" applyFill="1"/>
    <xf numFmtId="0" fontId="15" fillId="0" borderId="0" xfId="0" applyFont="1" applyAlignment="1">
      <alignment wrapText="1"/>
    </xf>
    <xf numFmtId="0" fontId="21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17" fontId="21" fillId="0" borderId="0" xfId="0" applyNumberFormat="1" applyFont="1"/>
    <xf numFmtId="3" fontId="21" fillId="2" borderId="0" xfId="0" applyNumberFormat="1" applyFont="1" applyFill="1"/>
    <xf numFmtId="168" fontId="21" fillId="0" borderId="0" xfId="0" applyNumberFormat="1" applyFont="1"/>
    <xf numFmtId="168" fontId="21" fillId="2" borderId="0" xfId="0" applyNumberFormat="1" applyFont="1" applyFill="1"/>
    <xf numFmtId="3" fontId="21" fillId="0" borderId="0" xfId="0" applyNumberFormat="1" applyFont="1"/>
    <xf numFmtId="168" fontId="15" fillId="5" borderId="0" xfId="0" applyNumberFormat="1" applyFont="1" applyFill="1"/>
    <xf numFmtId="168" fontId="21" fillId="3" borderId="0" xfId="0" applyNumberFormat="1" applyFont="1" applyFill="1"/>
    <xf numFmtId="3" fontId="6" fillId="2" borderId="0" xfId="0" applyNumberFormat="1" applyFont="1" applyFill="1"/>
    <xf numFmtId="3" fontId="6" fillId="5" borderId="2" xfId="0" applyNumberFormat="1" applyFont="1" applyFill="1" applyBorder="1"/>
    <xf numFmtId="167" fontId="6" fillId="5" borderId="0" xfId="0" applyNumberFormat="1" applyFont="1" applyFill="1"/>
    <xf numFmtId="168" fontId="21" fillId="5" borderId="0" xfId="0" applyNumberFormat="1" applyFont="1" applyFill="1"/>
    <xf numFmtId="167" fontId="0" fillId="5" borderId="0" xfId="0" applyNumberFormat="1" applyFill="1"/>
    <xf numFmtId="167" fontId="0" fillId="5" borderId="1" xfId="0" applyNumberFormat="1" applyFill="1" applyBorder="1"/>
    <xf numFmtId="3" fontId="0" fillId="5" borderId="2" xfId="0" applyNumberFormat="1" applyFill="1" applyBorder="1"/>
    <xf numFmtId="3" fontId="0" fillId="2" borderId="0" xfId="0" applyNumberFormat="1" applyFill="1"/>
    <xf numFmtId="3" fontId="0" fillId="2" borderId="2" xfId="0" applyNumberFormat="1" applyFill="1" applyBorder="1"/>
    <xf numFmtId="168" fontId="0" fillId="5" borderId="0" xfId="0" applyNumberFormat="1" applyFill="1"/>
    <xf numFmtId="9" fontId="0" fillId="2" borderId="0" xfId="2" applyFont="1" applyFill="1"/>
    <xf numFmtId="166" fontId="0" fillId="2" borderId="0" xfId="2" applyNumberFormat="1" applyFont="1" applyFill="1"/>
    <xf numFmtId="167" fontId="0" fillId="2" borderId="0" xfId="0" applyNumberFormat="1" applyFill="1"/>
    <xf numFmtId="167" fontId="0" fillId="2" borderId="1" xfId="0" applyNumberFormat="1" applyFill="1" applyBorder="1"/>
    <xf numFmtId="0" fontId="22" fillId="8" borderId="3" xfId="0" applyFont="1" applyFill="1" applyBorder="1" applyAlignment="1">
      <alignment horizontal="left" vertical="center" wrapText="1" readingOrder="1"/>
    </xf>
    <xf numFmtId="0" fontId="23" fillId="9" borderId="4" xfId="0" applyFont="1" applyFill="1" applyBorder="1" applyAlignment="1">
      <alignment horizontal="left" vertical="center" wrapText="1" readingOrder="1"/>
    </xf>
    <xf numFmtId="0" fontId="23" fillId="10" borderId="5" xfId="0" applyFont="1" applyFill="1" applyBorder="1" applyAlignment="1">
      <alignment horizontal="left" vertical="center" wrapText="1" readingOrder="1"/>
    </xf>
    <xf numFmtId="0" fontId="23" fillId="9" borderId="5" xfId="0" applyFont="1" applyFill="1" applyBorder="1" applyAlignment="1">
      <alignment horizontal="left" vertical="center" wrapText="1" readingOrder="1"/>
    </xf>
    <xf numFmtId="166" fontId="11" fillId="0" borderId="0" xfId="2" applyNumberFormat="1" applyFont="1"/>
    <xf numFmtId="9" fontId="11" fillId="0" borderId="0" xfId="2" applyNumberFormat="1" applyFont="1"/>
    <xf numFmtId="0" fontId="0" fillId="0" borderId="0" xfId="0" applyBorder="1"/>
    <xf numFmtId="170" fontId="0" fillId="0" borderId="0" xfId="1" applyNumberFormat="1" applyFont="1"/>
    <xf numFmtId="17" fontId="0" fillId="0" borderId="0" xfId="0" applyNumberFormat="1" applyBorder="1"/>
    <xf numFmtId="3" fontId="0" fillId="0" borderId="0" xfId="0" applyNumberFormat="1" applyBorder="1"/>
    <xf numFmtId="3" fontId="0" fillId="2" borderId="0" xfId="0" applyNumberFormat="1" applyFill="1" applyBorder="1"/>
    <xf numFmtId="3" fontId="10" fillId="0" borderId="0" xfId="0" applyNumberFormat="1" applyFont="1" applyBorder="1"/>
    <xf numFmtId="170" fontId="0" fillId="0" borderId="0" xfId="1" applyNumberFormat="1" applyFont="1" applyBorder="1"/>
    <xf numFmtId="169" fontId="0" fillId="0" borderId="0" xfId="0" applyNumberFormat="1"/>
    <xf numFmtId="169" fontId="6" fillId="0" borderId="0" xfId="0" applyNumberFormat="1" applyFont="1"/>
    <xf numFmtId="0" fontId="6" fillId="7" borderId="0" xfId="0" applyFont="1" applyFill="1" applyAlignment="1">
      <alignment horizontal="center" wrapText="1"/>
    </xf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 wrapText="1"/>
    </xf>
    <xf numFmtId="0" fontId="0" fillId="0" borderId="0" xfId="0" applyAlignment="1">
      <alignment horizontal="left" wrapText="1"/>
    </xf>
  </cellXfs>
  <cellStyles count="7">
    <cellStyle name="CALC_Date" xfId="3"/>
    <cellStyle name="Comma" xfId="1" builtinId="3"/>
    <cellStyle name="GEN_Heading 2" xfId="4"/>
    <cellStyle name="Normal" xfId="0" builtinId="0"/>
    <cellStyle name="Normal 2" xfId="6"/>
    <cellStyle name="Normal 4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o.net.au\BIS$\Economic\FC\LABO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romble/AppData/Local/Microsoft/Windows/Temporary%20Internet%20Files/Content.Outlook/GOXX0LV3/160702_Input_template_Technical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REE/_Programs_and_Themes/_Data%20&amp;%20Statistics/_Projects/DataForPublication/_ResourcesEnergyQuarterly/Templates/Data_Products/_StatisticalTables/REQ_StatsTables_Sep2011_P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REE/_Programs_and_Themes/_Data%20&amp;%20Statistics/_Projects/DataForPublication/_ResourcesEnergyQuarterly/Templates/Data_Products/_StatisticalTables/REQ_StatsTables_June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/Private%20Clients/Project%20Manta%20Ray%20-%20Port%20of%20Melbourne/Outputs/160704_Input_template_BIS_L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ur"/>
      <sheetName val="Population"/>
      <sheetName val="Table 2.1 ltf"/>
      <sheetName val="Table 2.2 ltf"/>
      <sheetName val="table 2.3 ltf"/>
      <sheetName val="Chart3"/>
      <sheetName val="Chart1"/>
      <sheetName val="data"/>
      <sheetName val="data2"/>
      <sheetName val="TABLE 1.7 LTF"/>
      <sheetName val="ltf employ growth chart"/>
      <sheetName val="OS Part Rates"/>
      <sheetName val="LF 15+ &amp; Civ Popn Ann Ch"/>
      <sheetName val="LF 15+ &amp; Civ Popn Qtrly Ch"/>
      <sheetName val="Pop'n, LF Annual Chart"/>
      <sheetName val="Pop'n LF Qtrly Chart"/>
      <sheetName val="Net Interstate Migration"/>
      <sheetName val="Charts"/>
      <sheetName val="Table 1.5 ltf"/>
      <sheetName val="table 1.6 ltf"/>
      <sheetName val="Table 1.4 ltf"/>
      <sheetName val="Participation Rates"/>
      <sheetName val="M"/>
      <sheetName val="Sheet1"/>
      <sheetName val="qtr data"/>
      <sheetName val="Table 1.3 ltf"/>
      <sheetName val="Part Time vs FT in downturn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ssum_Opex"/>
      <sheetName val="Assum_Capex"/>
    </sheetNames>
    <sheetDataSet>
      <sheetData sheetId="0" refreshError="1"/>
      <sheetData sheetId="1">
        <row r="32">
          <cell r="B32" t="str">
            <v>Salaries and Employee Benefits</v>
          </cell>
        </row>
        <row r="33">
          <cell r="B33" t="str">
            <v>Contractors and Consultants</v>
          </cell>
        </row>
        <row r="34">
          <cell r="B34" t="str">
            <v>Land Tax</v>
          </cell>
        </row>
        <row r="35">
          <cell r="B35" t="str">
            <v>Utilities, Rent and Communications</v>
          </cell>
        </row>
        <row r="36">
          <cell r="B36" t="str">
            <v>Administration</v>
          </cell>
        </row>
        <row r="37">
          <cell r="B37" t="str">
            <v>Defined benefits superannuation fund liability movement</v>
          </cell>
        </row>
        <row r="38">
          <cell r="B38" t="str">
            <v>CEO &amp; Board Costs</v>
          </cell>
        </row>
        <row r="39">
          <cell r="B39" t="str">
            <v>Transitional costs</v>
          </cell>
        </row>
        <row r="40">
          <cell r="B40" t="str">
            <v xml:space="preserve">Channel Deepening Levy </v>
          </cell>
        </row>
        <row r="41">
          <cell r="B41" t="str">
            <v>Council Rates and Fire Levy</v>
          </cell>
        </row>
        <row r="42">
          <cell r="B42" t="str">
            <v>Security / Health and Safety Services</v>
          </cell>
        </row>
        <row r="43">
          <cell r="B43" t="str">
            <v>Insurance</v>
          </cell>
        </row>
        <row r="44">
          <cell r="B44" t="str">
            <v>Audit costs</v>
          </cell>
        </row>
        <row r="45">
          <cell r="B45" t="str">
            <v>[Spare]</v>
          </cell>
        </row>
        <row r="46">
          <cell r="B46" t="str">
            <v>[Spare]</v>
          </cell>
        </row>
        <row r="73">
          <cell r="B73" t="str">
            <v>Temporary labour</v>
          </cell>
        </row>
        <row r="74">
          <cell r="B74" t="str">
            <v>Workcover 1st 10 days and 1st $610</v>
          </cell>
        </row>
        <row r="75">
          <cell r="B75" t="str">
            <v>Contracted Resources</v>
          </cell>
        </row>
        <row r="76">
          <cell r="B76" t="str">
            <v>Salary sacrifice - other</v>
          </cell>
        </row>
        <row r="77">
          <cell r="B77" t="str">
            <v>Salary sacrifice - superannuation contribution</v>
          </cell>
        </row>
        <row r="78">
          <cell r="B78" t="str">
            <v>PoMC Defined Benefit Super Fund – Fortnightly Payroll Contr</v>
          </cell>
        </row>
        <row r="79">
          <cell r="B79" t="str">
            <v>PoMC Defined Benefit Super Fund -  Employer Contributions</v>
          </cell>
        </row>
        <row r="80">
          <cell r="B80" t="str">
            <v>State defined superannuation fund</v>
          </cell>
        </row>
        <row r="81">
          <cell r="B81" t="str">
            <v>Other superannuation funds</v>
          </cell>
        </row>
        <row r="82">
          <cell r="B82" t="str">
            <v>Severance Pay</v>
          </cell>
        </row>
        <row r="83">
          <cell r="B83" t="str">
            <v>Long Service Leave on Termination</v>
          </cell>
        </row>
        <row r="84">
          <cell r="B84" t="str">
            <v>Novated lease - GST gross up expense</v>
          </cell>
        </row>
        <row r="85">
          <cell r="B85" t="str">
            <v>Payroll Overhead - Normal Time</v>
          </cell>
        </row>
        <row r="86">
          <cell r="B86" t="str">
            <v>Second Liquid Bulk Terminal</v>
          </cell>
        </row>
        <row r="87">
          <cell r="B87" t="str">
            <v>Allowances</v>
          </cell>
        </row>
        <row r="88">
          <cell r="B88" t="str">
            <v>Casual wages</v>
          </cell>
        </row>
        <row r="89">
          <cell r="B89" t="str">
            <v>Salaries</v>
          </cell>
        </row>
        <row r="90">
          <cell r="B90" t="str">
            <v>Overtime</v>
          </cell>
        </row>
        <row r="91">
          <cell r="B91" t="str">
            <v>Annual Leave Taken</v>
          </cell>
        </row>
        <row r="92">
          <cell r="B92" t="str">
            <v>Long Service Leave Taken</v>
          </cell>
        </row>
        <row r="93">
          <cell r="B93" t="str">
            <v>Long Service Leave Provided</v>
          </cell>
        </row>
        <row r="94">
          <cell r="B94" t="str">
            <v>Annual Leave Provided</v>
          </cell>
        </row>
        <row r="95">
          <cell r="B95" t="str">
            <v>Sick Leave Taken</v>
          </cell>
        </row>
        <row r="96">
          <cell r="B96" t="str">
            <v>Other Leave Taken</v>
          </cell>
        </row>
        <row r="97">
          <cell r="B97" t="str">
            <v>Payroll Tax</v>
          </cell>
        </row>
        <row r="98">
          <cell r="B98" t="str">
            <v>Transport superannuation fund</v>
          </cell>
        </row>
        <row r="99">
          <cell r="B99" t="str">
            <v>Workcover premium</v>
          </cell>
        </row>
        <row r="100">
          <cell r="B100" t="str">
            <v>Contractors R&amp;M - Disposed</v>
          </cell>
        </row>
        <row r="101">
          <cell r="B101" t="str">
            <v>Contractors R&amp;M - Port Wide</v>
          </cell>
        </row>
        <row r="102">
          <cell r="B102" t="str">
            <v>Contractors R&amp;M - PCP Recurring Spend</v>
          </cell>
        </row>
        <row r="103">
          <cell r="B103" t="str">
            <v>Contractors R&amp;M - CH2M Hill</v>
          </cell>
        </row>
        <row r="104">
          <cell r="B104" t="str">
            <v>Consultants</v>
          </cell>
        </row>
        <row r="105">
          <cell r="B105" t="str">
            <v>Contractors</v>
          </cell>
        </row>
        <row r="106">
          <cell r="B106" t="str">
            <v>Contractors - Health and Safety</v>
          </cell>
        </row>
        <row r="107">
          <cell r="B107" t="str">
            <v>Contractors - Project Management</v>
          </cell>
        </row>
        <row r="108">
          <cell r="B108" t="str">
            <v>Contractors - Payroll &amp; Human Resources</v>
          </cell>
        </row>
        <row r="109">
          <cell r="B109" t="str">
            <v>Contractors - Office &amp; Administration</v>
          </cell>
        </row>
        <row r="110">
          <cell r="B110" t="str">
            <v>Consultants - Accounting and Tax (including audit fees)</v>
          </cell>
        </row>
        <row r="111">
          <cell r="B111" t="str">
            <v>Consultants - Capital works</v>
          </cell>
        </row>
        <row r="112">
          <cell r="B112" t="str">
            <v>Consultants - Environmental</v>
          </cell>
        </row>
        <row r="113">
          <cell r="B113" t="str">
            <v>Consultants - Marine and Navigation (including dredging)</v>
          </cell>
        </row>
        <row r="114">
          <cell r="B114" t="str">
            <v>Consultants - Strategic Planning and Development</v>
          </cell>
        </row>
        <row r="115">
          <cell r="B115" t="str">
            <v>Consultants - Major Projects (non-recurring)</v>
          </cell>
        </row>
        <row r="116">
          <cell r="B116" t="str">
            <v>Consultants - People and Culture (including recruitment)</v>
          </cell>
        </row>
        <row r="117">
          <cell r="B117" t="str">
            <v>Consultants - General analysis and advice</v>
          </cell>
        </row>
        <row r="118">
          <cell r="B118" t="str">
            <v>Contractors - Other</v>
          </cell>
        </row>
        <row r="119">
          <cell r="B119" t="str">
            <v>Compensation Payments</v>
          </cell>
        </row>
        <row r="120">
          <cell r="B120" t="str">
            <v>Security – fixed</v>
          </cell>
        </row>
        <row r="121">
          <cell r="B121" t="str">
            <v>Security / Health &amp; Safety Services</v>
          </cell>
        </row>
        <row r="122">
          <cell r="B122" t="str">
            <v>IT Spend</v>
          </cell>
        </row>
        <row r="123">
          <cell r="B123" t="str">
            <v>Review</v>
          </cell>
        </row>
        <row r="124">
          <cell r="B124" t="str">
            <v>Recruitment</v>
          </cell>
        </row>
        <row r="125">
          <cell r="B125" t="str">
            <v>Property Valuations</v>
          </cell>
        </row>
        <row r="126">
          <cell r="B126" t="str">
            <v>Contractors - IT (Including Support &amp; Maintenance)</v>
          </cell>
        </row>
        <row r="127">
          <cell r="B127" t="str">
            <v>Contractors - Repairs and Maintenance - Fixed</v>
          </cell>
        </row>
        <row r="128">
          <cell r="B128" t="str">
            <v>Contractors - Repairs and Maintenance - Variable</v>
          </cell>
        </row>
        <row r="129">
          <cell r="B129" t="str">
            <v>Contractors - Installation &amp; Construction</v>
          </cell>
        </row>
        <row r="130">
          <cell r="B130" t="str">
            <v>Land Tax</v>
          </cell>
        </row>
        <row r="131">
          <cell r="B131" t="str">
            <v>Council Rates</v>
          </cell>
        </row>
        <row r="132">
          <cell r="B132" t="str">
            <v>Council Rates - Recoverable</v>
          </cell>
        </row>
        <row r="133">
          <cell r="B133" t="str">
            <v>Water Charges</v>
          </cell>
        </row>
        <row r="134">
          <cell r="B134" t="str">
            <v>Water Charges - Recoverable</v>
          </cell>
        </row>
        <row r="135">
          <cell r="B135" t="str">
            <v>Equipment Lease / Other Rental Charges</v>
          </cell>
        </row>
        <row r="136">
          <cell r="B136" t="str">
            <v>Office Rental</v>
          </cell>
        </row>
        <row r="137">
          <cell r="B137" t="str">
            <v>Telephone, internet and paging expenses</v>
          </cell>
        </row>
        <row r="138">
          <cell r="B138" t="str">
            <v>Electricity Charges</v>
          </cell>
        </row>
        <row r="139">
          <cell r="B139" t="str">
            <v>Electricity - Recoverable</v>
          </cell>
        </row>
        <row r="140">
          <cell r="B140" t="str">
            <v>Advertising</v>
          </cell>
        </row>
        <row r="141">
          <cell r="B141" t="str">
            <v>Promotions</v>
          </cell>
        </row>
        <row r="142">
          <cell r="B142" t="str">
            <v>Advertising and Promotions</v>
          </cell>
        </row>
        <row r="143">
          <cell r="B143" t="str">
            <v>Sponsorship and Donations</v>
          </cell>
        </row>
        <row r="144">
          <cell r="B144" t="str">
            <v>Media Relations</v>
          </cell>
        </row>
        <row r="145">
          <cell r="B145" t="str">
            <v>Subscription/Membership/Books/Papers</v>
          </cell>
        </row>
        <row r="146">
          <cell r="B146" t="str">
            <v>Professional Memberships and Corporate Subscriptions</v>
          </cell>
        </row>
        <row r="147">
          <cell r="B147" t="str">
            <v>Training and Course Fees</v>
          </cell>
        </row>
        <row r="148">
          <cell r="B148" t="str">
            <v>Legal Fees</v>
          </cell>
        </row>
        <row r="149">
          <cell r="B149" t="str">
            <v>Legal Fees - Recoverable</v>
          </cell>
        </row>
        <row r="150">
          <cell r="B150" t="str">
            <v>Conferences and Seminars</v>
          </cell>
        </row>
        <row r="151">
          <cell r="B151" t="str">
            <v>Photocopying</v>
          </cell>
        </row>
        <row r="152">
          <cell r="B152" t="str">
            <v>Courier / Postage</v>
          </cell>
        </row>
        <row r="153">
          <cell r="B153" t="str">
            <v>Printing</v>
          </cell>
        </row>
        <row r="154">
          <cell r="B154" t="str">
            <v>Purchase of minor equipment and trade tools</v>
          </cell>
        </row>
        <row r="155">
          <cell r="B155" t="str">
            <v>Motor vehicle expenses - Other (fuel, repairs, other)</v>
          </cell>
        </row>
        <row r="156">
          <cell r="B156" t="str">
            <v>Marine transport - diesel</v>
          </cell>
        </row>
        <row r="157">
          <cell r="B157" t="str">
            <v>Motor vehicle expenses - road tolls</v>
          </cell>
        </row>
        <row r="158">
          <cell r="B158" t="str">
            <v>Motor vehicle expenses - registration and insurance</v>
          </cell>
        </row>
        <row r="159">
          <cell r="B159" t="str">
            <v>Materials</v>
          </cell>
        </row>
        <row r="160">
          <cell r="B160" t="str">
            <v>Doubtful Debts</v>
          </cell>
        </row>
        <row r="161">
          <cell r="B161" t="str">
            <v>Fringe Benefits Tax</v>
          </cell>
        </row>
        <row r="162">
          <cell r="B162" t="str">
            <v>Purchase of Fixed Assets</v>
          </cell>
        </row>
        <row r="163">
          <cell r="B163" t="str">
            <v>Stationery &amp; Office Consumables</v>
          </cell>
        </row>
        <row r="164">
          <cell r="B164" t="str">
            <v>General Office Supplies/Expenses</v>
          </cell>
        </row>
        <row r="165">
          <cell r="B165" t="str">
            <v>Light Refreshment</v>
          </cell>
        </row>
        <row r="166">
          <cell r="B166" t="str">
            <v>Meal entertainment (FBT applicable)</v>
          </cell>
        </row>
        <row r="167">
          <cell r="B167" t="str">
            <v>Social club contributions</v>
          </cell>
        </row>
        <row r="168">
          <cell r="B168" t="str">
            <v>Employee property benefits (FBT applicable)</v>
          </cell>
        </row>
        <row r="169">
          <cell r="B169" t="str">
            <v>Travelling Expenses</v>
          </cell>
        </row>
        <row r="170">
          <cell r="B170" t="str">
            <v>Conferences/Seminars/Course Fees</v>
          </cell>
        </row>
        <row r="171">
          <cell r="B171" t="str">
            <v>Protective Clothing</v>
          </cell>
        </row>
        <row r="172">
          <cell r="B172" t="str">
            <v>Regulatory Licence Fees</v>
          </cell>
        </row>
        <row r="173">
          <cell r="B173" t="str">
            <v>Proceeds on Sale of Assets</v>
          </cell>
        </row>
        <row r="174">
          <cell r="B174" t="str">
            <v>WDV of Fixed Assets Sold</v>
          </cell>
        </row>
        <row r="175">
          <cell r="B175" t="str">
            <v>WDV of Fixed Assets Scrapped</v>
          </cell>
        </row>
        <row r="176">
          <cell r="B176" t="str">
            <v>Impairment Loss Land</v>
          </cell>
        </row>
        <row r="177">
          <cell r="B177" t="str">
            <v>Congestion Levy - Recoverable</v>
          </cell>
        </row>
        <row r="178">
          <cell r="B178" t="str">
            <v>Defined benefits superannuation fund liability movement</v>
          </cell>
        </row>
        <row r="179">
          <cell r="B179" t="str">
            <v>CEO &amp; Board Costs</v>
          </cell>
        </row>
        <row r="180">
          <cell r="B180" t="str">
            <v>Transitional costs</v>
          </cell>
        </row>
        <row r="181">
          <cell r="B181" t="str">
            <v xml:space="preserve">Channel Deepening Levy </v>
          </cell>
        </row>
        <row r="182">
          <cell r="B182" t="str">
            <v>Council Rates and Fire Levy</v>
          </cell>
        </row>
        <row r="183">
          <cell r="B183" t="str">
            <v>Security / Health and Safety Services</v>
          </cell>
        </row>
        <row r="184">
          <cell r="B184" t="str">
            <v>Insurance</v>
          </cell>
        </row>
        <row r="185">
          <cell r="B185" t="str">
            <v>Audit costs</v>
          </cell>
        </row>
        <row r="186">
          <cell r="B186" t="str">
            <v>[Spare]</v>
          </cell>
        </row>
        <row r="187">
          <cell r="B187" t="str">
            <v>[Spare]</v>
          </cell>
        </row>
        <row r="188">
          <cell r="B188" t="str">
            <v>[Spare]</v>
          </cell>
        </row>
        <row r="189">
          <cell r="B189" t="str">
            <v>[Spare]</v>
          </cell>
        </row>
        <row r="190">
          <cell r="B190" t="str">
            <v>[Spare]</v>
          </cell>
        </row>
        <row r="191">
          <cell r="B191" t="str">
            <v>[Spare]</v>
          </cell>
        </row>
        <row r="192">
          <cell r="B192" t="str">
            <v>[Spare]</v>
          </cell>
        </row>
        <row r="193">
          <cell r="B193" t="str">
            <v>[Spare]</v>
          </cell>
        </row>
        <row r="194">
          <cell r="B194" t="str">
            <v>[Spare]</v>
          </cell>
        </row>
        <row r="195">
          <cell r="B195" t="str">
            <v>[Spare]</v>
          </cell>
        </row>
        <row r="196">
          <cell r="B196" t="str">
            <v>[Spare]</v>
          </cell>
        </row>
        <row r="197">
          <cell r="B197" t="str">
            <v>[Spare]</v>
          </cell>
        </row>
      </sheetData>
      <sheetData sheetId="2">
        <row r="20">
          <cell r="B20" t="str">
            <v>Shared Channel</v>
          </cell>
        </row>
        <row r="21">
          <cell r="B21" t="str">
            <v>Shared Channel Over-Dredge</v>
          </cell>
        </row>
        <row r="22">
          <cell r="B22" t="str">
            <v>Melbourne Channel</v>
          </cell>
        </row>
        <row r="23">
          <cell r="B23" t="str">
            <v>Melbourne Channel Over-Dredge</v>
          </cell>
        </row>
        <row r="24">
          <cell r="B24" t="str">
            <v>Channel Protection</v>
          </cell>
        </row>
        <row r="25">
          <cell r="B25" t="str">
            <v>Service Protection</v>
          </cell>
        </row>
        <row r="26">
          <cell r="B26" t="str">
            <v>Road</v>
          </cell>
        </row>
        <row r="27">
          <cell r="B27" t="str">
            <v>Rail</v>
          </cell>
        </row>
        <row r="28">
          <cell r="B28" t="str">
            <v>Building</v>
          </cell>
        </row>
        <row r="29">
          <cell r="B29" t="str">
            <v>Wharf</v>
          </cell>
        </row>
        <row r="30">
          <cell r="B30" t="str">
            <v>Plant</v>
          </cell>
        </row>
        <row r="31">
          <cell r="B31" t="str">
            <v>Land</v>
          </cell>
        </row>
        <row r="32">
          <cell r="B32" t="str">
            <v>PCP</v>
          </cell>
        </row>
        <row r="33">
          <cell r="B33" t="str">
            <v>N/A</v>
          </cell>
        </row>
        <row r="43">
          <cell r="B43" t="str">
            <v>ROAD</v>
          </cell>
        </row>
        <row r="44">
          <cell r="B44" t="str">
            <v>PATH/ROAD</v>
          </cell>
        </row>
        <row r="45">
          <cell r="B45" t="str">
            <v>WHF</v>
          </cell>
        </row>
        <row r="46">
          <cell r="B46" t="str">
            <v>UTIL</v>
          </cell>
        </row>
        <row r="47">
          <cell r="B47" t="str">
            <v>CIVIL</v>
          </cell>
        </row>
        <row r="48">
          <cell r="B48" t="str">
            <v>BLDG</v>
          </cell>
        </row>
        <row r="49">
          <cell r="B49" t="str">
            <v>LANDIMP</v>
          </cell>
        </row>
        <row r="50">
          <cell r="B50" t="str">
            <v>PLANT</v>
          </cell>
        </row>
        <row r="51">
          <cell r="B51" t="str">
            <v>NAVAIDS/NS</v>
          </cell>
        </row>
        <row r="52">
          <cell r="B52" t="str">
            <v>NAVAIDS</v>
          </cell>
        </row>
        <row r="53">
          <cell r="B53" t="str">
            <v>RAIL</v>
          </cell>
        </row>
        <row r="54">
          <cell r="B54" t="str">
            <v>OFEQP</v>
          </cell>
        </row>
        <row r="55">
          <cell r="B55" t="str">
            <v>SURVEY</v>
          </cell>
        </row>
        <row r="56">
          <cell r="B56" t="str">
            <v>NS</v>
          </cell>
        </row>
        <row r="57">
          <cell r="B57" t="str">
            <v>CHNL</v>
          </cell>
        </row>
        <row r="58">
          <cell r="B58" t="str">
            <v>CHNLNEW</v>
          </cell>
        </row>
        <row r="59">
          <cell r="B59" t="str">
            <v>OFURN</v>
          </cell>
        </row>
        <row r="60">
          <cell r="B60" t="str">
            <v>COMP</v>
          </cell>
        </row>
        <row r="61">
          <cell r="B61" t="str">
            <v>LVP</v>
          </cell>
        </row>
        <row r="62">
          <cell r="B62" t="str">
            <v>MV</v>
          </cell>
        </row>
        <row r="63">
          <cell r="B63" t="str">
            <v>BOAT</v>
          </cell>
        </row>
        <row r="64">
          <cell r="B64" t="str">
            <v>INTAN</v>
          </cell>
        </row>
        <row r="65">
          <cell r="B65" t="str">
            <v>REVET</v>
          </cell>
        </row>
        <row r="66">
          <cell r="B66" t="str">
            <v>SCHNLOD</v>
          </cell>
        </row>
        <row r="67">
          <cell r="B67" t="str">
            <v>LAND</v>
          </cell>
        </row>
        <row r="68">
          <cell r="B68" t="str">
            <v>Spare</v>
          </cell>
        </row>
        <row r="69">
          <cell r="B69" t="str">
            <v>Spare</v>
          </cell>
        </row>
        <row r="70">
          <cell r="B70" t="str">
            <v>Spare</v>
          </cell>
        </row>
        <row r="71">
          <cell r="B71" t="str">
            <v>Spare</v>
          </cell>
        </row>
        <row r="72">
          <cell r="B72" t="str">
            <v>Spare</v>
          </cell>
        </row>
        <row r="73">
          <cell r="B73" t="str">
            <v>Spare</v>
          </cell>
        </row>
        <row r="74">
          <cell r="B74" t="str">
            <v>Spare</v>
          </cell>
        </row>
        <row r="75">
          <cell r="B75" t="str">
            <v>Spare</v>
          </cell>
        </row>
        <row r="76">
          <cell r="B76" t="str">
            <v>Spare</v>
          </cell>
        </row>
        <row r="77">
          <cell r="B77" t="str">
            <v>Spare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 a"/>
      <sheetName val="Table 12 b"/>
      <sheetName val="Table 13 a"/>
      <sheetName val="Table 13 b"/>
      <sheetName val="Table 14"/>
      <sheetName val="Table 15 a"/>
      <sheetName val="Table 15 b"/>
      <sheetName val="Table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a"/>
      <sheetName val="Table 12b"/>
      <sheetName val="Table 13a"/>
      <sheetName val="Table 13b"/>
      <sheetName val="Table 14"/>
      <sheetName val="Table 15a"/>
      <sheetName val="Table 15b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a"/>
      <sheetName val="Table 25b"/>
      <sheetName val="Table 26"/>
      <sheetName val="Table 27"/>
      <sheetName val="Table 28"/>
      <sheetName val="Table 29"/>
      <sheetName val="Table 30"/>
      <sheetName val="Table 31"/>
      <sheetName val="Table 32"/>
      <sheetName val="Table 33a"/>
      <sheetName val="Table 33b"/>
      <sheetName val="Table 33c"/>
      <sheetName val="Table 35a"/>
      <sheetName val="Table 35b"/>
      <sheetName val="Table 36"/>
      <sheetName val="Table 37"/>
      <sheetName val="Table 38"/>
      <sheetName val="Table 39"/>
      <sheetName val="Table 40"/>
      <sheetName val="Table 41"/>
      <sheetName val="Table 42"/>
      <sheetName val="Table 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IS_2026"/>
      <sheetName val="Macros"/>
      <sheetName val="Detailed Trade_2026"/>
      <sheetName val="BIS_2021"/>
      <sheetName val="Detailed Trade_2021"/>
      <sheetName val="Raw Data"/>
      <sheetName val="PoM Data"/>
      <sheetName val="Elasticities"/>
      <sheetName val="Macroeconomic Scenarios"/>
      <sheetName val="CHARTS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46" style="42" bestFit="1" customWidth="1"/>
    <col min="2" max="2" width="12.28515625" style="42" bestFit="1" customWidth="1"/>
    <col min="3" max="3" width="10.140625" style="42" customWidth="1"/>
    <col min="4" max="6" width="10.140625" style="42" bestFit="1" customWidth="1"/>
    <col min="7" max="7" width="10" style="42" bestFit="1" customWidth="1"/>
    <col min="8" max="8" width="10.5703125" style="42" bestFit="1" customWidth="1"/>
    <col min="9" max="9" width="9.140625" style="42"/>
    <col min="10" max="10" width="18.28515625" style="42" bestFit="1" customWidth="1"/>
    <col min="11" max="16384" width="9.140625" style="42"/>
  </cols>
  <sheetData>
    <row r="1" spans="1:10" x14ac:dyDescent="0.2">
      <c r="A1" s="1" t="s">
        <v>0</v>
      </c>
      <c r="B1" s="2" t="s">
        <v>49</v>
      </c>
      <c r="C1" s="41">
        <v>2016</v>
      </c>
      <c r="D1" s="41">
        <v>2017</v>
      </c>
      <c r="E1" s="41">
        <v>2018</v>
      </c>
      <c r="F1" s="41">
        <v>2019</v>
      </c>
      <c r="G1" s="41">
        <v>2020</v>
      </c>
      <c r="H1" s="41">
        <v>2021</v>
      </c>
    </row>
    <row r="2" spans="1:10" x14ac:dyDescent="0.2">
      <c r="A2" s="3" t="s">
        <v>1</v>
      </c>
      <c r="B2" s="2" t="s">
        <v>50</v>
      </c>
      <c r="C2" s="43">
        <f t="shared" ref="C2:H2" si="0">DATE(C1,6,1)</f>
        <v>42522</v>
      </c>
      <c r="D2" s="43">
        <f t="shared" si="0"/>
        <v>42887</v>
      </c>
      <c r="E2" s="43">
        <f t="shared" si="0"/>
        <v>43252</v>
      </c>
      <c r="F2" s="43">
        <f t="shared" si="0"/>
        <v>43617</v>
      </c>
      <c r="G2" s="43">
        <f t="shared" si="0"/>
        <v>43983</v>
      </c>
      <c r="H2" s="43">
        <f t="shared" si="0"/>
        <v>44348</v>
      </c>
      <c r="J2" s="44" t="s">
        <v>46</v>
      </c>
    </row>
    <row r="3" spans="1:10" x14ac:dyDescent="0.2">
      <c r="A3" s="45" t="s">
        <v>2</v>
      </c>
      <c r="B3" s="46" t="s">
        <v>3</v>
      </c>
      <c r="C3" s="47">
        <v>657810</v>
      </c>
      <c r="D3" s="47">
        <v>701037.13199999998</v>
      </c>
      <c r="E3" s="47">
        <v>749976.66700000013</v>
      </c>
      <c r="F3" s="47">
        <v>689727.47400000005</v>
      </c>
      <c r="G3" s="48">
        <f>INDEX(Full_out!$P$5:$P$20,MATCH(G$2,Full_out!$A$5:$A$20,0))</f>
        <v>656354.70068594825</v>
      </c>
      <c r="H3" s="48">
        <f>INDEX(Full_out!$P$5:$P$20,MATCH(H$2,Full_out!$A$5:$A$20,0))</f>
        <v>658926.4693353388</v>
      </c>
      <c r="J3" s="47" t="s">
        <v>47</v>
      </c>
    </row>
    <row r="4" spans="1:10" x14ac:dyDescent="0.2">
      <c r="A4" s="45" t="s">
        <v>4</v>
      </c>
      <c r="B4" s="46" t="s">
        <v>3</v>
      </c>
      <c r="C4" s="47">
        <v>1072624</v>
      </c>
      <c r="D4" s="47">
        <v>1105845</v>
      </c>
      <c r="E4" s="47">
        <v>1199795</v>
      </c>
      <c r="F4" s="47">
        <v>1219638.0660000001</v>
      </c>
      <c r="G4" s="48">
        <f>INDEX(Full_in!$H:$H,MATCH(DATE(G$1,6,1),Full_in!$A:$A,0))</f>
        <v>1111448.90320136</v>
      </c>
      <c r="H4" s="48">
        <f>INDEX(Full_in!$H:$H,MATCH(DATE(H$1,6,1),Full_in!$A:$A,0))</f>
        <v>1110835.4437926027</v>
      </c>
      <c r="J4" s="48" t="s">
        <v>48</v>
      </c>
    </row>
    <row r="5" spans="1:10" x14ac:dyDescent="0.2">
      <c r="A5" s="45" t="s">
        <v>5</v>
      </c>
      <c r="B5" s="46" t="s">
        <v>3</v>
      </c>
      <c r="C5" s="47">
        <v>191615</v>
      </c>
      <c r="D5" s="47">
        <v>190270.85700000002</v>
      </c>
      <c r="E5" s="47">
        <v>198826.77799999999</v>
      </c>
      <c r="F5" s="47">
        <v>202190.45699999999</v>
      </c>
      <c r="G5" s="48">
        <f>INDEX('Bass Strait'!$AJ$5:$AJ$20,MATCH(G$2,'Bass Strait'!$A$5:$A$20,0))</f>
        <v>185863.75186151612</v>
      </c>
      <c r="H5" s="48">
        <f>INDEX('Bass Strait'!$AJ$5:$AJ$20,MATCH(H$2,'Bass Strait'!$A$5:$A$20,0))</f>
        <v>188374.59088978608</v>
      </c>
      <c r="J5" s="50" t="s">
        <v>51</v>
      </c>
    </row>
    <row r="6" spans="1:10" x14ac:dyDescent="0.2">
      <c r="A6" s="45" t="s">
        <v>6</v>
      </c>
      <c r="B6" s="46" t="s">
        <v>3</v>
      </c>
      <c r="C6" s="47">
        <v>479777</v>
      </c>
      <c r="D6" s="47">
        <v>454675</v>
      </c>
      <c r="E6" s="47">
        <v>495962</v>
      </c>
      <c r="F6" s="47">
        <v>615132.09000000008</v>
      </c>
      <c r="G6" s="48">
        <f>INDEX(Empty!$H$5:$H$20,MATCH(G$2,Empty!$A$5:$A$20,0))</f>
        <v>707929.02567907202</v>
      </c>
      <c r="H6" s="48">
        <f>INDEX(Empty!$H$5:$H$20,MATCH(H$2,Empty!$A$5:$A$20,0))</f>
        <v>773863.39865791192</v>
      </c>
    </row>
    <row r="7" spans="1:10" x14ac:dyDescent="0.2">
      <c r="A7" s="45" t="s">
        <v>7</v>
      </c>
      <c r="B7" s="46" t="s">
        <v>3</v>
      </c>
      <c r="C7" s="47">
        <v>77418</v>
      </c>
      <c r="D7" s="47">
        <v>72285.195000000007</v>
      </c>
      <c r="E7" s="47">
        <v>90714.11500000002</v>
      </c>
      <c r="F7" s="47">
        <v>82957.591</v>
      </c>
      <c r="G7" s="48">
        <f>INDEX(Empty!$P$5:$P$20,MATCH(G$2,Empty!$A$5:$A$20,0))</f>
        <v>96207.663571391036</v>
      </c>
      <c r="H7" s="48">
        <f>INDEX(Empty!$P$5:$P$20,MATCH(H$2,Empty!$A$5:$A$20,0))</f>
        <v>96912.06938746071</v>
      </c>
      <c r="J7" s="49"/>
    </row>
    <row r="8" spans="1:10" x14ac:dyDescent="0.2">
      <c r="A8" s="45" t="s">
        <v>8</v>
      </c>
      <c r="B8" s="46" t="s">
        <v>3</v>
      </c>
      <c r="C8" s="47">
        <v>2910</v>
      </c>
      <c r="D8" s="47">
        <v>2951</v>
      </c>
      <c r="E8" s="47">
        <v>3703.3496743696965</v>
      </c>
      <c r="F8" s="47">
        <v>3386.6942053763564</v>
      </c>
      <c r="G8" s="64">
        <f t="shared" ref="G8:H8" si="1">G7/F7*F8</f>
        <v>3927.6205203454856</v>
      </c>
      <c r="H8" s="64">
        <f t="shared" si="1"/>
        <v>3956.3774679226708</v>
      </c>
      <c r="J8" s="49"/>
    </row>
    <row r="9" spans="1:10" x14ac:dyDescent="0.2">
      <c r="A9" s="45" t="s">
        <v>9</v>
      </c>
      <c r="B9" s="46" t="s">
        <v>10</v>
      </c>
      <c r="C9" s="47">
        <v>2564994</v>
      </c>
      <c r="D9" s="47">
        <v>2692591</v>
      </c>
      <c r="E9" s="47">
        <v>3403105.56</v>
      </c>
      <c r="F9" s="47">
        <v>3691564.9760000007</v>
      </c>
      <c r="G9" s="48">
        <f>INDEX('General Cargo'!$H$5:$H$20,MATCH(Revenue!G$2,'General Cargo'!$A$5:$A$20,0))</f>
        <v>3019241.1653729379</v>
      </c>
      <c r="H9" s="48">
        <f>INDEX('General Cargo'!$H$5:$H$20,MATCH(Revenue!H$2,'General Cargo'!$A$5:$A$20,0))</f>
        <v>3082557.3051014449</v>
      </c>
      <c r="J9" s="49"/>
    </row>
    <row r="10" spans="1:10" x14ac:dyDescent="0.2">
      <c r="A10" s="45" t="s">
        <v>11</v>
      </c>
      <c r="B10" s="46" t="s">
        <v>10</v>
      </c>
      <c r="C10" s="47"/>
      <c r="D10" s="47"/>
      <c r="E10" s="47"/>
      <c r="F10" s="47"/>
      <c r="G10" s="49"/>
      <c r="H10" s="49"/>
      <c r="J10" s="49"/>
    </row>
    <row r="11" spans="1:10" x14ac:dyDescent="0.2">
      <c r="A11" s="45" t="s">
        <v>12</v>
      </c>
      <c r="B11" s="46" t="s">
        <v>10</v>
      </c>
      <c r="C11" s="47">
        <v>6719255</v>
      </c>
      <c r="D11" s="47">
        <v>6802604.1189999999</v>
      </c>
      <c r="E11" s="47">
        <v>7271295.5770000005</v>
      </c>
      <c r="F11" s="47">
        <v>6809667.5120000001</v>
      </c>
      <c r="G11" s="48">
        <f>INDEX('Other Bulk'!$B$5:$B$20,MATCH(G$2,'Other Bulk'!$A$5:$A$20,0))</f>
        <v>5356357.263275207</v>
      </c>
      <c r="H11" s="48">
        <f>INDEX('Other Bulk'!$B$5:$B$20,MATCH(H$2,'Other Bulk'!$A$5:$A$20,0))</f>
        <v>6282305.2770834966</v>
      </c>
      <c r="J11" s="49"/>
    </row>
    <row r="12" spans="1:10" x14ac:dyDescent="0.2">
      <c r="A12" s="45" t="s">
        <v>148</v>
      </c>
      <c r="B12" s="46" t="s">
        <v>10</v>
      </c>
      <c r="C12" s="47">
        <v>2618259</v>
      </c>
      <c r="D12" s="47">
        <v>2602487</v>
      </c>
      <c r="E12" s="47">
        <v>2868746.904000001</v>
      </c>
      <c r="F12" s="47">
        <v>2526669.4570000013</v>
      </c>
      <c r="G12" s="48">
        <f>INDEX('Other Bulk'!$L:$L,MATCH(G$2,'Other Bulk'!$A:$A,0))</f>
        <v>2585455.788328765</v>
      </c>
      <c r="H12" s="48">
        <f>INDEX('Other Bulk'!$L:$L,MATCH(H$2,'Other Bulk'!$A:$A,0))</f>
        <v>1900850.3642374906</v>
      </c>
      <c r="J12" s="49"/>
    </row>
    <row r="13" spans="1:10" x14ac:dyDescent="0.2">
      <c r="A13" s="45" t="s">
        <v>149</v>
      </c>
      <c r="B13" s="46" t="s">
        <v>10</v>
      </c>
      <c r="C13" s="47">
        <v>3444972.6809999999</v>
      </c>
      <c r="D13" s="47">
        <v>3470794</v>
      </c>
      <c r="E13" s="47">
        <v>3197018.2849999997</v>
      </c>
      <c r="F13" s="47">
        <v>3802458.892</v>
      </c>
      <c r="G13" s="48">
        <f>INDEX('Other Bulk'!$O:$O,MATCH(G$2,'Other Bulk'!$A:$A,0))</f>
        <v>3195190.8559999992</v>
      </c>
      <c r="H13" s="48">
        <f>INDEX('Other Bulk'!$O:$O,MATCH(H$2,'Other Bulk'!$A:$A,0))</f>
        <v>4180034.133028572</v>
      </c>
      <c r="J13" s="49"/>
    </row>
    <row r="14" spans="1:10" x14ac:dyDescent="0.2">
      <c r="A14" s="45" t="s">
        <v>150</v>
      </c>
      <c r="B14" s="46" t="s">
        <v>10</v>
      </c>
      <c r="C14" s="47">
        <v>176060.30600000001</v>
      </c>
      <c r="D14" s="47">
        <v>212172</v>
      </c>
      <c r="E14" s="47">
        <v>185494.36599999998</v>
      </c>
      <c r="F14" s="47">
        <v>196043.28499999997</v>
      </c>
      <c r="G14" s="48">
        <f>INDEX('Other Bulk'!$P:$P,MATCH(G$2,'Other Bulk'!$A:$A,0))</f>
        <v>177354.34733333334</v>
      </c>
      <c r="H14" s="48">
        <f>INDEX('Other Bulk'!$P:$P,MATCH(H$2,'Other Bulk'!$A:$A,0))</f>
        <v>196043.28499999997</v>
      </c>
      <c r="J14" s="49"/>
    </row>
    <row r="15" spans="1:10" x14ac:dyDescent="0.2">
      <c r="A15" s="45" t="s">
        <v>13</v>
      </c>
      <c r="B15" s="46" t="s">
        <v>14</v>
      </c>
      <c r="C15" s="47">
        <v>3443632</v>
      </c>
      <c r="D15" s="47">
        <v>3324601.8059999999</v>
      </c>
      <c r="E15" s="47">
        <v>3770035.92</v>
      </c>
      <c r="F15" s="47">
        <v>3932321.6050000009</v>
      </c>
      <c r="G15" s="48">
        <f>INDEX('Other Bulk'!$T$5:$T$20,MATCH(G$2,'Other Bulk'!$A$5:$A$20,0))</f>
        <v>3622243.4210393261</v>
      </c>
      <c r="H15" s="48">
        <f>INDEX('Other Bulk'!$T$5:$T$20,MATCH(H$2,'Other Bulk'!$A$5:$A$20,0))</f>
        <v>3233079.7513883621</v>
      </c>
      <c r="J15" s="49"/>
    </row>
    <row r="16" spans="1:10" x14ac:dyDescent="0.2">
      <c r="A16" s="45" t="s">
        <v>15</v>
      </c>
      <c r="B16" s="46" t="s">
        <v>14</v>
      </c>
      <c r="C16" s="47">
        <v>261643</v>
      </c>
      <c r="D16" s="47">
        <v>973810.31099999999</v>
      </c>
      <c r="E16" s="47">
        <v>912065.87</v>
      </c>
      <c r="F16" s="47">
        <v>46996.86</v>
      </c>
      <c r="G16" s="48">
        <f>INDEX('Other Bulk'!$X$5:$X$20,MATCH(G$2,'Other Bulk'!$A$5:$A$20,0))</f>
        <v>63777.130534596392</v>
      </c>
      <c r="H16" s="48">
        <f>INDEX('Other Bulk'!$X$5:$X$20,MATCH(H$2,'Other Bulk'!$A$5:$A$20,0))</f>
        <v>465937.58482859936</v>
      </c>
      <c r="J16" s="49"/>
    </row>
    <row r="17" spans="1:10" x14ac:dyDescent="0.2">
      <c r="A17" s="45" t="s">
        <v>16</v>
      </c>
      <c r="B17" s="46" t="s">
        <v>3</v>
      </c>
      <c r="C17" s="47">
        <v>57242</v>
      </c>
      <c r="D17" s="47">
        <v>60411</v>
      </c>
      <c r="E17" s="47">
        <v>71366.760994555982</v>
      </c>
      <c r="F17" s="47">
        <v>78218.829704048752</v>
      </c>
      <c r="G17" s="48">
        <f>INDEX(Transhipments!$C$5:$C$20,MATCH(G$2,Transhipments!$A$5:$A$20,0))</f>
        <v>64959.321008103492</v>
      </c>
      <c r="H17" s="48">
        <f>INDEX(Transhipments!$C$5:$C$20,MATCH(H$2,Transhipments!$A$5:$A$20,0))</f>
        <v>64923.466992193156</v>
      </c>
      <c r="J17" s="49"/>
    </row>
    <row r="18" spans="1:10" x14ac:dyDescent="0.2">
      <c r="A18" s="45" t="s">
        <v>17</v>
      </c>
      <c r="B18" s="46" t="s">
        <v>3</v>
      </c>
      <c r="C18" s="47">
        <v>40167</v>
      </c>
      <c r="D18" s="47">
        <v>42110</v>
      </c>
      <c r="E18" s="47">
        <v>45788.200463621521</v>
      </c>
      <c r="F18" s="47">
        <v>52640.269173114291</v>
      </c>
      <c r="G18" s="48">
        <f>INDEX(Transhipments!$G$5:$G$20,MATCH(G$2,Transhipments!$A$5:$A$20,0))</f>
        <v>39380.760477169017</v>
      </c>
      <c r="H18" s="48">
        <f>INDEX(Transhipments!$G$5:$G$20,MATCH(H$2,Transhipments!$A$5:$A$20,0))</f>
        <v>39344.906461258681</v>
      </c>
      <c r="J18" s="49"/>
    </row>
    <row r="19" spans="1:10" x14ac:dyDescent="0.2">
      <c r="A19" s="45" t="s">
        <v>18</v>
      </c>
      <c r="B19" s="46" t="s">
        <v>3</v>
      </c>
      <c r="C19" s="47">
        <v>36144</v>
      </c>
      <c r="D19" s="47">
        <v>37209</v>
      </c>
      <c r="E19" s="47">
        <v>42814.893389742778</v>
      </c>
      <c r="F19" s="47">
        <v>38007.396198965347</v>
      </c>
      <c r="G19" s="48">
        <f>INDEX(Transhipments!$S$5:$S$20,MATCH(G$2,Transhipments!$A$5:$A$20,0))</f>
        <v>33819.561885206349</v>
      </c>
      <c r="H19" s="48">
        <f>INDEX(Transhipments!$S$5:$S$20,MATCH(H$2,Transhipments!$A$5:$A$20,0))</f>
        <v>34834.900421733546</v>
      </c>
      <c r="J19" s="49"/>
    </row>
    <row r="20" spans="1:10" x14ac:dyDescent="0.2">
      <c r="A20" s="45" t="s">
        <v>19</v>
      </c>
      <c r="B20" s="46" t="s">
        <v>3</v>
      </c>
      <c r="C20" s="47">
        <v>18608</v>
      </c>
      <c r="D20" s="47">
        <v>19827</v>
      </c>
      <c r="E20" s="47">
        <v>16239</v>
      </c>
      <c r="F20" s="47">
        <v>20350.498</v>
      </c>
      <c r="G20" s="48">
        <f>INDEX(Transhipments!$U$5:$U$20,MATCH(G$2,Transhipments!$A$5:$A$20,0))</f>
        <v>22453.498</v>
      </c>
      <c r="H20" s="48">
        <f>INDEX(Transhipments!$U$5:$U$20,MATCH(H$2,Transhipments!$A$5:$A$20,0))</f>
        <v>22453.498</v>
      </c>
      <c r="J20" s="49"/>
    </row>
    <row r="21" spans="1:10" x14ac:dyDescent="0.2">
      <c r="A21" s="45" t="s">
        <v>20</v>
      </c>
      <c r="B21" s="46" t="s">
        <v>10</v>
      </c>
      <c r="C21" s="47">
        <v>8943</v>
      </c>
      <c r="D21" s="47">
        <v>14233</v>
      </c>
      <c r="E21" s="47">
        <v>90423.560000000027</v>
      </c>
      <c r="F21" s="47">
        <v>122556.989</v>
      </c>
      <c r="G21" s="48">
        <f>INDEX(Transhipments!$Z$5:$Z$20,MATCH(G$2,Transhipments!$A$5:$A$20,0))</f>
        <v>122556.989</v>
      </c>
      <c r="H21" s="48">
        <f>INDEX(Transhipments!$Z$5:$Z$20,MATCH(H$2,Transhipments!$A$5:$A$20,0))</f>
        <v>122556.989</v>
      </c>
      <c r="J21" s="49"/>
    </row>
    <row r="22" spans="1:10" x14ac:dyDescent="0.2">
      <c r="A22" s="45" t="s">
        <v>21</v>
      </c>
      <c r="B22" s="46" t="s">
        <v>14</v>
      </c>
      <c r="C22" s="47">
        <v>3201</v>
      </c>
      <c r="D22" s="47">
        <v>1071.7159999999999</v>
      </c>
      <c r="E22" s="47">
        <v>8388.5239999999976</v>
      </c>
      <c r="F22" s="47">
        <v>11849.832</v>
      </c>
      <c r="G22" s="48">
        <f>INDEX(Transhipments!$AC$5:$AC$20,MATCH(G$2,Transhipments!$A$5:$A$20,0))</f>
        <v>11849.832</v>
      </c>
      <c r="H22" s="48">
        <f>INDEX(Transhipments!$AC$5:$AC$20,MATCH(H$2,Transhipments!$A$5:$A$20,0))</f>
        <v>11849.832</v>
      </c>
      <c r="J22" s="49"/>
    </row>
    <row r="25" spans="1:10" x14ac:dyDescent="0.2">
      <c r="A25" s="3" t="s">
        <v>52</v>
      </c>
      <c r="B25" s="2" t="str">
        <f t="shared" ref="B25:G25" si="2">B2</f>
        <v>Year Ending</v>
      </c>
      <c r="C25" s="43">
        <f t="shared" si="2"/>
        <v>42522</v>
      </c>
      <c r="D25" s="43">
        <f t="shared" si="2"/>
        <v>42887</v>
      </c>
      <c r="E25" s="43">
        <f t="shared" si="2"/>
        <v>43252</v>
      </c>
      <c r="F25" s="43">
        <f t="shared" si="2"/>
        <v>43617</v>
      </c>
      <c r="G25" s="43">
        <f t="shared" si="2"/>
        <v>43983</v>
      </c>
      <c r="H25" s="43">
        <f t="shared" ref="H25" si="3">H2</f>
        <v>44348</v>
      </c>
    </row>
    <row r="26" spans="1:10" x14ac:dyDescent="0.2">
      <c r="A26" s="45" t="str">
        <f t="shared" ref="A26:B35" si="4">A3</f>
        <v>Containerised - Full - outward</v>
      </c>
      <c r="B26" s="46" t="str">
        <f t="shared" si="4"/>
        <v>TEU</v>
      </c>
      <c r="C26" s="47"/>
      <c r="D26" s="51">
        <f>D3/C3-1</f>
        <v>6.5713704565147912E-2</v>
      </c>
      <c r="E26" s="51">
        <f t="shared" ref="E26:H26" si="5">E3/D3-1</f>
        <v>6.9810189455128846E-2</v>
      </c>
      <c r="F26" s="51">
        <f t="shared" si="5"/>
        <v>-8.0334756601167845E-2</v>
      </c>
      <c r="G26" s="51">
        <f t="shared" si="5"/>
        <v>-4.8385448705573486E-2</v>
      </c>
      <c r="H26" s="51">
        <f t="shared" si="5"/>
        <v>3.918260426416964E-3</v>
      </c>
    </row>
    <row r="27" spans="1:10" x14ac:dyDescent="0.2">
      <c r="A27" s="45" t="str">
        <f t="shared" si="4"/>
        <v>Containerised - Full - inward</v>
      </c>
      <c r="B27" s="46" t="str">
        <f t="shared" si="4"/>
        <v>TEU</v>
      </c>
      <c r="C27" s="47"/>
      <c r="D27" s="51">
        <f t="shared" ref="D27:H27" si="6">D4/C4-1</f>
        <v>3.0971710496874971E-2</v>
      </c>
      <c r="E27" s="51">
        <f t="shared" si="6"/>
        <v>8.4957656814472093E-2</v>
      </c>
      <c r="F27" s="51">
        <f t="shared" si="6"/>
        <v>1.653871369692328E-2</v>
      </c>
      <c r="G27" s="51">
        <f t="shared" si="6"/>
        <v>-8.8705957787513112E-2</v>
      </c>
      <c r="H27" s="51">
        <f t="shared" si="6"/>
        <v>-5.5194566928840061E-4</v>
      </c>
    </row>
    <row r="28" spans="1:10" x14ac:dyDescent="0.2">
      <c r="A28" s="45" t="str">
        <f t="shared" si="4"/>
        <v>Containerised - Full - Bass Strait</v>
      </c>
      <c r="B28" s="46" t="str">
        <f t="shared" si="4"/>
        <v>TEU</v>
      </c>
      <c r="C28" s="47"/>
      <c r="D28" s="51">
        <f t="shared" ref="D28:H28" si="7">D5/C5-1</f>
        <v>-7.0148109490383304E-3</v>
      </c>
      <c r="E28" s="51">
        <f t="shared" si="7"/>
        <v>4.49670597741616E-2</v>
      </c>
      <c r="F28" s="51">
        <f t="shared" si="7"/>
        <v>1.6917635712026646E-2</v>
      </c>
      <c r="G28" s="51">
        <f t="shared" si="7"/>
        <v>-8.0749138118244024E-2</v>
      </c>
      <c r="H28" s="51">
        <f t="shared" si="7"/>
        <v>1.3509030153123769E-2</v>
      </c>
    </row>
    <row r="29" spans="1:10" x14ac:dyDescent="0.2">
      <c r="A29" s="45" t="str">
        <f t="shared" si="4"/>
        <v>Containerised - Empty</v>
      </c>
      <c r="B29" s="46" t="str">
        <f t="shared" si="4"/>
        <v>TEU</v>
      </c>
      <c r="C29" s="47"/>
      <c r="D29" s="51">
        <f t="shared" ref="D29:H29" si="8">D6/C6-1</f>
        <v>-5.2320140398560144E-2</v>
      </c>
      <c r="E29" s="51">
        <f t="shared" si="8"/>
        <v>9.0805520426678443E-2</v>
      </c>
      <c r="F29" s="51">
        <f t="shared" si="8"/>
        <v>0.24028068682681347</v>
      </c>
      <c r="G29" s="51">
        <f t="shared" si="8"/>
        <v>0.15085692518345439</v>
      </c>
      <c r="H29" s="51">
        <f t="shared" si="8"/>
        <v>9.313698208036203E-2</v>
      </c>
    </row>
    <row r="30" spans="1:10" x14ac:dyDescent="0.2">
      <c r="A30" s="45" t="str">
        <f t="shared" si="4"/>
        <v>Containerised - Empty - Bass Strait (incl transhipment)</v>
      </c>
      <c r="B30" s="46" t="str">
        <f t="shared" si="4"/>
        <v>TEU</v>
      </c>
      <c r="C30" s="47"/>
      <c r="D30" s="51">
        <f t="shared" ref="D30:H30" si="9">D7/C7-1</f>
        <v>-6.6299891498101116E-2</v>
      </c>
      <c r="E30" s="51">
        <f t="shared" si="9"/>
        <v>0.25494736508630855</v>
      </c>
      <c r="F30" s="51">
        <f t="shared" si="9"/>
        <v>-8.550514988764446E-2</v>
      </c>
      <c r="G30" s="51">
        <f t="shared" si="9"/>
        <v>0.15972103832416051</v>
      </c>
      <c r="H30" s="51">
        <f t="shared" si="9"/>
        <v>7.3217225106705364E-3</v>
      </c>
    </row>
    <row r="31" spans="1:10" x14ac:dyDescent="0.2">
      <c r="A31" s="45" t="str">
        <f t="shared" si="4"/>
        <v>Containerised - Empty returns</v>
      </c>
      <c r="B31" s="46" t="str">
        <f t="shared" si="4"/>
        <v>TEU</v>
      </c>
      <c r="C31" s="47"/>
      <c r="D31" s="51">
        <f t="shared" ref="D31:H31" si="10">D8/C8-1</f>
        <v>1.4089347079037751E-2</v>
      </c>
      <c r="E31" s="51">
        <f t="shared" si="10"/>
        <v>0.25494736508630855</v>
      </c>
      <c r="F31" s="51">
        <f t="shared" si="10"/>
        <v>-8.550514988764446E-2</v>
      </c>
      <c r="G31" s="51">
        <f t="shared" si="10"/>
        <v>0.15972103832416051</v>
      </c>
      <c r="H31" s="51">
        <f t="shared" si="10"/>
        <v>7.3217225106705364E-3</v>
      </c>
    </row>
    <row r="32" spans="1:10" x14ac:dyDescent="0.2">
      <c r="A32" s="45" t="str">
        <f t="shared" si="4"/>
        <v>Non-containerised / general</v>
      </c>
      <c r="B32" s="46" t="str">
        <f t="shared" si="4"/>
        <v>tonne or cm</v>
      </c>
      <c r="C32" s="47"/>
      <c r="D32" s="51">
        <f t="shared" ref="D32:H32" si="11">D9/C9-1</f>
        <v>4.9745535467139446E-2</v>
      </c>
      <c r="E32" s="51">
        <f t="shared" si="11"/>
        <v>0.2638776405328549</v>
      </c>
      <c r="F32" s="51">
        <f t="shared" si="11"/>
        <v>8.4763581650403097E-2</v>
      </c>
      <c r="G32" s="51">
        <f t="shared" si="11"/>
        <v>-0.18212433344612555</v>
      </c>
      <c r="H32" s="51">
        <f t="shared" si="11"/>
        <v>2.0970878528905557E-2</v>
      </c>
    </row>
    <row r="33" spans="1:8" x14ac:dyDescent="0.2">
      <c r="A33" s="45" t="str">
        <f t="shared" si="4"/>
        <v>Accompanied passenger vehicles</v>
      </c>
      <c r="B33" s="46" t="str">
        <f t="shared" si="4"/>
        <v>tonne or cm</v>
      </c>
      <c r="C33" s="47"/>
      <c r="D33" s="49"/>
      <c r="E33" s="49"/>
      <c r="F33" s="49"/>
      <c r="G33" s="49"/>
      <c r="H33" s="49"/>
    </row>
    <row r="34" spans="1:8" x14ac:dyDescent="0.2">
      <c r="A34" s="45" t="str">
        <f t="shared" si="4"/>
        <v>Motor vehicles</v>
      </c>
      <c r="B34" s="46" t="str">
        <f t="shared" si="4"/>
        <v>tonne or cm</v>
      </c>
      <c r="C34" s="47"/>
      <c r="D34" s="51">
        <f t="shared" ref="D34:H34" si="12">D11/C11-1</f>
        <v>1.2404517911583923E-2</v>
      </c>
      <c r="E34" s="51">
        <f t="shared" si="12"/>
        <v>6.8898829007397744E-2</v>
      </c>
      <c r="F34" s="51">
        <f t="shared" si="12"/>
        <v>-6.3486356745032668E-2</v>
      </c>
      <c r="G34" s="51">
        <f t="shared" si="12"/>
        <v>-0.21341867957044436</v>
      </c>
      <c r="H34" s="51">
        <f t="shared" si="12"/>
        <v>0.1728689794754481</v>
      </c>
    </row>
    <row r="35" spans="1:8" x14ac:dyDescent="0.2">
      <c r="A35" s="45" t="str">
        <f t="shared" si="4"/>
        <v>Liquid bulk (excl Mobil at Gellibrand)</v>
      </c>
      <c r="B35" s="46" t="str">
        <f t="shared" si="4"/>
        <v>tonne or cm</v>
      </c>
      <c r="C35" s="47"/>
      <c r="D35" s="51">
        <f t="shared" ref="D35:H35" si="13">D12/C12-1</f>
        <v>-6.0238501996937588E-3</v>
      </c>
      <c r="E35" s="51">
        <f t="shared" si="13"/>
        <v>0.10230979213344815</v>
      </c>
      <c r="F35" s="51">
        <f t="shared" si="13"/>
        <v>-0.11924281173882167</v>
      </c>
      <c r="G35" s="51">
        <f t="shared" si="13"/>
        <v>2.3266332351427721E-2</v>
      </c>
      <c r="H35" s="51">
        <f t="shared" si="13"/>
        <v>-0.26479100017169599</v>
      </c>
    </row>
    <row r="36" spans="1:8" x14ac:dyDescent="0.2">
      <c r="A36" s="45" t="str">
        <f t="shared" ref="A36:B36" si="14">A13</f>
        <v>Liquid bulk - Inward (Mobil at Gellibrand)</v>
      </c>
      <c r="B36" s="46" t="str">
        <f t="shared" si="14"/>
        <v>tonne or cm</v>
      </c>
      <c r="C36" s="47"/>
      <c r="D36" s="51">
        <f t="shared" ref="D36:D37" si="15">D13/C13-1</f>
        <v>7.4953624864464441E-3</v>
      </c>
      <c r="E36" s="51">
        <f t="shared" ref="E36:E37" si="16">E13/D13-1</f>
        <v>-7.887985141152154E-2</v>
      </c>
      <c r="F36" s="51">
        <f t="shared" ref="F36:F37" si="17">F13/E13-1</f>
        <v>0.18937664818516997</v>
      </c>
      <c r="G36" s="51">
        <f t="shared" ref="G36:G37" si="18">G13/F13-1</f>
        <v>-0.159704037110732</v>
      </c>
      <c r="H36" s="51">
        <f t="shared" ref="H36:H37" si="19">H13/G13-1</f>
        <v>0.30822674494677282</v>
      </c>
    </row>
    <row r="37" spans="1:8" x14ac:dyDescent="0.2">
      <c r="A37" s="45" t="str">
        <f t="shared" ref="A37:B37" si="20">A14</f>
        <v>Liquid bulk - Outward (Mobil at Gellibrand)</v>
      </c>
      <c r="B37" s="46" t="str">
        <f t="shared" si="20"/>
        <v>tonne or cm</v>
      </c>
      <c r="C37" s="47"/>
      <c r="D37" s="51">
        <f t="shared" si="15"/>
        <v>0.20510979913893812</v>
      </c>
      <c r="E37" s="51">
        <f t="shared" si="16"/>
        <v>-0.12573588409403702</v>
      </c>
      <c r="F37" s="51">
        <f t="shared" si="17"/>
        <v>5.6869215100581627E-2</v>
      </c>
      <c r="G37" s="51">
        <f t="shared" si="18"/>
        <v>-9.5330669788902145E-2</v>
      </c>
      <c r="H37" s="51">
        <f t="shared" si="19"/>
        <v>0.10537625915389159</v>
      </c>
    </row>
    <row r="38" spans="1:8" x14ac:dyDescent="0.2">
      <c r="A38" s="45" t="str">
        <f t="shared" ref="A38:B45" si="21">A15</f>
        <v>Dry bulk - inwards - overseas and coastal</v>
      </c>
      <c r="B38" s="46" t="str">
        <f t="shared" si="21"/>
        <v>tonne</v>
      </c>
      <c r="C38" s="47"/>
      <c r="D38" s="51">
        <f t="shared" ref="D38:H38" si="22">D15/C15-1</f>
        <v>-3.4565306048962352E-2</v>
      </c>
      <c r="E38" s="51">
        <f t="shared" si="22"/>
        <v>0.13398119233290218</v>
      </c>
      <c r="F38" s="51">
        <f t="shared" si="22"/>
        <v>4.3046190658045713E-2</v>
      </c>
      <c r="G38" s="51">
        <f t="shared" si="22"/>
        <v>-7.8853719280337131E-2</v>
      </c>
      <c r="H38" s="51">
        <f t="shared" si="22"/>
        <v>-0.10743719414066921</v>
      </c>
    </row>
    <row r="39" spans="1:8" x14ac:dyDescent="0.2">
      <c r="A39" s="45" t="str">
        <f t="shared" si="21"/>
        <v>Dry bulk - outwards - overseas and coastal</v>
      </c>
      <c r="B39" s="46" t="str">
        <f t="shared" si="21"/>
        <v>tonne</v>
      </c>
      <c r="C39" s="47"/>
      <c r="D39" s="51">
        <f t="shared" ref="D39:H39" si="23">D16/C16-1</f>
        <v>2.7219046983867332</v>
      </c>
      <c r="E39" s="51">
        <f t="shared" si="23"/>
        <v>-6.3404998183470673E-2</v>
      </c>
      <c r="F39" s="51">
        <f t="shared" si="23"/>
        <v>-0.94847207691260282</v>
      </c>
      <c r="G39" s="51">
        <f t="shared" si="23"/>
        <v>0.3570508866889488</v>
      </c>
      <c r="H39" s="51">
        <f t="shared" si="23"/>
        <v>6.3057157153824592</v>
      </c>
    </row>
    <row r="40" spans="1:8" x14ac:dyDescent="0.2">
      <c r="A40" s="45" t="str">
        <f t="shared" si="21"/>
        <v>Transhipment - Full - outward</v>
      </c>
      <c r="B40" s="46" t="str">
        <f t="shared" si="21"/>
        <v>TEU</v>
      </c>
      <c r="C40" s="47"/>
      <c r="D40" s="51">
        <f t="shared" ref="D40:H40" si="24">D17/C17-1</f>
        <v>5.5361447887914528E-2</v>
      </c>
      <c r="E40" s="51">
        <f t="shared" si="24"/>
        <v>0.18135374343341404</v>
      </c>
      <c r="F40" s="51">
        <f t="shared" si="24"/>
        <v>9.6012045579810801E-2</v>
      </c>
      <c r="G40" s="51">
        <f t="shared" si="24"/>
        <v>-0.16951811662376381</v>
      </c>
      <c r="H40" s="51">
        <f t="shared" si="24"/>
        <v>-5.5194566928840061E-4</v>
      </c>
    </row>
    <row r="41" spans="1:8" x14ac:dyDescent="0.2">
      <c r="A41" s="45" t="str">
        <f t="shared" si="21"/>
        <v>Transhipment - Full - inward</v>
      </c>
      <c r="B41" s="46" t="str">
        <f t="shared" si="21"/>
        <v>TEU</v>
      </c>
      <c r="C41" s="47"/>
      <c r="D41" s="51">
        <f t="shared" ref="D41:H41" si="25">D18/C18-1</f>
        <v>4.8373042547364742E-2</v>
      </c>
      <c r="E41" s="51">
        <f t="shared" si="25"/>
        <v>8.7347434424638326E-2</v>
      </c>
      <c r="F41" s="51">
        <f t="shared" si="25"/>
        <v>0.14964704094315096</v>
      </c>
      <c r="G41" s="51">
        <f t="shared" si="25"/>
        <v>-0.25188907473743483</v>
      </c>
      <c r="H41" s="51">
        <f t="shared" si="25"/>
        <v>-9.1044498572145915E-4</v>
      </c>
    </row>
    <row r="42" spans="1:8" x14ac:dyDescent="0.2">
      <c r="A42" s="45" t="str">
        <f t="shared" si="21"/>
        <v>Transhipment - Full - Bass Strait</v>
      </c>
      <c r="B42" s="46" t="str">
        <f t="shared" si="21"/>
        <v>TEU</v>
      </c>
      <c r="C42" s="47"/>
      <c r="D42" s="51">
        <f t="shared" ref="D42:H42" si="26">D19/C19-1</f>
        <v>2.9465471447543079E-2</v>
      </c>
      <c r="E42" s="51">
        <f t="shared" si="26"/>
        <v>0.15065960895866004</v>
      </c>
      <c r="F42" s="51">
        <f t="shared" si="26"/>
        <v>-0.11228562797097075</v>
      </c>
      <c r="G42" s="51">
        <f t="shared" si="26"/>
        <v>-0.11018472014857472</v>
      </c>
      <c r="H42" s="51">
        <f t="shared" si="26"/>
        <v>3.0022226188900936E-2</v>
      </c>
    </row>
    <row r="43" spans="1:8" x14ac:dyDescent="0.2">
      <c r="A43" s="45" t="str">
        <f t="shared" si="21"/>
        <v>Transhipment - Containerised Empty (excl Bass Strait)</v>
      </c>
      <c r="B43" s="46" t="str">
        <f t="shared" si="21"/>
        <v>TEU</v>
      </c>
      <c r="C43" s="47"/>
      <c r="D43" s="51">
        <f t="shared" ref="D43:H43" si="27">D20/C20-1</f>
        <v>6.5509458297506429E-2</v>
      </c>
      <c r="E43" s="51">
        <f t="shared" si="27"/>
        <v>-0.18096535027992133</v>
      </c>
      <c r="F43" s="51">
        <f t="shared" si="27"/>
        <v>0.25318664942422564</v>
      </c>
      <c r="G43" s="51">
        <f t="shared" si="27"/>
        <v>0.10333899445605699</v>
      </c>
      <c r="H43" s="51">
        <f t="shared" si="27"/>
        <v>0</v>
      </c>
    </row>
    <row r="44" spans="1:8" x14ac:dyDescent="0.2">
      <c r="A44" s="45" t="str">
        <f t="shared" si="21"/>
        <v>Transhipment - Motor vehicles and break bulk</v>
      </c>
      <c r="B44" s="46" t="str">
        <f t="shared" si="21"/>
        <v>tonne or cm</v>
      </c>
      <c r="C44" s="47"/>
      <c r="D44" s="51">
        <f t="shared" ref="D44:H44" si="28">D21/C21-1</f>
        <v>0.59152409705915243</v>
      </c>
      <c r="E44" s="51">
        <f t="shared" si="28"/>
        <v>5.3530921098854796</v>
      </c>
      <c r="F44" s="51">
        <f t="shared" si="28"/>
        <v>0.35536567018595555</v>
      </c>
      <c r="G44" s="51">
        <f t="shared" si="28"/>
        <v>0</v>
      </c>
      <c r="H44" s="51">
        <f t="shared" si="28"/>
        <v>0</v>
      </c>
    </row>
    <row r="45" spans="1:8" x14ac:dyDescent="0.2">
      <c r="A45" s="45" t="str">
        <f t="shared" si="21"/>
        <v>Transhipment - Non-containerised / general</v>
      </c>
      <c r="B45" s="46" t="str">
        <f t="shared" si="21"/>
        <v>tonne</v>
      </c>
      <c r="C45" s="47"/>
      <c r="D45" s="51">
        <f t="shared" ref="D45:H45" si="29">D22/C22-1</f>
        <v>-0.66519337706966575</v>
      </c>
      <c r="E45" s="51">
        <f t="shared" si="29"/>
        <v>6.8271892926857474</v>
      </c>
      <c r="F45" s="51">
        <f t="shared" si="29"/>
        <v>0.41262419944199991</v>
      </c>
      <c r="G45" s="51">
        <f t="shared" si="29"/>
        <v>0</v>
      </c>
      <c r="H45" s="51">
        <f t="shared" si="29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zoomScale="85" zoomScaleNormal="85" workbookViewId="0">
      <pane xSplit="1" ySplit="2" topLeftCell="B3" activePane="bottomRight" state="frozen"/>
      <selection pane="topRight"/>
      <selection pane="bottomLeft"/>
      <selection pane="bottomRight" activeCell="P18" sqref="P18"/>
    </sheetView>
  </sheetViews>
  <sheetFormatPr defaultRowHeight="15" x14ac:dyDescent="0.25"/>
  <cols>
    <col min="16" max="16" width="9.140625" style="4"/>
    <col min="20" max="31" width="9.7109375" customWidth="1"/>
  </cols>
  <sheetData>
    <row r="1" spans="1:31" x14ac:dyDescent="0.25">
      <c r="B1" s="113" t="s">
        <v>92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T1" s="113" t="s">
        <v>93</v>
      </c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</row>
    <row r="2" spans="1:31" ht="48.75" customHeight="1" x14ac:dyDescent="0.25">
      <c r="B2" s="20" t="s">
        <v>27</v>
      </c>
      <c r="C2" s="20" t="s">
        <v>36</v>
      </c>
      <c r="D2" s="20" t="s">
        <v>35</v>
      </c>
      <c r="E2" s="20" t="s">
        <v>26</v>
      </c>
      <c r="F2" s="20" t="s">
        <v>34</v>
      </c>
      <c r="G2" s="20" t="s">
        <v>33</v>
      </c>
      <c r="H2" s="20" t="s">
        <v>32</v>
      </c>
      <c r="I2" s="20" t="s">
        <v>31</v>
      </c>
      <c r="J2" s="20" t="s">
        <v>25</v>
      </c>
      <c r="K2" s="20" t="s">
        <v>24</v>
      </c>
      <c r="L2" s="20" t="s">
        <v>30</v>
      </c>
      <c r="M2" s="20" t="s">
        <v>29</v>
      </c>
      <c r="N2" s="18" t="s">
        <v>38</v>
      </c>
      <c r="O2" s="18" t="s">
        <v>37</v>
      </c>
      <c r="P2" s="19" t="s">
        <v>28</v>
      </c>
      <c r="T2" s="20" t="s">
        <v>61</v>
      </c>
      <c r="U2" s="20" t="s">
        <v>62</v>
      </c>
      <c r="V2" s="20" t="s">
        <v>63</v>
      </c>
      <c r="W2" s="20" t="s">
        <v>26</v>
      </c>
      <c r="X2" s="20" t="s">
        <v>34</v>
      </c>
      <c r="Y2" s="20" t="s">
        <v>33</v>
      </c>
      <c r="Z2" s="20" t="s">
        <v>32</v>
      </c>
      <c r="AA2" s="20" t="s">
        <v>31</v>
      </c>
      <c r="AB2" s="20" t="s">
        <v>25</v>
      </c>
      <c r="AC2" s="20" t="s">
        <v>24</v>
      </c>
      <c r="AD2" s="20" t="s">
        <v>30</v>
      </c>
      <c r="AE2" s="20" t="s">
        <v>29</v>
      </c>
    </row>
    <row r="3" spans="1:3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2"/>
      <c r="O3" s="18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2"/>
      <c r="O4" s="11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x14ac:dyDescent="0.25">
      <c r="A5" s="7">
        <v>38869</v>
      </c>
      <c r="B5" s="10">
        <v>219429.67500000002</v>
      </c>
      <c r="C5" s="10">
        <v>39721.495000000003</v>
      </c>
      <c r="D5" s="10">
        <v>13223.269000000002</v>
      </c>
      <c r="E5" s="10">
        <v>95837.308000000005</v>
      </c>
      <c r="F5" s="10">
        <v>14032.142</v>
      </c>
      <c r="G5" s="10">
        <v>1169.8669999999997</v>
      </c>
      <c r="H5" s="10">
        <v>8977.6229999999996</v>
      </c>
      <c r="I5" s="10">
        <v>857.79700000000003</v>
      </c>
      <c r="J5" s="10">
        <v>72886.596999999994</v>
      </c>
      <c r="K5" s="10">
        <v>5106.3819999999996</v>
      </c>
      <c r="L5" s="10">
        <v>14600.283000000001</v>
      </c>
      <c r="M5" s="10">
        <v>25536.62</v>
      </c>
      <c r="N5" s="12">
        <f>SUM(B5:M5)</f>
        <v>511379.05800000008</v>
      </c>
      <c r="O5" s="11"/>
      <c r="P5" s="6">
        <f t="shared" ref="P5:P15" si="0">N5</f>
        <v>511379.05800000008</v>
      </c>
      <c r="R5" s="9"/>
      <c r="T5" s="10">
        <v>100</v>
      </c>
      <c r="U5" s="10">
        <v>100</v>
      </c>
      <c r="V5" s="10">
        <v>100</v>
      </c>
      <c r="W5" s="10">
        <v>100</v>
      </c>
      <c r="X5" s="10">
        <v>100</v>
      </c>
      <c r="Y5" s="10">
        <v>100</v>
      </c>
      <c r="Z5" s="10">
        <v>100</v>
      </c>
      <c r="AA5" s="10">
        <v>100</v>
      </c>
      <c r="AB5" s="10">
        <v>100</v>
      </c>
      <c r="AC5" s="10">
        <v>100</v>
      </c>
      <c r="AD5" s="10">
        <v>100</v>
      </c>
      <c r="AE5" s="10">
        <v>100</v>
      </c>
    </row>
    <row r="6" spans="1:31" x14ac:dyDescent="0.25">
      <c r="A6" s="7">
        <v>39234</v>
      </c>
      <c r="B6" s="10">
        <v>217902.84</v>
      </c>
      <c r="C6" s="10">
        <v>42531.966</v>
      </c>
      <c r="D6" s="10">
        <v>13422.763999999997</v>
      </c>
      <c r="E6" s="10">
        <v>105725.69700000001</v>
      </c>
      <c r="F6" s="10">
        <v>13965.583000000002</v>
      </c>
      <c r="G6" s="10">
        <v>1293.444</v>
      </c>
      <c r="H6" s="10">
        <v>9647.3330000000005</v>
      </c>
      <c r="I6" s="10">
        <v>985.49199999999985</v>
      </c>
      <c r="J6" s="10">
        <v>78088.290999999997</v>
      </c>
      <c r="K6" s="10">
        <v>8494.3080000000009</v>
      </c>
      <c r="L6" s="10">
        <v>13236.210000000001</v>
      </c>
      <c r="M6" s="10">
        <v>23768.247000000003</v>
      </c>
      <c r="N6" s="12">
        <f t="shared" ref="N6:N19" si="1">SUM(B6:M6)</f>
        <v>529062.17500000005</v>
      </c>
      <c r="O6" s="11">
        <f t="shared" ref="O6:O19" si="2">N6/N5-1</f>
        <v>3.4579274851728403E-2</v>
      </c>
      <c r="P6" s="6">
        <f t="shared" si="0"/>
        <v>529062.17500000005</v>
      </c>
      <c r="R6" s="9"/>
      <c r="T6" s="10">
        <v>71.717819138196518</v>
      </c>
      <c r="U6" s="10">
        <v>108.42391304347827</v>
      </c>
      <c r="V6" s="10">
        <v>98.986993669260414</v>
      </c>
      <c r="W6" s="10">
        <v>99.998095538433645</v>
      </c>
      <c r="X6" s="10">
        <v>106.32892840567672</v>
      </c>
      <c r="Y6" s="10">
        <v>106.32892840567673</v>
      </c>
      <c r="Z6" s="10">
        <v>103.18830953171705</v>
      </c>
      <c r="AA6" s="10">
        <v>106.32892840567673</v>
      </c>
      <c r="AB6" s="10">
        <v>106.32892840567673</v>
      </c>
      <c r="AC6" s="10">
        <v>106.32892840567673</v>
      </c>
      <c r="AD6" s="10">
        <v>105.84013204489675</v>
      </c>
      <c r="AE6" s="10">
        <v>106.32892840567669</v>
      </c>
    </row>
    <row r="7" spans="1:31" x14ac:dyDescent="0.25">
      <c r="A7" s="7">
        <v>39600</v>
      </c>
      <c r="B7" s="10">
        <v>209418.66799999998</v>
      </c>
      <c r="C7" s="10">
        <v>37305.161000000007</v>
      </c>
      <c r="D7" s="10">
        <v>16224.483</v>
      </c>
      <c r="E7" s="10">
        <v>112513.825</v>
      </c>
      <c r="F7" s="10">
        <v>13516.010000000002</v>
      </c>
      <c r="G7" s="10">
        <v>1217.347</v>
      </c>
      <c r="H7" s="10">
        <v>10662.901999999998</v>
      </c>
      <c r="I7" s="10">
        <v>948.72900000000004</v>
      </c>
      <c r="J7" s="10">
        <v>87786.44</v>
      </c>
      <c r="K7" s="10">
        <v>14307.301000000001</v>
      </c>
      <c r="L7" s="10">
        <v>13502.253000000001</v>
      </c>
      <c r="M7" s="10">
        <v>24316.798999999999</v>
      </c>
      <c r="N7" s="12">
        <f t="shared" si="1"/>
        <v>541719.91800000006</v>
      </c>
      <c r="O7" s="11">
        <f t="shared" si="2"/>
        <v>2.392486856577869E-2</v>
      </c>
      <c r="P7" s="6">
        <f t="shared" si="0"/>
        <v>541719.91800000006</v>
      </c>
      <c r="R7" s="9"/>
      <c r="T7" s="10">
        <v>89.549470381776345</v>
      </c>
      <c r="U7" s="10">
        <v>96.331521739130437</v>
      </c>
      <c r="V7" s="10">
        <v>103.76410765547388</v>
      </c>
      <c r="W7" s="10">
        <v>106.10289121243864</v>
      </c>
      <c r="X7" s="10">
        <v>112.47954273431199</v>
      </c>
      <c r="Y7" s="10">
        <v>112.47954273431199</v>
      </c>
      <c r="Z7" s="10">
        <v>110.83803830399648</v>
      </c>
      <c r="AA7" s="10">
        <v>112.47954273431201</v>
      </c>
      <c r="AB7" s="10">
        <v>112.47954273431201</v>
      </c>
      <c r="AC7" s="10">
        <v>112.47954273431201</v>
      </c>
      <c r="AD7" s="10">
        <v>111.51572158138846</v>
      </c>
      <c r="AE7" s="10">
        <v>112.47954273431199</v>
      </c>
    </row>
    <row r="8" spans="1:31" x14ac:dyDescent="0.25">
      <c r="A8" s="7">
        <v>39965</v>
      </c>
      <c r="B8" s="10">
        <v>205188.603</v>
      </c>
      <c r="C8" s="10">
        <v>37977.167999999998</v>
      </c>
      <c r="D8" s="10">
        <v>17264.594000000001</v>
      </c>
      <c r="E8" s="10">
        <v>101926.27900000001</v>
      </c>
      <c r="F8" s="10">
        <v>12849.745999999997</v>
      </c>
      <c r="G8" s="10">
        <v>950.47799999999995</v>
      </c>
      <c r="H8" s="10">
        <v>9595.3140000000003</v>
      </c>
      <c r="I8" s="10">
        <v>1492.575</v>
      </c>
      <c r="J8" s="10">
        <v>84090.073999999993</v>
      </c>
      <c r="K8" s="10">
        <v>20981.846000000001</v>
      </c>
      <c r="L8" s="10">
        <v>10376.461000000001</v>
      </c>
      <c r="M8" s="10">
        <v>21152.546999999999</v>
      </c>
      <c r="N8" s="12">
        <f t="shared" si="1"/>
        <v>523845.68500000006</v>
      </c>
      <c r="O8" s="11">
        <f t="shared" si="2"/>
        <v>-3.2995340223026526E-2</v>
      </c>
      <c r="P8" s="6">
        <f t="shared" si="0"/>
        <v>523845.68500000006</v>
      </c>
      <c r="R8" s="9"/>
      <c r="T8" s="10">
        <v>85.163705243884934</v>
      </c>
      <c r="U8" s="10">
        <v>101.90217391304347</v>
      </c>
      <c r="V8" s="10">
        <v>101.57483580577207</v>
      </c>
      <c r="W8" s="10">
        <v>103.92123987573024</v>
      </c>
      <c r="X8" s="10">
        <v>102.23747526808177</v>
      </c>
      <c r="Y8" s="10">
        <v>102.23747526808175</v>
      </c>
      <c r="Z8" s="10">
        <v>106.90800398538694</v>
      </c>
      <c r="AA8" s="10">
        <v>102.23747526808178</v>
      </c>
      <c r="AB8" s="10">
        <v>102.23747526808178</v>
      </c>
      <c r="AC8" s="10">
        <v>102.23747526808177</v>
      </c>
      <c r="AD8" s="10">
        <v>102.06467037943861</v>
      </c>
      <c r="AE8" s="10">
        <v>102.23747526808175</v>
      </c>
    </row>
    <row r="9" spans="1:31" x14ac:dyDescent="0.25">
      <c r="A9" s="7">
        <v>40330</v>
      </c>
      <c r="B9" s="10">
        <v>220276.87999999998</v>
      </c>
      <c r="C9" s="10">
        <v>37401.952000000005</v>
      </c>
      <c r="D9" s="10">
        <v>16558.539000000001</v>
      </c>
      <c r="E9" s="10">
        <v>104114.94200000001</v>
      </c>
      <c r="F9" s="10">
        <v>12340.157999999998</v>
      </c>
      <c r="G9" s="10">
        <v>981.61199999999997</v>
      </c>
      <c r="H9" s="10">
        <v>8244.9969999999994</v>
      </c>
      <c r="I9" s="10">
        <v>1566.482</v>
      </c>
      <c r="J9" s="10">
        <v>99367.136999999988</v>
      </c>
      <c r="K9" s="10">
        <v>45625.219000000005</v>
      </c>
      <c r="L9" s="10">
        <v>9326.2820000000011</v>
      </c>
      <c r="M9" s="10">
        <v>20287.091</v>
      </c>
      <c r="N9" s="12">
        <f t="shared" si="1"/>
        <v>576091.29099999997</v>
      </c>
      <c r="O9" s="11">
        <f t="shared" si="2"/>
        <v>9.9734726267717289E-2</v>
      </c>
      <c r="P9" s="6">
        <f t="shared" si="0"/>
        <v>576091.29099999997</v>
      </c>
      <c r="R9" s="9"/>
      <c r="T9" s="10">
        <v>91.526864067889932</v>
      </c>
      <c r="U9" s="10">
        <v>105.57065217391303</v>
      </c>
      <c r="V9" s="10">
        <v>103.321901261665</v>
      </c>
      <c r="W9" s="10">
        <v>102.7430128582095</v>
      </c>
      <c r="X9" s="10">
        <v>104.19893011553775</v>
      </c>
      <c r="Y9" s="10">
        <v>104.19893011553773</v>
      </c>
      <c r="Z9" s="10">
        <v>103.12188641647296</v>
      </c>
      <c r="AA9" s="10">
        <v>104.19893011553776</v>
      </c>
      <c r="AB9" s="10">
        <v>104.19893011553776</v>
      </c>
      <c r="AC9" s="10">
        <v>104.19893011553775</v>
      </c>
      <c r="AD9" s="10">
        <v>103.87463797189409</v>
      </c>
      <c r="AE9" s="10">
        <v>104.19893011553773</v>
      </c>
    </row>
    <row r="10" spans="1:31" x14ac:dyDescent="0.25">
      <c r="A10" s="7">
        <v>40695</v>
      </c>
      <c r="B10" s="10">
        <v>243750.35199999998</v>
      </c>
      <c r="C10" s="10">
        <v>36228.712</v>
      </c>
      <c r="D10" s="10">
        <v>17988.566000000003</v>
      </c>
      <c r="E10" s="10">
        <v>110988.44700000001</v>
      </c>
      <c r="F10" s="10">
        <v>12070.589</v>
      </c>
      <c r="G10" s="10">
        <v>1300.1830000000002</v>
      </c>
      <c r="H10" s="10">
        <v>8956.8240000000005</v>
      </c>
      <c r="I10" s="10">
        <v>1408.941</v>
      </c>
      <c r="J10" s="10">
        <v>109744.399</v>
      </c>
      <c r="K10" s="10">
        <v>36256.954999999994</v>
      </c>
      <c r="L10" s="10">
        <v>9368.619999999999</v>
      </c>
      <c r="M10" s="10">
        <v>21469.67</v>
      </c>
      <c r="N10" s="12">
        <f t="shared" si="1"/>
        <v>609532.25800000003</v>
      </c>
      <c r="O10" s="11">
        <f t="shared" si="2"/>
        <v>5.8048034265458126E-2</v>
      </c>
      <c r="P10" s="6">
        <f t="shared" si="0"/>
        <v>609532.25800000003</v>
      </c>
      <c r="R10" s="9"/>
      <c r="T10" s="10">
        <v>93.818046010019387</v>
      </c>
      <c r="U10" s="10">
        <v>101.63043478260869</v>
      </c>
      <c r="V10" s="10">
        <v>102.7528054516622</v>
      </c>
      <c r="W10" s="10">
        <v>108.31735968912341</v>
      </c>
      <c r="X10" s="10">
        <v>105.81597010185885</v>
      </c>
      <c r="Y10" s="10">
        <v>105.81597010185884</v>
      </c>
      <c r="Z10" s="10">
        <v>114.22561718144584</v>
      </c>
      <c r="AA10" s="10">
        <v>105.81597010185887</v>
      </c>
      <c r="AB10" s="10">
        <v>105.81597010185887</v>
      </c>
      <c r="AC10" s="10">
        <v>105.81597010185885</v>
      </c>
      <c r="AD10" s="10">
        <v>105.36679058236173</v>
      </c>
      <c r="AE10" s="10">
        <v>105.81597010185882</v>
      </c>
    </row>
    <row r="11" spans="1:31" x14ac:dyDescent="0.25">
      <c r="A11" s="7">
        <v>41061</v>
      </c>
      <c r="B11" s="10">
        <v>294477.48700000002</v>
      </c>
      <c r="C11" s="10">
        <v>35478.199000000001</v>
      </c>
      <c r="D11" s="10">
        <v>20522.897000000001</v>
      </c>
      <c r="E11" s="10">
        <v>95652.698999999993</v>
      </c>
      <c r="F11" s="10">
        <v>15192.814999999999</v>
      </c>
      <c r="G11" s="10">
        <v>1729.5000000000002</v>
      </c>
      <c r="H11" s="10">
        <v>10362.088999999998</v>
      </c>
      <c r="I11" s="10">
        <v>1499.9610000000002</v>
      </c>
      <c r="J11" s="10">
        <v>117904.148</v>
      </c>
      <c r="K11" s="10">
        <v>23004.098999999998</v>
      </c>
      <c r="L11" s="10">
        <v>11003.329999999998</v>
      </c>
      <c r="M11" s="10">
        <v>21347.958999999995</v>
      </c>
      <c r="N11" s="12">
        <f t="shared" si="1"/>
        <v>648175.18300000008</v>
      </c>
      <c r="O11" s="11">
        <f t="shared" si="2"/>
        <v>6.3397670086888347E-2</v>
      </c>
      <c r="P11" s="6">
        <f t="shared" si="0"/>
        <v>648175.18300000008</v>
      </c>
      <c r="R11" s="9"/>
      <c r="T11" s="10">
        <v>101.02251186596101</v>
      </c>
      <c r="U11" s="10">
        <v>100.13586956521739</v>
      </c>
      <c r="V11" s="10">
        <v>110.84073655035971</v>
      </c>
      <c r="W11" s="10">
        <v>111.45698143844464</v>
      </c>
      <c r="X11" s="10">
        <v>107.43301008817997</v>
      </c>
      <c r="Y11" s="10">
        <v>107.43301008817996</v>
      </c>
      <c r="Z11" s="10">
        <v>123.31451345068086</v>
      </c>
      <c r="AA11" s="10">
        <v>107.43301008817998</v>
      </c>
      <c r="AB11" s="10">
        <v>107.43301008817998</v>
      </c>
      <c r="AC11" s="10">
        <v>107.43301008817997</v>
      </c>
      <c r="AD11" s="10">
        <v>106.85894319282937</v>
      </c>
      <c r="AE11" s="10">
        <v>107.43301008817997</v>
      </c>
    </row>
    <row r="12" spans="1:31" x14ac:dyDescent="0.25">
      <c r="A12" s="7">
        <v>41426</v>
      </c>
      <c r="B12" s="10">
        <v>296506.39099999995</v>
      </c>
      <c r="C12" s="10">
        <v>31924.225999999999</v>
      </c>
      <c r="D12" s="10">
        <v>17162.078000000001</v>
      </c>
      <c r="E12" s="10">
        <v>87463.823000000004</v>
      </c>
      <c r="F12" s="10">
        <v>14356.853000000001</v>
      </c>
      <c r="G12" s="10">
        <v>2000.7169999999999</v>
      </c>
      <c r="H12" s="10">
        <v>10610.252</v>
      </c>
      <c r="I12" s="10">
        <v>1628.3610000000001</v>
      </c>
      <c r="J12" s="10">
        <v>123239.232</v>
      </c>
      <c r="K12" s="10">
        <v>29257.601999999999</v>
      </c>
      <c r="L12" s="10">
        <v>10793.754000000001</v>
      </c>
      <c r="M12" s="10">
        <v>21581.511999999999</v>
      </c>
      <c r="N12" s="12">
        <f t="shared" si="1"/>
        <v>646524.80099999974</v>
      </c>
      <c r="O12" s="11">
        <f t="shared" si="2"/>
        <v>-2.5461974529196185E-3</v>
      </c>
      <c r="P12" s="6">
        <f t="shared" si="0"/>
        <v>646524.80099999974</v>
      </c>
      <c r="R12" s="9"/>
      <c r="T12" s="10">
        <v>105.86753838266253</v>
      </c>
      <c r="U12" s="10">
        <v>97.418478260869563</v>
      </c>
      <c r="V12" s="10">
        <v>115.41536924195047</v>
      </c>
      <c r="W12" s="10">
        <v>107.76656119874555</v>
      </c>
      <c r="X12" s="10">
        <v>104.27220987322603</v>
      </c>
      <c r="Y12" s="10">
        <v>104.27220987322599</v>
      </c>
      <c r="Z12" s="10">
        <v>120.54688364884316</v>
      </c>
      <c r="AA12" s="10">
        <v>104.27220987322603</v>
      </c>
      <c r="AB12" s="10">
        <v>104.27220987322602</v>
      </c>
      <c r="AC12" s="10">
        <v>104.27220987322602</v>
      </c>
      <c r="AD12" s="10">
        <v>103.94225818082768</v>
      </c>
      <c r="AE12" s="10">
        <v>104.27220987322602</v>
      </c>
    </row>
    <row r="13" spans="1:31" x14ac:dyDescent="0.25">
      <c r="A13" s="7">
        <v>41791</v>
      </c>
      <c r="B13" s="10">
        <v>313910.00400000002</v>
      </c>
      <c r="C13" s="10">
        <v>29596.404000000002</v>
      </c>
      <c r="D13" s="10">
        <v>14474.477999999999</v>
      </c>
      <c r="E13" s="10">
        <v>100153.909</v>
      </c>
      <c r="F13" s="10">
        <v>12688.800999999999</v>
      </c>
      <c r="G13" s="10">
        <v>1956.3149999999998</v>
      </c>
      <c r="H13" s="10">
        <v>10822.565999999999</v>
      </c>
      <c r="I13" s="10">
        <v>2231.6830000000004</v>
      </c>
      <c r="J13" s="10">
        <v>124575.587</v>
      </c>
      <c r="K13" s="10">
        <v>38726.033999999992</v>
      </c>
      <c r="L13" s="10">
        <v>10826.655000000001</v>
      </c>
      <c r="M13" s="10">
        <v>22768.943000000003</v>
      </c>
      <c r="N13" s="12">
        <f t="shared" si="1"/>
        <v>682731.37899999996</v>
      </c>
      <c r="O13" s="11">
        <f t="shared" si="2"/>
        <v>5.6001839285976907E-2</v>
      </c>
      <c r="P13" s="6">
        <f t="shared" si="0"/>
        <v>682731.37899999996</v>
      </c>
      <c r="R13" s="9"/>
      <c r="T13" s="10">
        <v>107.77978821381502</v>
      </c>
      <c r="U13" s="10">
        <v>97.378124999999983</v>
      </c>
      <c r="V13" s="10">
        <v>121.20934138317102</v>
      </c>
      <c r="W13" s="10">
        <v>107.99554565754454</v>
      </c>
      <c r="X13" s="10">
        <v>102.93851828329954</v>
      </c>
      <c r="Y13" s="10">
        <v>102.93851828329952</v>
      </c>
      <c r="Z13" s="10">
        <v>118.22207461529949</v>
      </c>
      <c r="AA13" s="10">
        <v>102.93851828329956</v>
      </c>
      <c r="AB13" s="10">
        <v>102.93851828329954</v>
      </c>
      <c r="AC13" s="10">
        <v>102.93851828329954</v>
      </c>
      <c r="AD13" s="10">
        <v>102.71157037823654</v>
      </c>
      <c r="AE13" s="10">
        <v>102.93851828329956</v>
      </c>
    </row>
    <row r="14" spans="1:31" x14ac:dyDescent="0.25">
      <c r="A14" s="7">
        <v>42156</v>
      </c>
      <c r="B14" s="10">
        <v>298679.17400000006</v>
      </c>
      <c r="C14" s="10">
        <v>29614.819000000003</v>
      </c>
      <c r="D14" s="10">
        <v>11741.340999999999</v>
      </c>
      <c r="E14" s="10">
        <v>113898.132</v>
      </c>
      <c r="F14" s="10">
        <v>11030.648999999999</v>
      </c>
      <c r="G14" s="10">
        <v>3377.25</v>
      </c>
      <c r="H14" s="10">
        <v>10090.005999999999</v>
      </c>
      <c r="I14" s="10">
        <v>2986.471</v>
      </c>
      <c r="J14" s="10">
        <v>97330.262999999977</v>
      </c>
      <c r="K14" s="10">
        <v>44699.524000000005</v>
      </c>
      <c r="L14" s="10">
        <v>11287.529</v>
      </c>
      <c r="M14" s="10">
        <v>23857.972000000005</v>
      </c>
      <c r="N14" s="12">
        <f t="shared" si="1"/>
        <v>658593.12999999989</v>
      </c>
      <c r="O14" s="11">
        <f t="shared" si="2"/>
        <v>-3.5355411721891938E-2</v>
      </c>
      <c r="P14" s="6">
        <f t="shared" si="0"/>
        <v>658593.12999999989</v>
      </c>
      <c r="R14" s="9"/>
      <c r="T14" s="10">
        <v>101.08213755933123</v>
      </c>
      <c r="U14" s="10">
        <v>101.20869565217389</v>
      </c>
      <c r="V14" s="10">
        <v>129.79806915910453</v>
      </c>
      <c r="W14" s="10">
        <v>104.23773420666804</v>
      </c>
      <c r="X14" s="10">
        <v>104.76318424973741</v>
      </c>
      <c r="Y14" s="10">
        <v>104.76318424973738</v>
      </c>
      <c r="Z14" s="10">
        <v>118.69810694121558</v>
      </c>
      <c r="AA14" s="10">
        <v>104.76318424973742</v>
      </c>
      <c r="AB14" s="10">
        <v>104.76318424973741</v>
      </c>
      <c r="AC14" s="10">
        <v>104.76318424973741</v>
      </c>
      <c r="AD14" s="10">
        <v>104.39531358068265</v>
      </c>
      <c r="AE14" s="10">
        <v>104.76318424973742</v>
      </c>
    </row>
    <row r="15" spans="1:31" x14ac:dyDescent="0.25">
      <c r="A15" s="7">
        <v>42522</v>
      </c>
      <c r="B15" s="10">
        <v>287493.658</v>
      </c>
      <c r="C15" s="10">
        <v>30425.135000000002</v>
      </c>
      <c r="D15" s="10">
        <v>9853.8799999999992</v>
      </c>
      <c r="E15" s="10">
        <v>101309.193</v>
      </c>
      <c r="F15" s="10">
        <v>12460.67</v>
      </c>
      <c r="G15" s="10">
        <v>2362.9289999999996</v>
      </c>
      <c r="H15" s="10">
        <v>11299.609</v>
      </c>
      <c r="I15" s="10">
        <v>3775.924</v>
      </c>
      <c r="J15" s="10">
        <v>92998.146999999997</v>
      </c>
      <c r="K15" s="10">
        <v>55915.743000000002</v>
      </c>
      <c r="L15" s="10">
        <v>11149.029999999999</v>
      </c>
      <c r="M15" s="10">
        <v>27181.016999999993</v>
      </c>
      <c r="N15" s="12">
        <f t="shared" si="1"/>
        <v>646224.93500000006</v>
      </c>
      <c r="O15" s="11">
        <f t="shared" si="2"/>
        <v>-1.8779720644823361E-2</v>
      </c>
      <c r="P15" s="6">
        <f t="shared" si="0"/>
        <v>646224.93500000006</v>
      </c>
      <c r="R15" s="9"/>
      <c r="T15" s="10">
        <v>97.632299597584534</v>
      </c>
      <c r="U15" s="10">
        <v>98.788315217391272</v>
      </c>
      <c r="V15" s="10">
        <v>140.07641786544724</v>
      </c>
      <c r="W15" s="10">
        <v>110.58608692171583</v>
      </c>
      <c r="X15" s="10">
        <v>108.03878941840297</v>
      </c>
      <c r="Y15" s="10">
        <v>108.03878941840294</v>
      </c>
      <c r="Z15" s="10">
        <v>116.12974648511019</v>
      </c>
      <c r="AA15" s="10">
        <v>108.03878941840298</v>
      </c>
      <c r="AB15" s="10">
        <v>108.03878941840297</v>
      </c>
      <c r="AC15" s="10">
        <v>108.03878941840297</v>
      </c>
      <c r="AD15" s="10">
        <v>107.41793692001362</v>
      </c>
      <c r="AE15" s="10">
        <v>108.03878941840298</v>
      </c>
    </row>
    <row r="16" spans="1:31" x14ac:dyDescent="0.25">
      <c r="A16" s="7">
        <v>42887</v>
      </c>
      <c r="B16" s="10">
        <v>325679.09300000005</v>
      </c>
      <c r="C16" s="10">
        <v>29669.116999999998</v>
      </c>
      <c r="D16" s="10">
        <v>9420.8320000000003</v>
      </c>
      <c r="E16" s="10">
        <v>113580.93299999999</v>
      </c>
      <c r="F16" s="10">
        <v>13367.331000000002</v>
      </c>
      <c r="G16" s="10">
        <v>1848.2560000000001</v>
      </c>
      <c r="H16" s="10">
        <v>10627.037999999999</v>
      </c>
      <c r="I16" s="10">
        <v>3836.7420000000006</v>
      </c>
      <c r="J16" s="10">
        <v>86471.351999999999</v>
      </c>
      <c r="K16" s="10">
        <v>68686.986999999994</v>
      </c>
      <c r="L16" s="10">
        <v>10373.823</v>
      </c>
      <c r="M16" s="10">
        <v>27475.627999999997</v>
      </c>
      <c r="N16" s="12">
        <f t="shared" si="1"/>
        <v>701037.1320000001</v>
      </c>
      <c r="O16" s="11">
        <f t="shared" si="2"/>
        <v>8.4819068456403635E-2</v>
      </c>
      <c r="P16" s="14">
        <v>708538</v>
      </c>
      <c r="R16" s="9"/>
      <c r="T16" s="10">
        <v>126.41672754653435</v>
      </c>
      <c r="U16" s="10">
        <v>106.80760869565215</v>
      </c>
      <c r="V16" s="10">
        <v>150.21656230290128</v>
      </c>
      <c r="W16" s="10">
        <v>105.83160762158381</v>
      </c>
      <c r="X16" s="10">
        <v>107.74078507047068</v>
      </c>
      <c r="Y16" s="10">
        <v>107.74078507047065</v>
      </c>
      <c r="Z16" s="10">
        <v>109.97453780582313</v>
      </c>
      <c r="AA16" s="10">
        <v>107.74078507047069</v>
      </c>
      <c r="AB16" s="10">
        <v>107.74078507047069</v>
      </c>
      <c r="AC16" s="10">
        <v>107.74078507047068</v>
      </c>
      <c r="AD16" s="10">
        <v>107.1429480703504</v>
      </c>
      <c r="AE16" s="10">
        <v>107.74078507047068</v>
      </c>
    </row>
    <row r="17" spans="1:32" s="13" customFormat="1" ht="15.75" thickBot="1" x14ac:dyDescent="0.3">
      <c r="A17" s="7">
        <v>43252</v>
      </c>
      <c r="B17" s="10">
        <v>341725.87600000011</v>
      </c>
      <c r="C17" s="10">
        <v>33074.240000000005</v>
      </c>
      <c r="D17" s="10">
        <v>11742.483000000002</v>
      </c>
      <c r="E17" s="10">
        <v>116163.36900000001</v>
      </c>
      <c r="F17" s="10">
        <v>14710.642</v>
      </c>
      <c r="G17" s="10">
        <v>1766.6730000000002</v>
      </c>
      <c r="H17" s="10">
        <v>11550.025000000001</v>
      </c>
      <c r="I17" s="10">
        <v>4312.679000000001</v>
      </c>
      <c r="J17" s="10">
        <v>93860.784000000014</v>
      </c>
      <c r="K17" s="10">
        <v>81627.934999999998</v>
      </c>
      <c r="L17" s="10">
        <v>9969.1759999999977</v>
      </c>
      <c r="M17" s="10">
        <v>29472.785000000003</v>
      </c>
      <c r="N17" s="12">
        <f t="shared" si="1"/>
        <v>749976.66700000002</v>
      </c>
      <c r="O17" s="11">
        <f t="shared" si="2"/>
        <v>6.9810189455128402E-2</v>
      </c>
      <c r="P17" s="14">
        <v>759946</v>
      </c>
      <c r="Q17"/>
      <c r="R17" s="9"/>
      <c r="S17"/>
      <c r="T17" s="10">
        <v>111.76349306971781</v>
      </c>
      <c r="U17" s="10">
        <v>116.84782608695649</v>
      </c>
      <c r="V17" s="10">
        <v>157.8964837677328</v>
      </c>
      <c r="W17" s="10">
        <v>104.39333704760419</v>
      </c>
      <c r="X17" s="10">
        <v>109.86310657319424</v>
      </c>
      <c r="Y17" s="10">
        <v>109.86310657319422</v>
      </c>
      <c r="Z17" s="10">
        <v>119.14092770950961</v>
      </c>
      <c r="AA17" s="10">
        <v>109.86310657319426</v>
      </c>
      <c r="AB17" s="10">
        <v>109.86310657319426</v>
      </c>
      <c r="AC17" s="10">
        <v>109.86310657319424</v>
      </c>
      <c r="AD17" s="10">
        <v>109.10135825026521</v>
      </c>
      <c r="AE17" s="10">
        <v>109.86310657319426</v>
      </c>
      <c r="AF17"/>
    </row>
    <row r="18" spans="1:32" ht="15.75" thickBot="1" x14ac:dyDescent="0.3">
      <c r="A18" s="7">
        <v>43617</v>
      </c>
      <c r="B18" s="15">
        <v>290295.32500000001</v>
      </c>
      <c r="C18" s="15">
        <v>32981.882000000005</v>
      </c>
      <c r="D18" s="15">
        <v>13810.041000000003</v>
      </c>
      <c r="E18" s="15">
        <v>116133.14400000003</v>
      </c>
      <c r="F18" s="15">
        <v>15009.694999999998</v>
      </c>
      <c r="G18" s="15">
        <v>1903.7579999999998</v>
      </c>
      <c r="H18" s="15">
        <v>10271.338</v>
      </c>
      <c r="I18" s="15">
        <v>4550.3209999999999</v>
      </c>
      <c r="J18" s="15">
        <v>79330.77900000001</v>
      </c>
      <c r="K18" s="15">
        <v>83786.027000000002</v>
      </c>
      <c r="L18" s="15">
        <v>11342.816000000001</v>
      </c>
      <c r="M18" s="15">
        <v>30312.347999999998</v>
      </c>
      <c r="N18" s="17">
        <f t="shared" si="1"/>
        <v>689727.47400000005</v>
      </c>
      <c r="O18" s="16">
        <f t="shared" si="2"/>
        <v>-8.0334756601167623E-2</v>
      </c>
      <c r="P18" s="52">
        <v>689727.47400000005</v>
      </c>
      <c r="Q18" s="13"/>
      <c r="R18" s="13"/>
      <c r="S18" s="13"/>
      <c r="T18" s="15">
        <v>95.621660106371081</v>
      </c>
      <c r="U18" s="15">
        <v>116.93939961837259</v>
      </c>
      <c r="V18" s="15">
        <v>170.7149678130435</v>
      </c>
      <c r="W18" s="15">
        <v>111.03259151884485</v>
      </c>
      <c r="X18" s="15">
        <v>115.36615082830552</v>
      </c>
      <c r="Y18" s="15">
        <v>115.36615082830552</v>
      </c>
      <c r="Z18" s="15">
        <v>129.86361120336548</v>
      </c>
      <c r="AA18" s="15">
        <v>115.36615082830552</v>
      </c>
      <c r="AB18" s="15">
        <v>92.272313229227308</v>
      </c>
      <c r="AC18" s="15">
        <v>100.42777203416745</v>
      </c>
      <c r="AD18" s="15">
        <v>114.17939090267026</v>
      </c>
      <c r="AE18" s="15">
        <v>115.36615082830552</v>
      </c>
      <c r="AF18" s="13"/>
    </row>
    <row r="19" spans="1:32" x14ac:dyDescent="0.25">
      <c r="A19" s="7">
        <v>43983</v>
      </c>
      <c r="B19" s="12">
        <f>B18*T19/T18</f>
        <v>277390.26211898611</v>
      </c>
      <c r="C19" s="12">
        <f t="shared" ref="C19:C20" si="3">C18*U19/U18</f>
        <v>31269.334161579307</v>
      </c>
      <c r="D19" s="12">
        <f t="shared" ref="D19:D20" si="4">D18*V19/V18</f>
        <v>15563.895160530405</v>
      </c>
      <c r="E19" s="12">
        <f t="shared" ref="E19:E20" si="5">E18*W19/W18</f>
        <v>116419.22601697381</v>
      </c>
      <c r="F19" s="12">
        <f t="shared" ref="F19:F20" si="6">F18*X19/X18</f>
        <v>15200.617853901629</v>
      </c>
      <c r="G19" s="12">
        <f t="shared" ref="G19:G20" si="7">G18*Y19/Y18</f>
        <v>1371.7847344462116</v>
      </c>
      <c r="H19" s="12">
        <f t="shared" ref="H19:H20" si="8">H18*Z19/Z18</f>
        <v>10562.087228567887</v>
      </c>
      <c r="I19" s="12">
        <f t="shared" ref="I19:I20" si="9">I18*AA19/AA18</f>
        <v>4495.6416109140609</v>
      </c>
      <c r="J19" s="12">
        <f t="shared" ref="J19:J20" si="10">J18*AB19/AB18</f>
        <v>75238.086094257815</v>
      </c>
      <c r="K19" s="12">
        <f t="shared" ref="K19:K20" si="11">K18*AC19/AC18</f>
        <v>66493.673631007914</v>
      </c>
      <c r="L19" s="12">
        <f t="shared" ref="L19:L20" si="12">L18*AD19/AD18</f>
        <v>11517.233115589783</v>
      </c>
      <c r="M19" s="12">
        <f t="shared" ref="M19:M20" si="13">M18*AE19/AE18</f>
        <v>30832.858959193236</v>
      </c>
      <c r="N19" s="12">
        <f t="shared" si="1"/>
        <v>656354.70068594825</v>
      </c>
      <c r="O19" s="11">
        <f t="shared" si="2"/>
        <v>-4.8385448705573486E-2</v>
      </c>
      <c r="P19" s="69">
        <f>(1+O19)*P18</f>
        <v>656354.70068594825</v>
      </c>
      <c r="T19" s="10">
        <v>91.370804408093278</v>
      </c>
      <c r="U19" s="10">
        <v>110.86745029654013</v>
      </c>
      <c r="V19" s="10">
        <v>192.39550855609559</v>
      </c>
      <c r="W19" s="10">
        <v>111.30610885108499</v>
      </c>
      <c r="X19" s="10">
        <v>116.83360468128429</v>
      </c>
      <c r="Y19" s="10">
        <v>83.129013550088146</v>
      </c>
      <c r="Z19" s="10">
        <v>133.53964102308501</v>
      </c>
      <c r="AA19" s="10">
        <v>113.97984189570757</v>
      </c>
      <c r="AB19" s="10">
        <v>87.511963633395396</v>
      </c>
      <c r="AC19" s="10">
        <v>79.700777519015119</v>
      </c>
      <c r="AD19" s="10">
        <v>115.93511364568592</v>
      </c>
      <c r="AE19" s="10">
        <v>117.34717010883347</v>
      </c>
    </row>
    <row r="20" spans="1:32" x14ac:dyDescent="0.25">
      <c r="A20" s="7">
        <v>44348</v>
      </c>
      <c r="B20" s="12">
        <f t="shared" ref="B20" si="14">B19*T20/T19</f>
        <v>298372.9480567135</v>
      </c>
      <c r="C20" s="12">
        <f t="shared" si="3"/>
        <v>30944.977483472427</v>
      </c>
      <c r="D20" s="12">
        <f t="shared" si="4"/>
        <v>15702.17111626457</v>
      </c>
      <c r="E20" s="12">
        <f t="shared" si="5"/>
        <v>119216.96617256742</v>
      </c>
      <c r="F20" s="12">
        <f t="shared" si="6"/>
        <v>15678.142306938333</v>
      </c>
      <c r="G20" s="12">
        <f t="shared" si="7"/>
        <v>1414.8790850375192</v>
      </c>
      <c r="H20" s="12">
        <f t="shared" si="8"/>
        <v>11076.017551645094</v>
      </c>
      <c r="I20" s="12">
        <f t="shared" si="9"/>
        <v>4636.8713176229721</v>
      </c>
      <c r="J20" s="12">
        <f t="shared" si="10"/>
        <v>77601.675933500243</v>
      </c>
      <c r="K20" s="12">
        <f t="shared" si="11"/>
        <v>40653.640731311163</v>
      </c>
      <c r="L20" s="12">
        <f t="shared" si="12"/>
        <v>11826.71235451627</v>
      </c>
      <c r="M20" s="12">
        <f t="shared" si="13"/>
        <v>31801.467225749155</v>
      </c>
      <c r="N20" s="12">
        <f t="shared" ref="N20" si="15">SUM(B20:M20)</f>
        <v>658926.4693353388</v>
      </c>
      <c r="O20" s="11">
        <f t="shared" ref="O20" si="16">N20/N19-1</f>
        <v>3.918260426416964E-3</v>
      </c>
      <c r="P20" s="69">
        <f>(1+O20)*P19</f>
        <v>658926.4693353388</v>
      </c>
      <c r="T20" s="10">
        <v>98.282384065313394</v>
      </c>
      <c r="U20" s="10">
        <v>109.71742267834574</v>
      </c>
      <c r="V20" s="10">
        <v>194.10482827009758</v>
      </c>
      <c r="W20" s="10">
        <v>113.98097262530516</v>
      </c>
      <c r="X20" s="10">
        <v>120.5039096457247</v>
      </c>
      <c r="Y20" s="10">
        <v>85.740495340402191</v>
      </c>
      <c r="Z20" s="10">
        <v>140.03741645036803</v>
      </c>
      <c r="AA20" s="10">
        <v>117.56049645735665</v>
      </c>
      <c r="AB20" s="10">
        <v>90.26113494799948</v>
      </c>
      <c r="AC20" s="10">
        <v>48.728346597972255</v>
      </c>
      <c r="AD20" s="10">
        <v>119.05040274123752</v>
      </c>
      <c r="AE20" s="10">
        <v>121.03360863128094</v>
      </c>
    </row>
    <row r="21" spans="1:32" x14ac:dyDescent="0.25">
      <c r="P21"/>
    </row>
    <row r="22" spans="1:32" x14ac:dyDescent="0.25">
      <c r="P22"/>
    </row>
    <row r="23" spans="1:32" x14ac:dyDescent="0.25">
      <c r="P23"/>
    </row>
    <row r="24" spans="1:32" x14ac:dyDescent="0.25">
      <c r="P24"/>
    </row>
    <row r="25" spans="1:32" x14ac:dyDescent="0.25">
      <c r="P25"/>
    </row>
    <row r="26" spans="1:32" x14ac:dyDescent="0.25">
      <c r="P26"/>
    </row>
    <row r="27" spans="1:32" x14ac:dyDescent="0.25">
      <c r="P27"/>
    </row>
    <row r="28" spans="1:32" x14ac:dyDescent="0.25">
      <c r="P28"/>
    </row>
  </sheetData>
  <mergeCells count="2">
    <mergeCell ref="B1:P1"/>
    <mergeCell ref="T1:A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zoomScale="70" zoomScaleNormal="70" workbookViewId="0">
      <pane xSplit="1" ySplit="2" topLeftCell="B3" activePane="bottomRight" state="frozen"/>
      <selection pane="topRight"/>
      <selection pane="bottomLeft"/>
      <selection pane="bottomRight" activeCell="F21" sqref="F21"/>
    </sheetView>
  </sheetViews>
  <sheetFormatPr defaultColWidth="9.140625" defaultRowHeight="15" x14ac:dyDescent="0.25"/>
  <cols>
    <col min="1" max="1" width="12.5703125" customWidth="1"/>
    <col min="2" max="2" width="14.5703125" customWidth="1"/>
    <col min="3" max="3" width="14.5703125" style="21" customWidth="1"/>
    <col min="4" max="5" width="14.5703125" customWidth="1"/>
    <col min="6" max="6" width="14.5703125" style="33" customWidth="1"/>
    <col min="7" max="7" width="6.140625" customWidth="1"/>
    <col min="8" max="8" width="14.5703125" style="32" customWidth="1"/>
    <col min="9" max="9" width="8.42578125" style="31" bestFit="1" customWidth="1"/>
    <col min="10" max="10" width="14.85546875" style="31" bestFit="1" customWidth="1"/>
    <col min="11" max="12" width="9.140625" style="31"/>
    <col min="13" max="15" width="14.5703125" customWidth="1"/>
    <col min="16" max="16" width="6.28515625" customWidth="1"/>
    <col min="17" max="19" width="14.5703125" style="21" customWidth="1"/>
    <col min="20" max="20" width="6.28515625" style="21" customWidth="1"/>
    <col min="21" max="23" width="14.5703125" customWidth="1"/>
    <col min="24" max="24" width="6.28515625" customWidth="1"/>
    <col min="25" max="28" width="14.5703125" style="21" customWidth="1"/>
    <col min="29" max="29" width="14.5703125" customWidth="1"/>
    <col min="30" max="31" width="14.5703125" style="31" customWidth="1"/>
    <col min="32" max="16384" width="9.140625" style="31"/>
  </cols>
  <sheetData>
    <row r="1" spans="1:31" x14ac:dyDescent="0.25">
      <c r="B1" s="113" t="s">
        <v>96</v>
      </c>
      <c r="C1" s="113"/>
      <c r="D1" s="113"/>
      <c r="E1" s="113"/>
      <c r="F1" s="113"/>
      <c r="G1" s="113"/>
      <c r="H1" s="113"/>
      <c r="I1" s="113"/>
      <c r="L1" s="54"/>
      <c r="M1" s="113" t="s">
        <v>97</v>
      </c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</row>
    <row r="2" spans="1:31" s="5" customFormat="1" ht="60" x14ac:dyDescent="0.25">
      <c r="A2" s="73"/>
      <c r="B2" s="74" t="s">
        <v>53</v>
      </c>
      <c r="C2" s="74" t="s">
        <v>54</v>
      </c>
      <c r="D2" s="74" t="s">
        <v>55</v>
      </c>
      <c r="E2" s="74" t="s">
        <v>60</v>
      </c>
      <c r="F2" s="75" t="s">
        <v>95</v>
      </c>
      <c r="G2" s="27"/>
      <c r="H2" s="37" t="s">
        <v>94</v>
      </c>
      <c r="M2" s="73" t="s">
        <v>53</v>
      </c>
      <c r="N2" s="74" t="s">
        <v>147</v>
      </c>
      <c r="O2" s="74" t="s">
        <v>57</v>
      </c>
      <c r="P2" s="74"/>
      <c r="Q2" s="73" t="s">
        <v>54</v>
      </c>
      <c r="R2" s="74" t="s">
        <v>56</v>
      </c>
      <c r="S2" s="74" t="s">
        <v>57</v>
      </c>
      <c r="T2" s="74"/>
      <c r="U2" s="73" t="s">
        <v>55</v>
      </c>
      <c r="V2" s="74" t="s">
        <v>58</v>
      </c>
      <c r="W2" s="74" t="s">
        <v>57</v>
      </c>
      <c r="X2" s="74"/>
      <c r="Y2" s="73" t="s">
        <v>60</v>
      </c>
      <c r="Z2" s="74" t="s">
        <v>59</v>
      </c>
      <c r="AA2" s="74" t="s">
        <v>57</v>
      </c>
      <c r="AB2" s="38"/>
      <c r="AC2" s="38"/>
      <c r="AD2" s="38"/>
      <c r="AE2" s="38"/>
    </row>
    <row r="3" spans="1:31" x14ac:dyDescent="0.25">
      <c r="A3" s="76">
        <v>37773</v>
      </c>
      <c r="B3" s="77">
        <v>42128</v>
      </c>
      <c r="C3" s="77">
        <v>174247.85692652466</v>
      </c>
      <c r="D3" s="77">
        <v>77841</v>
      </c>
      <c r="E3" s="77">
        <v>285927.06999605289</v>
      </c>
      <c r="F3" s="71">
        <f t="shared" ref="F3:F21" si="0">SUM(B3:E3)</f>
        <v>580143.92692257755</v>
      </c>
      <c r="H3" s="36">
        <v>577181</v>
      </c>
      <c r="K3" s="53"/>
      <c r="L3" s="53">
        <f t="shared" ref="L3:L19" si="1">LN(D3)</f>
        <v>11.262423563642731</v>
      </c>
      <c r="M3" s="78">
        <f t="shared" ref="M3:M18" si="2">LN(B3)</f>
        <v>10.64846788173609</v>
      </c>
      <c r="N3" s="79">
        <v>15.399386324873792</v>
      </c>
      <c r="O3" s="86">
        <f>M3-N3</f>
        <v>-4.7509184431377012</v>
      </c>
      <c r="P3" s="80"/>
      <c r="Q3" s="78">
        <f t="shared" ref="Q3:Q18" si="3">LN(C3)</f>
        <v>12.068234029703666</v>
      </c>
      <c r="R3" s="79">
        <v>12.008733892975995</v>
      </c>
      <c r="S3" s="86">
        <f>Q3-R3</f>
        <v>5.9500136727670849E-2</v>
      </c>
      <c r="T3" s="40"/>
      <c r="U3" s="78">
        <f t="shared" ref="U3:U18" si="4">LN(D3)</f>
        <v>11.262423563642731</v>
      </c>
      <c r="V3" s="79">
        <v>9.3056505517805075</v>
      </c>
      <c r="W3" s="86">
        <f>U3-V3</f>
        <v>1.9567730118622233</v>
      </c>
      <c r="X3" s="80"/>
      <c r="Y3" s="78">
        <f>LN(E3)</f>
        <v>12.563492057270157</v>
      </c>
      <c r="Z3" s="79">
        <v>12.072776195950132</v>
      </c>
      <c r="AA3" s="86">
        <f>Y3-Z3</f>
        <v>0.49071586132002487</v>
      </c>
      <c r="AB3" s="22"/>
      <c r="AC3" s="23"/>
      <c r="AD3" s="25"/>
      <c r="AE3" s="25"/>
    </row>
    <row r="4" spans="1:31" x14ac:dyDescent="0.25">
      <c r="A4" s="76">
        <v>38139</v>
      </c>
      <c r="B4" s="77">
        <v>47317</v>
      </c>
      <c r="C4" s="77">
        <v>203788.34934251205</v>
      </c>
      <c r="D4" s="77">
        <v>88563</v>
      </c>
      <c r="E4" s="77">
        <v>312139.56487702846</v>
      </c>
      <c r="F4" s="71">
        <f t="shared" si="0"/>
        <v>651807.91421954054</v>
      </c>
      <c r="H4" s="36">
        <v>640537</v>
      </c>
      <c r="I4" s="8">
        <f t="shared" ref="I4:I21" si="5">H4/H3-1</f>
        <v>0.10976799305590457</v>
      </c>
      <c r="K4" s="53"/>
      <c r="L4" s="53">
        <f t="shared" si="1"/>
        <v>11.391469442147516</v>
      </c>
      <c r="M4" s="78">
        <f t="shared" si="2"/>
        <v>10.764624917942255</v>
      </c>
      <c r="N4" s="79">
        <v>15.399386324873792</v>
      </c>
      <c r="O4" s="86">
        <f t="shared" ref="O4:O18" si="6">M4-N4</f>
        <v>-4.6347614069315366</v>
      </c>
      <c r="P4" s="80"/>
      <c r="Q4" s="78">
        <f t="shared" si="3"/>
        <v>12.224837231024354</v>
      </c>
      <c r="R4" s="79">
        <v>12.085341267781617</v>
      </c>
      <c r="S4" s="86">
        <f t="shared" ref="S4:S18" si="7">Q4-R4</f>
        <v>0.13949596324273728</v>
      </c>
      <c r="T4" s="40"/>
      <c r="U4" s="78">
        <f t="shared" si="4"/>
        <v>11.391469442147516</v>
      </c>
      <c r="V4" s="79">
        <v>9.3646910318061067</v>
      </c>
      <c r="W4" s="86">
        <f t="shared" ref="W4:W18" si="8">U4-V4</f>
        <v>2.026778410341409</v>
      </c>
      <c r="X4" s="80"/>
      <c r="Y4" s="78">
        <f t="shared" ref="Y4:Y18" si="9">LN(E4)</f>
        <v>12.651205690096177</v>
      </c>
      <c r="Z4" s="79">
        <v>12.083072256509391</v>
      </c>
      <c r="AA4" s="86">
        <f t="shared" ref="AA4:AA18" si="10">Y4-Z4</f>
        <v>0.56813343358678559</v>
      </c>
      <c r="AB4" s="22"/>
      <c r="AC4" s="23"/>
      <c r="AD4" s="25"/>
      <c r="AE4" s="25"/>
    </row>
    <row r="5" spans="1:31" x14ac:dyDescent="0.25">
      <c r="A5" s="76">
        <v>38504</v>
      </c>
      <c r="B5" s="77">
        <v>53581</v>
      </c>
      <c r="C5" s="77">
        <v>229490.5251123973</v>
      </c>
      <c r="D5" s="77">
        <v>104063</v>
      </c>
      <c r="E5" s="77">
        <v>342232.39532480249</v>
      </c>
      <c r="F5" s="71">
        <f t="shared" si="0"/>
        <v>729366.92043719976</v>
      </c>
      <c r="H5" s="36">
        <v>707329</v>
      </c>
      <c r="I5" s="8">
        <f t="shared" si="5"/>
        <v>0.10427500675214696</v>
      </c>
      <c r="K5" s="53"/>
      <c r="L5" s="53">
        <f t="shared" si="1"/>
        <v>11.552751763950162</v>
      </c>
      <c r="M5" s="78">
        <f t="shared" si="2"/>
        <v>10.888949806604913</v>
      </c>
      <c r="N5" s="79">
        <v>15.399386324873792</v>
      </c>
      <c r="O5" s="86">
        <f t="shared" si="6"/>
        <v>-4.5104365182688788</v>
      </c>
      <c r="P5" s="80"/>
      <c r="Q5" s="78">
        <f t="shared" si="3"/>
        <v>12.34361702271719</v>
      </c>
      <c r="R5" s="79">
        <v>12.133658392070965</v>
      </c>
      <c r="S5" s="86">
        <f t="shared" si="7"/>
        <v>0.20995863064622533</v>
      </c>
      <c r="T5" s="40"/>
      <c r="U5" s="78">
        <f t="shared" si="4"/>
        <v>11.552751763950162</v>
      </c>
      <c r="V5" s="79">
        <v>9.5247860816971777</v>
      </c>
      <c r="W5" s="86">
        <f t="shared" si="8"/>
        <v>2.0279656822529848</v>
      </c>
      <c r="X5" s="80"/>
      <c r="Y5" s="78">
        <f t="shared" si="9"/>
        <v>12.743245303770161</v>
      </c>
      <c r="Z5" s="79">
        <v>12.084453214387635</v>
      </c>
      <c r="AA5" s="86">
        <f t="shared" si="10"/>
        <v>0.65879208938252631</v>
      </c>
      <c r="AB5" s="22"/>
      <c r="AC5" s="23"/>
      <c r="AD5" s="25"/>
      <c r="AE5" s="25"/>
    </row>
    <row r="6" spans="1:31" x14ac:dyDescent="0.25">
      <c r="A6" s="76">
        <v>38869</v>
      </c>
      <c r="B6" s="77">
        <v>63298.711999999992</v>
      </c>
      <c r="C6" s="77">
        <v>240665.25908766603</v>
      </c>
      <c r="D6" s="77">
        <v>110460.16499999999</v>
      </c>
      <c r="E6" s="77">
        <v>344673.75112580287</v>
      </c>
      <c r="F6" s="71">
        <f t="shared" si="0"/>
        <v>759097.88721346878</v>
      </c>
      <c r="H6" s="35">
        <v>733029.60199999984</v>
      </c>
      <c r="I6" s="8">
        <f t="shared" si="5"/>
        <v>3.6334721183494345E-2</v>
      </c>
      <c r="K6" s="53"/>
      <c r="L6" s="53">
        <f t="shared" si="1"/>
        <v>11.612410237207458</v>
      </c>
      <c r="M6" s="78">
        <f t="shared" si="2"/>
        <v>11.05562026037391</v>
      </c>
      <c r="N6" s="79">
        <v>15.399386324873792</v>
      </c>
      <c r="O6" s="86">
        <f t="shared" si="6"/>
        <v>-4.3437660644998815</v>
      </c>
      <c r="P6" s="80"/>
      <c r="Q6" s="78">
        <f t="shared" si="3"/>
        <v>12.391162280523542</v>
      </c>
      <c r="R6" s="79">
        <v>12.15721637917604</v>
      </c>
      <c r="S6" s="86">
        <f t="shared" si="7"/>
        <v>0.23394590134750182</v>
      </c>
      <c r="T6" s="40"/>
      <c r="U6" s="78">
        <f t="shared" si="4"/>
        <v>11.612410237207458</v>
      </c>
      <c r="V6" s="79">
        <v>9.6724378296508213</v>
      </c>
      <c r="W6" s="86">
        <f t="shared" si="8"/>
        <v>1.9399724075566365</v>
      </c>
      <c r="X6" s="80"/>
      <c r="Y6" s="78">
        <f t="shared" si="9"/>
        <v>12.750353599694767</v>
      </c>
      <c r="Z6" s="79">
        <v>12.193140911504084</v>
      </c>
      <c r="AA6" s="86">
        <f t="shared" si="10"/>
        <v>0.55721268819068293</v>
      </c>
      <c r="AB6" s="22"/>
      <c r="AC6" s="23"/>
      <c r="AD6" s="25"/>
      <c r="AE6" s="25"/>
    </row>
    <row r="7" spans="1:31" x14ac:dyDescent="0.25">
      <c r="A7" s="76">
        <v>39234</v>
      </c>
      <c r="B7" s="77">
        <v>74894.172999999995</v>
      </c>
      <c r="C7" s="77">
        <v>249160.4375754981</v>
      </c>
      <c r="D7" s="77">
        <v>116457.31499999999</v>
      </c>
      <c r="E7" s="77">
        <v>386711.93734027474</v>
      </c>
      <c r="F7" s="71">
        <f t="shared" si="0"/>
        <v>827223.86291577283</v>
      </c>
      <c r="H7" s="35">
        <v>802321.78699999989</v>
      </c>
      <c r="I7" s="8">
        <f t="shared" si="5"/>
        <v>9.4528494907904159E-2</v>
      </c>
      <c r="K7" s="53"/>
      <c r="L7" s="53">
        <f t="shared" si="1"/>
        <v>11.665280089999113</v>
      </c>
      <c r="M7" s="78">
        <f t="shared" si="2"/>
        <v>11.223831369416212</v>
      </c>
      <c r="N7" s="79">
        <v>15.399386324873792</v>
      </c>
      <c r="O7" s="86">
        <f t="shared" si="6"/>
        <v>-4.1755549554575797</v>
      </c>
      <c r="P7" s="80"/>
      <c r="Q7" s="78">
        <f t="shared" si="3"/>
        <v>12.425852295569374</v>
      </c>
      <c r="R7" s="79">
        <v>12.202372809570351</v>
      </c>
      <c r="S7" s="86">
        <f t="shared" si="7"/>
        <v>0.22347948599902345</v>
      </c>
      <c r="T7" s="40"/>
      <c r="U7" s="78">
        <f t="shared" si="4"/>
        <v>11.665280089999113</v>
      </c>
      <c r="V7" s="79">
        <v>9.6840247190614903</v>
      </c>
      <c r="W7" s="86">
        <f t="shared" si="8"/>
        <v>1.9812553709376228</v>
      </c>
      <c r="X7" s="80"/>
      <c r="Y7" s="78">
        <f t="shared" si="9"/>
        <v>12.865435346889484</v>
      </c>
      <c r="Z7" s="79">
        <v>12.221271558975383</v>
      </c>
      <c r="AA7" s="86">
        <f t="shared" si="10"/>
        <v>0.64416378791410089</v>
      </c>
      <c r="AB7" s="22"/>
      <c r="AC7" s="23"/>
      <c r="AD7" s="25"/>
      <c r="AE7" s="25"/>
    </row>
    <row r="8" spans="1:31" x14ac:dyDescent="0.25">
      <c r="A8" s="76">
        <v>39600</v>
      </c>
      <c r="B8" s="77">
        <v>87874.02800000002</v>
      </c>
      <c r="C8" s="77">
        <v>271930.73448124836</v>
      </c>
      <c r="D8" s="77">
        <v>131921.421</v>
      </c>
      <c r="E8" s="77">
        <v>387195.96254491434</v>
      </c>
      <c r="F8" s="71">
        <f t="shared" si="0"/>
        <v>878922.14602616266</v>
      </c>
      <c r="H8" s="35">
        <v>890216.28399999999</v>
      </c>
      <c r="I8" s="8">
        <f t="shared" si="5"/>
        <v>0.10955018101733294</v>
      </c>
      <c r="K8" s="53"/>
      <c r="L8" s="53">
        <f t="shared" si="1"/>
        <v>11.789961728855273</v>
      </c>
      <c r="M8" s="78">
        <f t="shared" si="2"/>
        <v>11.383659567885362</v>
      </c>
      <c r="N8" s="79">
        <v>15.399386324873792</v>
      </c>
      <c r="O8" s="86">
        <f t="shared" si="6"/>
        <v>-4.0157267569884301</v>
      </c>
      <c r="P8" s="80"/>
      <c r="Q8" s="78">
        <f t="shared" si="3"/>
        <v>12.513302660206175</v>
      </c>
      <c r="R8" s="79">
        <v>12.254833761658668</v>
      </c>
      <c r="S8" s="86">
        <f t="shared" si="7"/>
        <v>0.25846889854750721</v>
      </c>
      <c r="T8" s="40"/>
      <c r="U8" s="78">
        <f t="shared" si="4"/>
        <v>11.789961728855273</v>
      </c>
      <c r="V8" s="79">
        <v>9.7441400593019942</v>
      </c>
      <c r="W8" s="86">
        <f t="shared" si="8"/>
        <v>2.0458216695532787</v>
      </c>
      <c r="X8" s="80"/>
      <c r="Y8" s="78">
        <f t="shared" si="9"/>
        <v>12.866686207018507</v>
      </c>
      <c r="Z8" s="79">
        <v>12.344195584138502</v>
      </c>
      <c r="AA8" s="86">
        <f t="shared" si="10"/>
        <v>0.52249062288000481</v>
      </c>
      <c r="AB8" s="22"/>
      <c r="AC8" s="23"/>
      <c r="AD8" s="25"/>
      <c r="AE8" s="25"/>
    </row>
    <row r="9" spans="1:31" x14ac:dyDescent="0.25">
      <c r="A9" s="76">
        <v>39965</v>
      </c>
      <c r="B9" s="77">
        <v>89586.633999999991</v>
      </c>
      <c r="C9" s="77">
        <v>253580.38225293058</v>
      </c>
      <c r="D9" s="77">
        <v>118994.136</v>
      </c>
      <c r="E9" s="77">
        <v>354008.12745722849</v>
      </c>
      <c r="F9" s="71">
        <f t="shared" si="0"/>
        <v>816169.27971015905</v>
      </c>
      <c r="H9" s="35">
        <v>821784.61</v>
      </c>
      <c r="I9" s="8">
        <f t="shared" si="5"/>
        <v>-7.6870840524862816E-2</v>
      </c>
      <c r="K9" s="53"/>
      <c r="L9" s="53">
        <f t="shared" si="1"/>
        <v>11.686829493568576</v>
      </c>
      <c r="M9" s="78">
        <f t="shared" si="2"/>
        <v>11.402961413728315</v>
      </c>
      <c r="N9" s="79">
        <v>15.399386324873792</v>
      </c>
      <c r="O9" s="86">
        <f t="shared" si="6"/>
        <v>-3.9964249111454766</v>
      </c>
      <c r="P9" s="80"/>
      <c r="Q9" s="78">
        <f t="shared" si="3"/>
        <v>12.443436141506194</v>
      </c>
      <c r="R9" s="79">
        <v>12.277190258155125</v>
      </c>
      <c r="S9" s="86">
        <f t="shared" si="7"/>
        <v>0.16624588335106871</v>
      </c>
      <c r="T9" s="40"/>
      <c r="U9" s="78">
        <f t="shared" si="4"/>
        <v>11.686829493568576</v>
      </c>
      <c r="V9" s="79">
        <v>9.7096600555559718</v>
      </c>
      <c r="W9" s="86">
        <f t="shared" si="8"/>
        <v>1.9771694380126039</v>
      </c>
      <c r="X9" s="80"/>
      <c r="Y9" s="78">
        <f t="shared" si="9"/>
        <v>12.777075150771084</v>
      </c>
      <c r="Z9" s="79">
        <v>12.342485808800626</v>
      </c>
      <c r="AA9" s="86">
        <f t="shared" si="10"/>
        <v>0.43458934197045807</v>
      </c>
      <c r="AB9" s="22"/>
      <c r="AC9" s="23"/>
      <c r="AD9" s="25"/>
      <c r="AE9" s="25"/>
    </row>
    <row r="10" spans="1:31" x14ac:dyDescent="0.25">
      <c r="A10" s="76">
        <v>40330</v>
      </c>
      <c r="B10" s="77">
        <v>91859.735000000001</v>
      </c>
      <c r="C10" s="77">
        <v>267702.32611518295</v>
      </c>
      <c r="D10" s="77">
        <v>115915.136</v>
      </c>
      <c r="E10" s="77">
        <v>376079.99048400414</v>
      </c>
      <c r="F10" s="71">
        <f t="shared" si="0"/>
        <v>851557.18759918702</v>
      </c>
      <c r="H10" s="35">
        <v>878616.30399999989</v>
      </c>
      <c r="I10" s="8">
        <f t="shared" si="5"/>
        <v>6.9156435042023956E-2</v>
      </c>
      <c r="K10" s="53"/>
      <c r="L10" s="53">
        <f t="shared" si="1"/>
        <v>11.660613616141825</v>
      </c>
      <c r="M10" s="78">
        <f t="shared" si="2"/>
        <v>11.42801807305089</v>
      </c>
      <c r="N10" s="79">
        <v>15.399386324873792</v>
      </c>
      <c r="O10" s="86">
        <f t="shared" si="6"/>
        <v>-3.9713682518229021</v>
      </c>
      <c r="P10" s="80"/>
      <c r="Q10" s="78">
        <f t="shared" si="3"/>
        <v>12.497630918731742</v>
      </c>
      <c r="R10" s="79">
        <v>12.293193933146076</v>
      </c>
      <c r="S10" s="86">
        <f t="shared" si="7"/>
        <v>0.20443698558566581</v>
      </c>
      <c r="T10" s="40"/>
      <c r="U10" s="78">
        <f t="shared" si="4"/>
        <v>11.660613616141825</v>
      </c>
      <c r="V10" s="79">
        <v>9.7533039932699808</v>
      </c>
      <c r="W10" s="86">
        <f t="shared" si="8"/>
        <v>1.9073096228718445</v>
      </c>
      <c r="X10" s="80"/>
      <c r="Y10" s="78">
        <f t="shared" si="9"/>
        <v>12.837557140394896</v>
      </c>
      <c r="Z10" s="79">
        <v>12.366885651651064</v>
      </c>
      <c r="AA10" s="86">
        <f t="shared" si="10"/>
        <v>0.47067148874383236</v>
      </c>
      <c r="AB10" s="22"/>
      <c r="AC10" s="23"/>
      <c r="AD10" s="25"/>
      <c r="AE10" s="25"/>
    </row>
    <row r="11" spans="1:31" x14ac:dyDescent="0.25">
      <c r="A11" s="76">
        <v>40695</v>
      </c>
      <c r="B11" s="77">
        <v>97168.165999999997</v>
      </c>
      <c r="C11" s="77">
        <v>295011.24497493845</v>
      </c>
      <c r="D11" s="77">
        <v>129727.90299999999</v>
      </c>
      <c r="E11" s="77">
        <v>385069.36680566287</v>
      </c>
      <c r="F11" s="71">
        <f t="shared" si="0"/>
        <v>906976.68078060122</v>
      </c>
      <c r="H11" s="35">
        <v>929236.56199999992</v>
      </c>
      <c r="I11" s="8">
        <f t="shared" si="5"/>
        <v>5.7613611049038838E-2</v>
      </c>
      <c r="K11" s="53"/>
      <c r="L11" s="53">
        <f t="shared" si="1"/>
        <v>11.773194482093089</v>
      </c>
      <c r="M11" s="78">
        <f t="shared" si="2"/>
        <v>11.484198426517258</v>
      </c>
      <c r="N11" s="79">
        <v>15.399386324873792</v>
      </c>
      <c r="O11" s="86">
        <f t="shared" si="6"/>
        <v>-3.9151878983565336</v>
      </c>
      <c r="P11" s="80"/>
      <c r="Q11" s="78">
        <f t="shared" si="3"/>
        <v>12.594768753154577</v>
      </c>
      <c r="R11" s="79">
        <v>12.305833361535191</v>
      </c>
      <c r="S11" s="86">
        <f t="shared" si="7"/>
        <v>0.28893539161938619</v>
      </c>
      <c r="T11" s="40"/>
      <c r="U11" s="78">
        <f t="shared" si="4"/>
        <v>11.773194482093089</v>
      </c>
      <c r="V11" s="79">
        <v>9.6581622961631712</v>
      </c>
      <c r="W11" s="86">
        <f t="shared" si="8"/>
        <v>2.1150321859299179</v>
      </c>
      <c r="X11" s="80"/>
      <c r="Y11" s="78">
        <f t="shared" si="9"/>
        <v>12.861178770561825</v>
      </c>
      <c r="Z11" s="79">
        <v>12.405281085989776</v>
      </c>
      <c r="AA11" s="86">
        <f t="shared" si="10"/>
        <v>0.45589768457204904</v>
      </c>
      <c r="AB11" s="22"/>
      <c r="AC11" s="23"/>
      <c r="AD11" s="25"/>
      <c r="AE11" s="25"/>
    </row>
    <row r="12" spans="1:31" x14ac:dyDescent="0.25">
      <c r="A12" s="76">
        <v>41061</v>
      </c>
      <c r="B12" s="77">
        <v>109707.01899999999</v>
      </c>
      <c r="C12" s="77">
        <v>293813.46968293068</v>
      </c>
      <c r="D12" s="77">
        <v>151126.609</v>
      </c>
      <c r="E12" s="77">
        <v>427424.3347808331</v>
      </c>
      <c r="F12" s="71">
        <f t="shared" si="0"/>
        <v>982071.43246376375</v>
      </c>
      <c r="H12" s="35">
        <v>974207.34199999983</v>
      </c>
      <c r="I12" s="8">
        <f t="shared" si="5"/>
        <v>4.8395405259570312E-2</v>
      </c>
      <c r="K12" s="53"/>
      <c r="L12" s="53">
        <f t="shared" si="1"/>
        <v>11.925873234675967</v>
      </c>
      <c r="M12" s="78">
        <f t="shared" si="2"/>
        <v>11.605568627808072</v>
      </c>
      <c r="N12" s="79">
        <v>15.399386324873792</v>
      </c>
      <c r="O12" s="86">
        <f t="shared" si="6"/>
        <v>-3.7938176970657196</v>
      </c>
      <c r="P12" s="80"/>
      <c r="Q12" s="78">
        <f t="shared" si="3"/>
        <v>12.590700388107113</v>
      </c>
      <c r="R12" s="79">
        <v>12.335863739450375</v>
      </c>
      <c r="S12" s="86">
        <f t="shared" si="7"/>
        <v>0.25483664865673816</v>
      </c>
      <c r="T12" s="40"/>
      <c r="U12" s="78">
        <f t="shared" si="4"/>
        <v>11.925873234675967</v>
      </c>
      <c r="V12" s="79">
        <v>9.6365227216730691</v>
      </c>
      <c r="W12" s="86">
        <f t="shared" si="8"/>
        <v>2.2893505130028977</v>
      </c>
      <c r="X12" s="80"/>
      <c r="Y12" s="78">
        <f t="shared" si="9"/>
        <v>12.96553255702883</v>
      </c>
      <c r="Z12" s="79">
        <v>12.403496862537192</v>
      </c>
      <c r="AA12" s="86">
        <f t="shared" si="10"/>
        <v>0.56203569449163737</v>
      </c>
      <c r="AB12" s="22"/>
      <c r="AC12" s="23"/>
      <c r="AD12" s="25"/>
      <c r="AE12" s="25"/>
    </row>
    <row r="13" spans="1:31" x14ac:dyDescent="0.25">
      <c r="A13" s="76">
        <v>41426</v>
      </c>
      <c r="B13" s="77">
        <v>110743.40100000001</v>
      </c>
      <c r="C13" s="77">
        <v>279988.51199999999</v>
      </c>
      <c r="D13" s="77">
        <v>142726.27400000003</v>
      </c>
      <c r="E13" s="77">
        <v>424905.50799999991</v>
      </c>
      <c r="F13" s="71">
        <f t="shared" si="0"/>
        <v>958363.69499999995</v>
      </c>
      <c r="H13" s="35">
        <v>964261.5340000001</v>
      </c>
      <c r="I13" s="8">
        <f t="shared" si="5"/>
        <v>-1.020912856146361E-2</v>
      </c>
      <c r="K13" s="53"/>
      <c r="L13" s="53">
        <f t="shared" si="1"/>
        <v>11.868683907049409</v>
      </c>
      <c r="M13" s="78">
        <f t="shared" si="2"/>
        <v>11.614971101482034</v>
      </c>
      <c r="N13" s="79">
        <v>15.399386324873792</v>
      </c>
      <c r="O13" s="86">
        <f t="shared" si="6"/>
        <v>-3.7844152233917576</v>
      </c>
      <c r="P13" s="80"/>
      <c r="Q13" s="78">
        <f t="shared" si="3"/>
        <v>12.542503852738264</v>
      </c>
      <c r="R13" s="79">
        <v>12.358324523774169</v>
      </c>
      <c r="S13" s="86">
        <f t="shared" si="7"/>
        <v>0.18417932896409539</v>
      </c>
      <c r="T13" s="80"/>
      <c r="U13" s="78">
        <f t="shared" si="4"/>
        <v>11.868683907049409</v>
      </c>
      <c r="V13" s="79">
        <v>9.6493691969224873</v>
      </c>
      <c r="W13" s="86">
        <f t="shared" si="8"/>
        <v>2.2193147101269215</v>
      </c>
      <c r="X13" s="80"/>
      <c r="Y13" s="78">
        <f t="shared" si="9"/>
        <v>12.959622089069013</v>
      </c>
      <c r="Z13" s="79">
        <v>12.414068278581079</v>
      </c>
      <c r="AA13" s="86">
        <f t="shared" si="10"/>
        <v>0.5455538104879345</v>
      </c>
      <c r="AB13" s="23"/>
      <c r="AC13" s="23"/>
      <c r="AD13" s="25"/>
      <c r="AE13" s="25"/>
    </row>
    <row r="14" spans="1:31" x14ac:dyDescent="0.25">
      <c r="A14" s="76">
        <v>41791</v>
      </c>
      <c r="B14" s="77">
        <v>118471.94400000002</v>
      </c>
      <c r="C14" s="77">
        <v>283788.64500000002</v>
      </c>
      <c r="D14" s="77">
        <v>141074.28200000001</v>
      </c>
      <c r="E14" s="77">
        <v>446008.94900000008</v>
      </c>
      <c r="F14" s="71">
        <f t="shared" si="0"/>
        <v>989343.82000000007</v>
      </c>
      <c r="H14" s="35">
        <v>996467.41200000001</v>
      </c>
      <c r="I14" s="8">
        <f t="shared" si="5"/>
        <v>3.3399525817857434E-2</v>
      </c>
      <c r="K14" s="53"/>
      <c r="L14" s="53">
        <f t="shared" si="1"/>
        <v>11.857041853332984</v>
      </c>
      <c r="M14" s="78">
        <f t="shared" si="2"/>
        <v>11.682431452031699</v>
      </c>
      <c r="N14" s="79">
        <v>15.399386324873792</v>
      </c>
      <c r="O14" s="86">
        <f t="shared" si="6"/>
        <v>-3.7169548728420931</v>
      </c>
      <c r="P14" s="80"/>
      <c r="Q14" s="78">
        <f t="shared" si="3"/>
        <v>12.55598503233681</v>
      </c>
      <c r="R14" s="79">
        <v>12.387891992904752</v>
      </c>
      <c r="S14" s="86">
        <f t="shared" si="7"/>
        <v>0.16809303943205833</v>
      </c>
      <c r="T14" s="80"/>
      <c r="U14" s="78">
        <f t="shared" si="4"/>
        <v>11.857041853332984</v>
      </c>
      <c r="V14" s="79">
        <v>9.5852088061068805</v>
      </c>
      <c r="W14" s="86">
        <f t="shared" si="8"/>
        <v>2.271833047226103</v>
      </c>
      <c r="X14" s="80"/>
      <c r="Y14" s="78">
        <f t="shared" si="9"/>
        <v>13.008094295823323</v>
      </c>
      <c r="Z14" s="79">
        <v>12.423578510398237</v>
      </c>
      <c r="AA14" s="86">
        <f t="shared" si="10"/>
        <v>0.58451578542508642</v>
      </c>
      <c r="AB14" s="23"/>
      <c r="AC14" s="23"/>
      <c r="AD14" s="25"/>
      <c r="AE14" s="25"/>
    </row>
    <row r="15" spans="1:31" x14ac:dyDescent="0.25">
      <c r="A15" s="76">
        <v>42156</v>
      </c>
      <c r="B15" s="77">
        <v>121196.40800000001</v>
      </c>
      <c r="C15" s="77">
        <v>300505.42499999999</v>
      </c>
      <c r="D15" s="77">
        <v>146332.95200000002</v>
      </c>
      <c r="E15" s="77">
        <v>459840.40899999999</v>
      </c>
      <c r="F15" s="71">
        <f t="shared" si="0"/>
        <v>1027875.194</v>
      </c>
      <c r="H15" s="35">
        <v>1035769.9320000001</v>
      </c>
      <c r="I15" s="26">
        <f t="shared" si="5"/>
        <v>3.9441851812410444E-2</v>
      </c>
      <c r="K15" s="53"/>
      <c r="L15" s="53">
        <f t="shared" si="1"/>
        <v>11.893639797463251</v>
      </c>
      <c r="M15" s="78">
        <f t="shared" si="2"/>
        <v>11.705167715214472</v>
      </c>
      <c r="N15" s="79">
        <v>15.399386324873792</v>
      </c>
      <c r="O15" s="86">
        <f t="shared" si="6"/>
        <v>-3.6942186096593197</v>
      </c>
      <c r="P15" s="80"/>
      <c r="Q15" s="78">
        <f t="shared" si="3"/>
        <v>12.613221086039033</v>
      </c>
      <c r="R15" s="79">
        <v>12.426223322661114</v>
      </c>
      <c r="S15" s="86">
        <f t="shared" si="7"/>
        <v>0.18699776337791896</v>
      </c>
      <c r="T15" s="80"/>
      <c r="U15" s="78">
        <f t="shared" si="4"/>
        <v>11.893639797463251</v>
      </c>
      <c r="V15" s="79">
        <v>9.6117305220423166</v>
      </c>
      <c r="W15" s="86">
        <f t="shared" si="8"/>
        <v>2.2819092754209347</v>
      </c>
      <c r="X15" s="80"/>
      <c r="Y15" s="78">
        <f t="shared" si="9"/>
        <v>13.038634771312207</v>
      </c>
      <c r="Z15" s="79">
        <v>12.435794760919833</v>
      </c>
      <c r="AA15" s="86">
        <f t="shared" si="10"/>
        <v>0.60284001039237367</v>
      </c>
      <c r="AB15" s="23"/>
      <c r="AC15" s="23"/>
      <c r="AD15" s="25"/>
      <c r="AE15" s="25"/>
    </row>
    <row r="16" spans="1:31" x14ac:dyDescent="0.25">
      <c r="A16" s="76">
        <v>42522</v>
      </c>
      <c r="B16" s="77">
        <v>127171.45200000002</v>
      </c>
      <c r="C16" s="77">
        <v>284961.35500000004</v>
      </c>
      <c r="D16" s="77">
        <v>149733.93</v>
      </c>
      <c r="E16" s="77">
        <v>502599.04200000002</v>
      </c>
      <c r="F16" s="71">
        <f t="shared" si="0"/>
        <v>1064465.7790000001</v>
      </c>
      <c r="H16" s="35">
        <v>1072544.6829999997</v>
      </c>
      <c r="I16" s="8">
        <f t="shared" si="5"/>
        <v>3.550474855838881E-2</v>
      </c>
      <c r="K16" s="53"/>
      <c r="L16" s="53">
        <f t="shared" si="1"/>
        <v>11.916615198032353</v>
      </c>
      <c r="M16" s="78">
        <f t="shared" si="2"/>
        <v>11.753291470736825</v>
      </c>
      <c r="N16" s="79">
        <v>15.399386324873792</v>
      </c>
      <c r="O16" s="86">
        <f t="shared" si="6"/>
        <v>-3.6460948541369671</v>
      </c>
      <c r="P16" s="80"/>
      <c r="Q16" s="78">
        <f t="shared" si="3"/>
        <v>12.560108853565524</v>
      </c>
      <c r="R16" s="79">
        <v>12.466185916874066</v>
      </c>
      <c r="S16" s="86">
        <f t="shared" si="7"/>
        <v>9.3922936691457792E-2</v>
      </c>
      <c r="T16" s="80"/>
      <c r="U16" s="78">
        <f t="shared" si="4"/>
        <v>11.916615198032353</v>
      </c>
      <c r="V16" s="79">
        <v>9.6364574198152084</v>
      </c>
      <c r="W16" s="86">
        <f t="shared" si="8"/>
        <v>2.2801577782171449</v>
      </c>
      <c r="X16" s="80"/>
      <c r="Y16" s="78">
        <f t="shared" si="9"/>
        <v>13.127547998001472</v>
      </c>
      <c r="Z16" s="79">
        <v>12.461571057168177</v>
      </c>
      <c r="AA16" s="86">
        <f t="shared" si="10"/>
        <v>0.66597694083329451</v>
      </c>
      <c r="AB16" s="23"/>
      <c r="AC16" s="23"/>
      <c r="AD16" s="25"/>
      <c r="AE16" s="25"/>
    </row>
    <row r="17" spans="1:31" x14ac:dyDescent="0.25">
      <c r="A17" s="76">
        <v>42887</v>
      </c>
      <c r="B17" s="77">
        <v>136798.43200000003</v>
      </c>
      <c r="C17" s="77">
        <v>288348.43200000003</v>
      </c>
      <c r="D17" s="77">
        <v>157709.29399999999</v>
      </c>
      <c r="E17" s="77">
        <v>514766.87300000008</v>
      </c>
      <c r="F17" s="71">
        <f t="shared" si="0"/>
        <v>1097623.0310000002</v>
      </c>
      <c r="H17" s="34">
        <v>1105845</v>
      </c>
      <c r="I17" s="8">
        <f t="shared" si="5"/>
        <v>3.1047953085606039E-2</v>
      </c>
      <c r="K17" s="53"/>
      <c r="L17" s="53">
        <f t="shared" si="1"/>
        <v>11.968508705900662</v>
      </c>
      <c r="M17" s="78">
        <f t="shared" si="2"/>
        <v>11.826263822116594</v>
      </c>
      <c r="N17" s="79">
        <v>15.399386324873792</v>
      </c>
      <c r="O17" s="86">
        <f t="shared" si="6"/>
        <v>-3.5731225027571973</v>
      </c>
      <c r="P17" s="80"/>
      <c r="Q17" s="78">
        <f t="shared" si="3"/>
        <v>12.57192486119281</v>
      </c>
      <c r="R17" s="79">
        <v>12.481854186723567</v>
      </c>
      <c r="S17" s="86">
        <f t="shared" si="7"/>
        <v>9.0070674469243883E-2</v>
      </c>
      <c r="T17" s="80"/>
      <c r="U17" s="78">
        <f t="shared" si="4"/>
        <v>11.968508705900662</v>
      </c>
      <c r="V17" s="79">
        <v>9.627536402960045</v>
      </c>
      <c r="W17" s="86">
        <f t="shared" si="8"/>
        <v>2.3409723029406173</v>
      </c>
      <c r="X17" s="80"/>
      <c r="Y17" s="78">
        <f t="shared" si="9"/>
        <v>13.151469403371758</v>
      </c>
      <c r="Z17" s="79">
        <v>12.494613619531163</v>
      </c>
      <c r="AA17" s="86">
        <f t="shared" si="10"/>
        <v>0.6568557838405944</v>
      </c>
      <c r="AB17" s="23"/>
      <c r="AC17" s="23"/>
      <c r="AD17" s="25"/>
      <c r="AE17" s="25"/>
    </row>
    <row r="18" spans="1:31" x14ac:dyDescent="0.25">
      <c r="A18" s="76">
        <v>43252</v>
      </c>
      <c r="B18" s="77">
        <v>148253.72999999998</v>
      </c>
      <c r="C18" s="77">
        <v>311568.848</v>
      </c>
      <c r="D18" s="77">
        <v>181478.49400000001</v>
      </c>
      <c r="E18" s="77">
        <v>544927.41700000013</v>
      </c>
      <c r="F18" s="71">
        <f t="shared" si="0"/>
        <v>1186228.4890000001</v>
      </c>
      <c r="H18" s="30">
        <v>1199795</v>
      </c>
      <c r="I18" s="8">
        <f t="shared" si="5"/>
        <v>8.4957656814472093E-2</v>
      </c>
      <c r="K18" s="53"/>
      <c r="L18" s="53">
        <f t="shared" si="1"/>
        <v>12.108892435308379</v>
      </c>
      <c r="M18" s="78">
        <f t="shared" si="2"/>
        <v>11.906680476745819</v>
      </c>
      <c r="N18" s="79">
        <v>15.399386324873792</v>
      </c>
      <c r="O18" s="86">
        <f t="shared" si="6"/>
        <v>-3.4927058481279722</v>
      </c>
      <c r="P18" s="80"/>
      <c r="Q18" s="78">
        <f t="shared" si="3"/>
        <v>12.649375613654906</v>
      </c>
      <c r="R18" s="79">
        <v>12.509650827705993</v>
      </c>
      <c r="S18" s="86">
        <f t="shared" si="7"/>
        <v>0.13972478594891236</v>
      </c>
      <c r="T18" s="80"/>
      <c r="U18" s="78">
        <f t="shared" si="4"/>
        <v>12.108892435308379</v>
      </c>
      <c r="V18" s="79">
        <v>9.6906036901595343</v>
      </c>
      <c r="W18" s="86">
        <f t="shared" si="8"/>
        <v>2.4182887451488444</v>
      </c>
      <c r="X18" s="80"/>
      <c r="Y18" s="78">
        <f t="shared" si="9"/>
        <v>13.208407884959648</v>
      </c>
      <c r="Z18" s="79">
        <v>12.520146900588626</v>
      </c>
      <c r="AA18" s="86">
        <f t="shared" si="10"/>
        <v>0.68826098437102168</v>
      </c>
      <c r="AB18" s="23"/>
      <c r="AC18" s="23"/>
      <c r="AD18" s="25"/>
      <c r="AE18" s="25"/>
    </row>
    <row r="19" spans="1:31" x14ac:dyDescent="0.25">
      <c r="A19" s="76">
        <v>43617</v>
      </c>
      <c r="B19" s="77">
        <v>145291.41800000001</v>
      </c>
      <c r="C19" s="77">
        <v>326025.25399999996</v>
      </c>
      <c r="D19" s="77">
        <v>184410.44</v>
      </c>
      <c r="E19" s="77">
        <v>556936.36800000002</v>
      </c>
      <c r="F19" s="71">
        <f t="shared" si="0"/>
        <v>1212663.48</v>
      </c>
      <c r="H19" s="30">
        <v>1219638.0660000001</v>
      </c>
      <c r="I19" s="8">
        <f t="shared" si="5"/>
        <v>1.653871369692328E-2</v>
      </c>
      <c r="K19" s="53"/>
      <c r="L19" s="53">
        <f t="shared" si="1"/>
        <v>12.124919204554063</v>
      </c>
      <c r="M19" s="78">
        <f t="shared" ref="M19" si="11">LN(B19)</f>
        <v>11.886496783808521</v>
      </c>
      <c r="N19" s="79">
        <v>15.399386324873792</v>
      </c>
      <c r="O19" s="86">
        <f t="shared" ref="O19" si="12">M19-N19</f>
        <v>-3.5128895410652703</v>
      </c>
      <c r="P19" s="80"/>
      <c r="Q19" s="78">
        <f t="shared" ref="Q19" si="13">LN(C19)</f>
        <v>12.694730123606158</v>
      </c>
      <c r="R19" s="79">
        <v>12.521611222622182</v>
      </c>
      <c r="S19" s="86">
        <f t="shared" ref="S19" si="14">Q19-R19</f>
        <v>0.17311890098397598</v>
      </c>
      <c r="T19" s="80"/>
      <c r="U19" s="78">
        <f t="shared" ref="U19" si="15">LN(D19)</f>
        <v>12.124919204554063</v>
      </c>
      <c r="V19" s="79">
        <v>9.7491701921517713</v>
      </c>
      <c r="W19" s="86">
        <f t="shared" ref="W19" si="16">U19-V19</f>
        <v>2.3757490124022915</v>
      </c>
      <c r="X19" s="80"/>
      <c r="Y19" s="78">
        <f t="shared" ref="Y19" si="17">LN(E19)</f>
        <v>13.230206271808964</v>
      </c>
      <c r="Z19" s="79">
        <v>12.564589053240358</v>
      </c>
      <c r="AA19" s="86">
        <f t="shared" ref="AA19" si="18">Y19-Z19</f>
        <v>0.66561721856860601</v>
      </c>
      <c r="AB19" s="23"/>
      <c r="AC19" s="23"/>
      <c r="AD19" s="25"/>
      <c r="AE19" s="25"/>
    </row>
    <row r="20" spans="1:31" x14ac:dyDescent="0.25">
      <c r="A20" s="76">
        <v>43983</v>
      </c>
      <c r="B20" s="71">
        <f>EXP(M20)</f>
        <v>140153.00203029995</v>
      </c>
      <c r="C20" s="71">
        <f>EXP(Q20)</f>
        <v>308580.23879999993</v>
      </c>
      <c r="D20" s="71">
        <f>EXP(U20)</f>
        <v>161076.4972664424</v>
      </c>
      <c r="E20" s="71">
        <f>EXP(Y20)</f>
        <v>495283.26643591904</v>
      </c>
      <c r="F20" s="71">
        <f t="shared" si="0"/>
        <v>1105093.0045326613</v>
      </c>
      <c r="H20" s="70">
        <f>F20/F19*H19</f>
        <v>1111448.90320136</v>
      </c>
      <c r="I20" s="8">
        <f t="shared" si="5"/>
        <v>-8.8705957787513112E-2</v>
      </c>
      <c r="K20" s="53"/>
      <c r="L20" s="53">
        <v>13.11288513330123</v>
      </c>
      <c r="M20" s="81">
        <f>N20+O20</f>
        <v>11.850489976486966</v>
      </c>
      <c r="N20" s="79">
        <v>15.399386324873792</v>
      </c>
      <c r="O20" s="82">
        <v>-3.5488963483868261</v>
      </c>
      <c r="P20" s="80"/>
      <c r="Q20" s="81">
        <f>R20+S20</f>
        <v>12.63973718186411</v>
      </c>
      <c r="R20" s="79">
        <v>12.522407213224284</v>
      </c>
      <c r="S20" s="82">
        <v>0.11732996863982592</v>
      </c>
      <c r="T20" s="80"/>
      <c r="U20" s="81">
        <f>V20+W20</f>
        <v>11.989634669425024</v>
      </c>
      <c r="V20" s="79">
        <v>9.6951114392845863</v>
      </c>
      <c r="W20" s="82">
        <v>2.2945232301404381</v>
      </c>
      <c r="X20" s="80"/>
      <c r="Y20" s="81">
        <f>Z20+AA20</f>
        <v>13.11288513330123</v>
      </c>
      <c r="Z20" s="79">
        <v>12.447267914732624</v>
      </c>
      <c r="AA20" s="82">
        <v>0.66561721856860601</v>
      </c>
      <c r="AB20" s="23"/>
      <c r="AC20" s="23"/>
      <c r="AD20" s="25"/>
      <c r="AE20" s="25"/>
    </row>
    <row r="21" spans="1:31" x14ac:dyDescent="0.25">
      <c r="A21" s="76">
        <v>44348</v>
      </c>
      <c r="B21" s="71">
        <f>EXP(M21)</f>
        <v>153441.33937617776</v>
      </c>
      <c r="C21" s="71">
        <f>EXP(Q21)</f>
        <v>334820.12065123935</v>
      </c>
      <c r="D21" s="71">
        <f>EXP(U21)</f>
        <v>127216.42756293477</v>
      </c>
      <c r="E21" s="71">
        <f>EXP(Y21)</f>
        <v>489005.16564429674</v>
      </c>
      <c r="F21" s="71">
        <f t="shared" si="0"/>
        <v>1104483.0532346487</v>
      </c>
      <c r="H21" s="70">
        <f>F21/F20*H20</f>
        <v>1110835.4437926027</v>
      </c>
      <c r="I21" s="8">
        <f t="shared" si="5"/>
        <v>-5.5194566928840061E-4</v>
      </c>
      <c r="K21" s="53"/>
      <c r="L21" s="53">
        <f>LN(E21)</f>
        <v>13.100128332090982</v>
      </c>
      <c r="M21" s="81">
        <f>N21+O21</f>
        <v>11.941073619068856</v>
      </c>
      <c r="N21" s="79">
        <v>15.399386324873792</v>
      </c>
      <c r="O21" s="82">
        <v>-3.4583127058049357</v>
      </c>
      <c r="P21" s="80"/>
      <c r="Q21" s="81">
        <f>R21+S21</f>
        <v>12.721348713316283</v>
      </c>
      <c r="R21" s="79">
        <v>12.525454487544096</v>
      </c>
      <c r="S21" s="82">
        <v>0.19589422577218762</v>
      </c>
      <c r="T21" s="80"/>
      <c r="U21" s="81">
        <f>V21+W21</f>
        <v>11.753645069056686</v>
      </c>
      <c r="V21" s="79">
        <v>9.5349239249842572</v>
      </c>
      <c r="W21" s="82">
        <v>2.218721144072429</v>
      </c>
      <c r="X21" s="80"/>
      <c r="Y21" s="81">
        <f>Z21+AA21</f>
        <v>13.100128332090982</v>
      </c>
      <c r="Z21" s="79">
        <v>12.434511113522376</v>
      </c>
      <c r="AA21" s="82">
        <v>0.66561721856860601</v>
      </c>
      <c r="AB21" s="23"/>
      <c r="AC21" s="23"/>
      <c r="AD21" s="25"/>
      <c r="AE21" s="25"/>
    </row>
    <row r="23" spans="1:31" x14ac:dyDescent="0.25">
      <c r="B23" s="101">
        <f>(B21/B18)^(1/2)-1</f>
        <v>1.7345283415330703E-2</v>
      </c>
      <c r="C23" s="101">
        <f>(C21/C18)^(1/2)-1</f>
        <v>3.6641903388040076E-2</v>
      </c>
      <c r="D23" s="101">
        <f>(D21/D18)^(1/2)-1</f>
        <v>-0.16274256168559831</v>
      </c>
      <c r="E23" s="101">
        <f>(E21/E18)^(1/2)-1</f>
        <v>-5.2700312925048065E-2</v>
      </c>
      <c r="Q23" s="102">
        <f>Q21-Q18</f>
        <v>7.197309966137766E-2</v>
      </c>
      <c r="R23" s="102">
        <f>R21-R18</f>
        <v>1.5803659838102391E-2</v>
      </c>
      <c r="S23" s="102">
        <f>S21-S18</f>
        <v>5.6169439823275269E-2</v>
      </c>
    </row>
  </sheetData>
  <mergeCells count="2">
    <mergeCell ref="B1:I1"/>
    <mergeCell ref="M1:AA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zoomScale="85" zoomScaleNormal="85" workbookViewId="0">
      <pane xSplit="1" ySplit="2" topLeftCell="K3" activePane="bottomRight" state="frozen"/>
      <selection pane="topRight"/>
      <selection pane="bottomLeft"/>
      <selection pane="bottomRight" activeCell="AL22" sqref="AL22"/>
    </sheetView>
  </sheetViews>
  <sheetFormatPr defaultRowHeight="15" x14ac:dyDescent="0.25"/>
  <cols>
    <col min="16" max="16" width="9.140625" style="4"/>
    <col min="18" max="29" width="9.7109375" customWidth="1"/>
    <col min="31" max="31" width="12.7109375" style="24" customWidth="1"/>
    <col min="32" max="34" width="12.7109375" customWidth="1"/>
    <col min="36" max="36" width="12.85546875" customWidth="1"/>
  </cols>
  <sheetData>
    <row r="1" spans="1:45" x14ac:dyDescent="0.25">
      <c r="B1" s="113" t="s">
        <v>98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R1" s="113" t="s">
        <v>93</v>
      </c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E1" s="113" t="s">
        <v>99</v>
      </c>
      <c r="AF1" s="113"/>
      <c r="AG1" s="113"/>
      <c r="AH1" s="113"/>
    </row>
    <row r="2" spans="1:45" ht="48.75" customHeight="1" x14ac:dyDescent="0.25">
      <c r="B2" s="20" t="s">
        <v>27</v>
      </c>
      <c r="C2" s="20" t="s">
        <v>36</v>
      </c>
      <c r="D2" s="20" t="s">
        <v>35</v>
      </c>
      <c r="E2" s="20" t="s">
        <v>26</v>
      </c>
      <c r="F2" s="20" t="s">
        <v>34</v>
      </c>
      <c r="G2" s="20" t="s">
        <v>33</v>
      </c>
      <c r="H2" s="20" t="s">
        <v>32</v>
      </c>
      <c r="I2" s="20" t="s">
        <v>31</v>
      </c>
      <c r="J2" s="20" t="s">
        <v>25</v>
      </c>
      <c r="K2" s="20" t="s">
        <v>24</v>
      </c>
      <c r="L2" s="20" t="s">
        <v>30</v>
      </c>
      <c r="M2" s="20" t="s">
        <v>29</v>
      </c>
      <c r="N2" s="18" t="s">
        <v>38</v>
      </c>
      <c r="O2" s="18" t="s">
        <v>37</v>
      </c>
      <c r="P2" s="19" t="s">
        <v>76</v>
      </c>
      <c r="R2" s="20" t="s">
        <v>61</v>
      </c>
      <c r="S2" s="20" t="s">
        <v>62</v>
      </c>
      <c r="T2" s="20" t="s">
        <v>63</v>
      </c>
      <c r="U2" s="20" t="s">
        <v>26</v>
      </c>
      <c r="V2" s="20" t="s">
        <v>64</v>
      </c>
      <c r="W2" s="20" t="s">
        <v>64</v>
      </c>
      <c r="X2" s="20" t="s">
        <v>65</v>
      </c>
      <c r="Y2" s="20" t="s">
        <v>64</v>
      </c>
      <c r="Z2" s="20" t="s">
        <v>64</v>
      </c>
      <c r="AA2" s="20" t="s">
        <v>64</v>
      </c>
      <c r="AB2" s="20" t="s">
        <v>66</v>
      </c>
      <c r="AC2" s="20" t="s">
        <v>64</v>
      </c>
      <c r="AE2" s="59" t="s">
        <v>67</v>
      </c>
      <c r="AF2" s="27" t="s">
        <v>67</v>
      </c>
      <c r="AG2" s="27" t="s">
        <v>68</v>
      </c>
      <c r="AH2" s="27" t="s">
        <v>57</v>
      </c>
      <c r="AJ2" s="27" t="s">
        <v>69</v>
      </c>
      <c r="AS2" s="27"/>
    </row>
    <row r="3" spans="1:45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2"/>
      <c r="O3" s="18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45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2"/>
      <c r="O4" s="11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45" x14ac:dyDescent="0.25">
      <c r="A5" s="7">
        <v>38869</v>
      </c>
      <c r="B5" s="10">
        <v>28611.259000000002</v>
      </c>
      <c r="C5" s="10">
        <v>3952</v>
      </c>
      <c r="D5" s="10">
        <v>959</v>
      </c>
      <c r="E5" s="10">
        <v>11395.431999999999</v>
      </c>
      <c r="F5" s="10">
        <v>771</v>
      </c>
      <c r="G5" s="10">
        <v>156</v>
      </c>
      <c r="H5" s="10">
        <v>87</v>
      </c>
      <c r="I5" s="10">
        <v>194</v>
      </c>
      <c r="J5" s="10">
        <v>29564.498</v>
      </c>
      <c r="K5" s="10">
        <v>4259.0329999999994</v>
      </c>
      <c r="L5" s="10">
        <v>2</v>
      </c>
      <c r="M5" s="10">
        <v>5736.1060000000016</v>
      </c>
      <c r="N5" s="12">
        <f t="shared" ref="N5:N19" si="0">SUM(B5:M5)</f>
        <v>85687.328000000009</v>
      </c>
      <c r="O5" s="11"/>
      <c r="P5" s="6">
        <f t="shared" ref="P5:P20" si="1">N5</f>
        <v>85687.328000000009</v>
      </c>
      <c r="R5" s="10">
        <v>100</v>
      </c>
      <c r="S5" s="10">
        <v>100</v>
      </c>
      <c r="T5" s="10">
        <v>100</v>
      </c>
      <c r="U5" s="10">
        <v>100</v>
      </c>
      <c r="V5" s="10">
        <v>100</v>
      </c>
      <c r="W5" s="10">
        <v>100</v>
      </c>
      <c r="X5" s="10">
        <v>100</v>
      </c>
      <c r="Y5" s="10">
        <v>100</v>
      </c>
      <c r="Z5" s="10">
        <v>100</v>
      </c>
      <c r="AA5" s="10">
        <v>100</v>
      </c>
      <c r="AB5" s="10">
        <v>100</v>
      </c>
      <c r="AC5" s="10">
        <v>100</v>
      </c>
      <c r="AE5" s="83">
        <v>105867.177</v>
      </c>
      <c r="AF5" s="28">
        <f t="shared" ref="AF5:AF17" si="2">LN(AE5)</f>
        <v>11.569940540204357</v>
      </c>
      <c r="AG5" s="95">
        <v>9.6541283544035057</v>
      </c>
      <c r="AH5" s="87">
        <f t="shared" ref="AH5:AH17" si="3">AF5-AG5</f>
        <v>1.915812185800851</v>
      </c>
      <c r="AJ5" s="6">
        <f t="shared" ref="AJ5:AJ15" si="4">AE5+P5</f>
        <v>191554.505</v>
      </c>
    </row>
    <row r="6" spans="1:45" x14ac:dyDescent="0.25">
      <c r="A6" s="7">
        <v>39234</v>
      </c>
      <c r="B6" s="10">
        <v>28665.988999999998</v>
      </c>
      <c r="C6" s="10">
        <v>4249</v>
      </c>
      <c r="D6" s="10">
        <v>2092</v>
      </c>
      <c r="E6" s="10">
        <v>8261.32</v>
      </c>
      <c r="F6" s="10">
        <v>468</v>
      </c>
      <c r="G6" s="10">
        <v>65</v>
      </c>
      <c r="H6" s="10">
        <v>72</v>
      </c>
      <c r="I6" s="10">
        <v>103</v>
      </c>
      <c r="J6" s="10">
        <v>29412.249</v>
      </c>
      <c r="K6" s="10">
        <v>2608.9340000000002</v>
      </c>
      <c r="L6" s="10">
        <v>2</v>
      </c>
      <c r="M6" s="10">
        <v>5327.22</v>
      </c>
      <c r="N6" s="12">
        <f t="shared" si="0"/>
        <v>81326.712</v>
      </c>
      <c r="O6" s="11">
        <f t="shared" ref="O6:O19" si="5">N6/N5-1</f>
        <v>-5.088985853310779E-2</v>
      </c>
      <c r="P6" s="6">
        <f t="shared" si="1"/>
        <v>81326.712</v>
      </c>
      <c r="R6" s="10">
        <v>96.194951347258623</v>
      </c>
      <c r="S6" s="10">
        <v>108.42391304347827</v>
      </c>
      <c r="T6" s="10">
        <v>102.90517589481387</v>
      </c>
      <c r="U6" s="10">
        <v>102.11897550896131</v>
      </c>
      <c r="V6" s="10">
        <v>106.32892840567672</v>
      </c>
      <c r="W6" s="10">
        <v>106.32892840567673</v>
      </c>
      <c r="X6" s="10">
        <v>103.18830953171705</v>
      </c>
      <c r="Y6" s="10">
        <v>106.32892840567673</v>
      </c>
      <c r="Z6" s="10">
        <v>106.32892840567673</v>
      </c>
      <c r="AA6" s="10">
        <v>106.32892840567673</v>
      </c>
      <c r="AB6" s="10">
        <v>100</v>
      </c>
      <c r="AC6" s="10">
        <v>106.32892840567676</v>
      </c>
      <c r="AE6" s="83">
        <v>108265.91699999999</v>
      </c>
      <c r="AF6" s="28">
        <f t="shared" si="2"/>
        <v>11.592345674316494</v>
      </c>
      <c r="AG6" s="95">
        <v>9.7103274705611788</v>
      </c>
      <c r="AH6" s="87">
        <f t="shared" si="3"/>
        <v>1.8820182037553153</v>
      </c>
      <c r="AJ6" s="6">
        <f t="shared" si="4"/>
        <v>189592.62899999999</v>
      </c>
    </row>
    <row r="7" spans="1:45" x14ac:dyDescent="0.25">
      <c r="A7" s="7">
        <v>39600</v>
      </c>
      <c r="B7" s="10">
        <v>30300.331999999999</v>
      </c>
      <c r="C7" s="10">
        <v>4728</v>
      </c>
      <c r="D7" s="10">
        <v>1976</v>
      </c>
      <c r="E7" s="10">
        <v>8735.8809999999994</v>
      </c>
      <c r="F7" s="10">
        <v>1763</v>
      </c>
      <c r="G7" s="10">
        <v>37</v>
      </c>
      <c r="H7" s="10">
        <v>102</v>
      </c>
      <c r="I7" s="10">
        <v>115</v>
      </c>
      <c r="J7" s="10">
        <v>27501.044000000002</v>
      </c>
      <c r="K7" s="10">
        <v>2246.1639999999998</v>
      </c>
      <c r="L7" s="10">
        <v>11</v>
      </c>
      <c r="M7" s="10">
        <v>4945.6480000000001</v>
      </c>
      <c r="N7" s="12">
        <f t="shared" si="0"/>
        <v>82461.069000000003</v>
      </c>
      <c r="O7" s="11">
        <f t="shared" si="5"/>
        <v>1.394814781150866E-2</v>
      </c>
      <c r="P7" s="6">
        <f t="shared" si="1"/>
        <v>82461.069000000003</v>
      </c>
      <c r="R7" s="10">
        <v>90.078221149449433</v>
      </c>
      <c r="S7" s="10">
        <v>96.331521739130437</v>
      </c>
      <c r="T7" s="10">
        <v>108.36356166048611</v>
      </c>
      <c r="U7" s="10">
        <v>108.23912080108443</v>
      </c>
      <c r="V7" s="10">
        <v>112.47954273431199</v>
      </c>
      <c r="W7" s="10">
        <v>112.47954273431201</v>
      </c>
      <c r="X7" s="10">
        <v>110.83803830399648</v>
      </c>
      <c r="Y7" s="10">
        <v>112.47954273431201</v>
      </c>
      <c r="Z7" s="10">
        <v>112.47954273431203</v>
      </c>
      <c r="AA7" s="10">
        <v>112.47954273431201</v>
      </c>
      <c r="AB7" s="10">
        <v>100</v>
      </c>
      <c r="AC7" s="10">
        <v>112.47954273431203</v>
      </c>
      <c r="AE7" s="83">
        <v>114886.914</v>
      </c>
      <c r="AF7" s="28">
        <f t="shared" si="2"/>
        <v>11.651703567011424</v>
      </c>
      <c r="AG7" s="95">
        <v>9.7351872371044283</v>
      </c>
      <c r="AH7" s="87">
        <f t="shared" si="3"/>
        <v>1.9165163299069956</v>
      </c>
      <c r="AJ7" s="6">
        <f t="shared" si="4"/>
        <v>197347.98300000001</v>
      </c>
    </row>
    <row r="8" spans="1:45" x14ac:dyDescent="0.25">
      <c r="A8" s="7">
        <v>39965</v>
      </c>
      <c r="B8" s="10">
        <v>29987.239999999998</v>
      </c>
      <c r="C8" s="10">
        <v>5288.23</v>
      </c>
      <c r="D8" s="10">
        <v>4523</v>
      </c>
      <c r="E8" s="10">
        <v>8266.8559999999998</v>
      </c>
      <c r="F8" s="10">
        <v>1990</v>
      </c>
      <c r="G8" s="10">
        <v>0</v>
      </c>
      <c r="H8" s="10">
        <v>104</v>
      </c>
      <c r="I8" s="10">
        <v>48</v>
      </c>
      <c r="J8" s="10">
        <v>25304</v>
      </c>
      <c r="K8" s="10">
        <v>3365</v>
      </c>
      <c r="L8" s="10">
        <v>9</v>
      </c>
      <c r="M8" s="10">
        <v>4868.3139999999994</v>
      </c>
      <c r="N8" s="12">
        <f t="shared" si="0"/>
        <v>83753.64</v>
      </c>
      <c r="O8" s="11">
        <f t="shared" si="5"/>
        <v>1.5674924126923395E-2</v>
      </c>
      <c r="P8" s="6">
        <f t="shared" si="1"/>
        <v>83753.64</v>
      </c>
      <c r="R8" s="10">
        <v>97.778894151298417</v>
      </c>
      <c r="S8" s="10">
        <v>101.90217391304347</v>
      </c>
      <c r="T8" s="10">
        <v>113.51358643610621</v>
      </c>
      <c r="U8" s="10">
        <v>103.35716517871482</v>
      </c>
      <c r="V8" s="10">
        <v>102.23747526808175</v>
      </c>
      <c r="W8" s="10">
        <v>102.23747526808175</v>
      </c>
      <c r="X8" s="10">
        <v>106.90800398538693</v>
      </c>
      <c r="Y8" s="10">
        <v>102.23747526808177</v>
      </c>
      <c r="Z8" s="10">
        <v>102.23747526808178</v>
      </c>
      <c r="AA8" s="10">
        <v>102.23747526808177</v>
      </c>
      <c r="AB8" s="10">
        <v>100</v>
      </c>
      <c r="AC8" s="10">
        <v>102.23747526808178</v>
      </c>
      <c r="AE8" s="83">
        <v>112364.77399999998</v>
      </c>
      <c r="AF8" s="28">
        <f t="shared" si="2"/>
        <v>11.629505768745618</v>
      </c>
      <c r="AG8" s="95">
        <v>9.768240403128102</v>
      </c>
      <c r="AH8" s="87">
        <f t="shared" si="3"/>
        <v>1.8612653656175162</v>
      </c>
      <c r="AJ8" s="6">
        <f t="shared" si="4"/>
        <v>196118.41399999999</v>
      </c>
    </row>
    <row r="9" spans="1:45" x14ac:dyDescent="0.25">
      <c r="A9" s="7">
        <v>40330</v>
      </c>
      <c r="B9" s="10">
        <v>27921.206000000002</v>
      </c>
      <c r="C9" s="10">
        <v>5859</v>
      </c>
      <c r="D9" s="10">
        <v>11619</v>
      </c>
      <c r="E9" s="10">
        <v>7949.5540000000001</v>
      </c>
      <c r="F9" s="10">
        <v>786</v>
      </c>
      <c r="G9" s="10">
        <v>27</v>
      </c>
      <c r="H9" s="10">
        <v>31</v>
      </c>
      <c r="I9" s="10">
        <v>59</v>
      </c>
      <c r="J9" s="10">
        <v>22868</v>
      </c>
      <c r="K9" s="10">
        <v>3958.1140000000005</v>
      </c>
      <c r="L9" s="10">
        <v>2</v>
      </c>
      <c r="M9" s="10">
        <v>4089.5579999999995</v>
      </c>
      <c r="N9" s="12">
        <f t="shared" si="0"/>
        <v>85169.432000000015</v>
      </c>
      <c r="O9" s="11">
        <f t="shared" si="5"/>
        <v>1.6904244400601787E-2</v>
      </c>
      <c r="P9" s="6">
        <f t="shared" si="1"/>
        <v>85169.432000000015</v>
      </c>
      <c r="R9" s="10">
        <v>97.228772912987736</v>
      </c>
      <c r="S9" s="10">
        <v>105.57065217391303</v>
      </c>
      <c r="T9" s="10">
        <v>119.57244785891025</v>
      </c>
      <c r="U9" s="10">
        <v>103.23075685881167</v>
      </c>
      <c r="V9" s="10">
        <v>104.19893011553773</v>
      </c>
      <c r="W9" s="10">
        <v>104.19893011553773</v>
      </c>
      <c r="X9" s="10">
        <v>103.12188641647293</v>
      </c>
      <c r="Y9" s="10">
        <v>104.19893011553775</v>
      </c>
      <c r="Z9" s="10">
        <v>104.19893011553776</v>
      </c>
      <c r="AA9" s="10">
        <v>104.19893011553775</v>
      </c>
      <c r="AB9" s="10">
        <v>100</v>
      </c>
      <c r="AC9" s="10">
        <v>104.19893011553778</v>
      </c>
      <c r="AE9" s="83">
        <v>113197.87799999998</v>
      </c>
      <c r="AF9" s="28">
        <f t="shared" si="2"/>
        <v>11.636892698992479</v>
      </c>
      <c r="AG9" s="95">
        <v>9.7817153206062173</v>
      </c>
      <c r="AH9" s="87">
        <f t="shared" si="3"/>
        <v>1.8551773783862622</v>
      </c>
      <c r="AJ9" s="6">
        <f t="shared" si="4"/>
        <v>198367.31</v>
      </c>
    </row>
    <row r="10" spans="1:45" x14ac:dyDescent="0.25">
      <c r="A10" s="7">
        <v>40695</v>
      </c>
      <c r="B10" s="10">
        <v>29057.687999999998</v>
      </c>
      <c r="C10" s="10">
        <v>4402.0060000000003</v>
      </c>
      <c r="D10" s="10">
        <v>12897.454</v>
      </c>
      <c r="E10" s="10">
        <v>13537.755000000001</v>
      </c>
      <c r="F10" s="10">
        <v>1251</v>
      </c>
      <c r="G10" s="10">
        <v>4</v>
      </c>
      <c r="H10" s="10">
        <v>128</v>
      </c>
      <c r="I10" s="10">
        <v>143</v>
      </c>
      <c r="J10" s="10">
        <v>14366</v>
      </c>
      <c r="K10" s="10">
        <v>3594.41</v>
      </c>
      <c r="L10" s="10">
        <v>5</v>
      </c>
      <c r="M10" s="10">
        <v>4572.5789999999997</v>
      </c>
      <c r="N10" s="12">
        <f t="shared" si="0"/>
        <v>83958.891999999993</v>
      </c>
      <c r="O10" s="11">
        <f t="shared" si="5"/>
        <v>-1.4213315406401028E-2</v>
      </c>
      <c r="P10" s="6">
        <f t="shared" si="1"/>
        <v>83958.891999999993</v>
      </c>
      <c r="R10" s="10">
        <v>101.72343779718571</v>
      </c>
      <c r="S10" s="10">
        <v>101.63043478260869</v>
      </c>
      <c r="T10" s="10">
        <v>119.96274716151673</v>
      </c>
      <c r="U10" s="10">
        <v>107.47937404246925</v>
      </c>
      <c r="V10" s="10">
        <v>105.81597010185884</v>
      </c>
      <c r="W10" s="10">
        <v>105.81597010185884</v>
      </c>
      <c r="X10" s="10">
        <v>114.22561718144581</v>
      </c>
      <c r="Y10" s="10">
        <v>105.81597010185885</v>
      </c>
      <c r="Z10" s="10">
        <v>105.81597010185887</v>
      </c>
      <c r="AA10" s="10">
        <v>105.81597010185885</v>
      </c>
      <c r="AB10" s="10">
        <v>100</v>
      </c>
      <c r="AC10" s="10">
        <v>105.81597010185887</v>
      </c>
      <c r="AE10" s="83">
        <v>111642.63499999998</v>
      </c>
      <c r="AF10" s="28">
        <f t="shared" si="2"/>
        <v>11.623058290023099</v>
      </c>
      <c r="AG10" s="95">
        <v>9.8086822452622169</v>
      </c>
      <c r="AH10" s="87">
        <f t="shared" si="3"/>
        <v>1.8143760447608823</v>
      </c>
      <c r="AJ10" s="6">
        <f t="shared" si="4"/>
        <v>195601.52699999997</v>
      </c>
    </row>
    <row r="11" spans="1:45" x14ac:dyDescent="0.25">
      <c r="A11" s="7">
        <v>41061</v>
      </c>
      <c r="B11" s="10">
        <v>28703.412000000004</v>
      </c>
      <c r="C11" s="10">
        <v>4898</v>
      </c>
      <c r="D11" s="10">
        <v>10190</v>
      </c>
      <c r="E11" s="10">
        <v>11382.116</v>
      </c>
      <c r="F11" s="10">
        <v>984</v>
      </c>
      <c r="G11" s="10">
        <v>196</v>
      </c>
      <c r="H11" s="10">
        <v>92.41</v>
      </c>
      <c r="I11" s="10">
        <v>98</v>
      </c>
      <c r="J11" s="10">
        <v>11713</v>
      </c>
      <c r="K11" s="10">
        <v>2577.0990000000002</v>
      </c>
      <c r="L11" s="10">
        <v>6</v>
      </c>
      <c r="M11" s="10">
        <v>5202.2969999999996</v>
      </c>
      <c r="N11" s="12">
        <f t="shared" si="0"/>
        <v>76042.334000000017</v>
      </c>
      <c r="O11" s="11">
        <f t="shared" si="5"/>
        <v>-9.4290882256997555E-2</v>
      </c>
      <c r="P11" s="6">
        <f t="shared" si="1"/>
        <v>76042.334000000017</v>
      </c>
      <c r="R11" s="10">
        <v>112.86086196092646</v>
      </c>
      <c r="S11" s="10">
        <v>100.1358695652174</v>
      </c>
      <c r="T11" s="10">
        <v>125.33444095234709</v>
      </c>
      <c r="U11" s="10">
        <v>110.10891864517262</v>
      </c>
      <c r="V11" s="10">
        <v>107.43301008817996</v>
      </c>
      <c r="W11" s="10">
        <v>107.43301008817996</v>
      </c>
      <c r="X11" s="10">
        <v>123.31451345068083</v>
      </c>
      <c r="Y11" s="10">
        <v>107.43301008817997</v>
      </c>
      <c r="Z11" s="10">
        <v>107.43301008817998</v>
      </c>
      <c r="AA11" s="10">
        <v>107.43301008817997</v>
      </c>
      <c r="AB11" s="10">
        <v>100</v>
      </c>
      <c r="AC11" s="10">
        <v>107.43301008817998</v>
      </c>
      <c r="AE11" s="83">
        <v>112450.128</v>
      </c>
      <c r="AF11" s="28">
        <f t="shared" si="2"/>
        <v>11.630265095670495</v>
      </c>
      <c r="AG11" s="95">
        <v>9.8068665139317019</v>
      </c>
      <c r="AH11" s="87">
        <f t="shared" si="3"/>
        <v>1.8233985817387932</v>
      </c>
      <c r="AJ11" s="6">
        <f t="shared" si="4"/>
        <v>188492.462</v>
      </c>
    </row>
    <row r="12" spans="1:45" x14ac:dyDescent="0.25">
      <c r="A12" s="7">
        <v>41426</v>
      </c>
      <c r="B12" s="10">
        <v>32562.969000000001</v>
      </c>
      <c r="C12" s="10">
        <v>4465.0509999999995</v>
      </c>
      <c r="D12" s="10">
        <v>11698</v>
      </c>
      <c r="E12" s="10">
        <v>7869.86</v>
      </c>
      <c r="F12" s="10">
        <v>2184</v>
      </c>
      <c r="G12" s="10">
        <v>538</v>
      </c>
      <c r="H12" s="10">
        <v>117</v>
      </c>
      <c r="I12" s="10">
        <v>61</v>
      </c>
      <c r="J12" s="10">
        <v>6627</v>
      </c>
      <c r="K12" s="10">
        <v>1585</v>
      </c>
      <c r="L12" s="10">
        <v>3</v>
      </c>
      <c r="M12" s="10">
        <v>5984.0499999999993</v>
      </c>
      <c r="N12" s="12">
        <f t="shared" si="0"/>
        <v>73694.930000000008</v>
      </c>
      <c r="O12" s="11">
        <f t="shared" si="5"/>
        <v>-3.0869699501859138E-2</v>
      </c>
      <c r="P12" s="6">
        <f t="shared" si="1"/>
        <v>73694.930000000008</v>
      </c>
      <c r="R12" s="10">
        <v>121.12100694369886</v>
      </c>
      <c r="S12" s="10">
        <v>97.418478260869577</v>
      </c>
      <c r="T12" s="10">
        <v>134.15182241368672</v>
      </c>
      <c r="U12" s="10">
        <v>106.59592537693642</v>
      </c>
      <c r="V12" s="10">
        <v>104.27220987322602</v>
      </c>
      <c r="W12" s="10">
        <v>104.272209873226</v>
      </c>
      <c r="X12" s="10">
        <v>120.54688364884315</v>
      </c>
      <c r="Y12" s="10">
        <v>104.27220987322602</v>
      </c>
      <c r="Z12" s="10">
        <v>104.27220987322603</v>
      </c>
      <c r="AA12" s="10">
        <v>104.27220987322602</v>
      </c>
      <c r="AB12" s="10">
        <v>100</v>
      </c>
      <c r="AC12" s="10">
        <v>104.27220987322602</v>
      </c>
      <c r="AE12" s="83">
        <v>109274.81</v>
      </c>
      <c r="AF12" s="28">
        <f t="shared" si="2"/>
        <v>11.601621180997448</v>
      </c>
      <c r="AG12" s="95">
        <v>9.7987934814214626</v>
      </c>
      <c r="AH12" s="87">
        <f t="shared" si="3"/>
        <v>1.8028276995759853</v>
      </c>
      <c r="AJ12" s="6">
        <f t="shared" si="4"/>
        <v>182969.74</v>
      </c>
    </row>
    <row r="13" spans="1:45" x14ac:dyDescent="0.25">
      <c r="A13" s="7">
        <v>41791</v>
      </c>
      <c r="B13" s="10">
        <v>32611.363000000001</v>
      </c>
      <c r="C13" s="10">
        <v>3770</v>
      </c>
      <c r="D13" s="10">
        <v>11750</v>
      </c>
      <c r="E13" s="10">
        <v>7158.2659999999996</v>
      </c>
      <c r="F13" s="10">
        <v>522</v>
      </c>
      <c r="G13" s="10">
        <v>6</v>
      </c>
      <c r="H13" s="10">
        <v>199</v>
      </c>
      <c r="I13" s="10">
        <v>169</v>
      </c>
      <c r="J13" s="10">
        <v>5096</v>
      </c>
      <c r="K13" s="10">
        <v>1154</v>
      </c>
      <c r="L13" s="10">
        <v>2</v>
      </c>
      <c r="M13" s="10">
        <v>6036.6759999999995</v>
      </c>
      <c r="N13" s="12">
        <f t="shared" si="0"/>
        <v>68474.304999999993</v>
      </c>
      <c r="O13" s="11">
        <f t="shared" si="5"/>
        <v>-7.0841033433372114E-2</v>
      </c>
      <c r="P13" s="6">
        <f t="shared" si="1"/>
        <v>68474.304999999993</v>
      </c>
      <c r="R13" s="10">
        <v>124.13400562861331</v>
      </c>
      <c r="S13" s="10">
        <v>97.378124999999997</v>
      </c>
      <c r="T13" s="10">
        <v>144.62722196369018</v>
      </c>
      <c r="U13" s="10">
        <v>106.30140078066086</v>
      </c>
      <c r="V13" s="10">
        <v>102.93851828329954</v>
      </c>
      <c r="W13" s="10">
        <v>102.93851828329953</v>
      </c>
      <c r="X13" s="10">
        <v>118.22207461529946</v>
      </c>
      <c r="Y13" s="10">
        <v>102.93851828329954</v>
      </c>
      <c r="Z13" s="10">
        <v>102.93851828329956</v>
      </c>
      <c r="AA13" s="10">
        <v>102.93851828329953</v>
      </c>
      <c r="AB13" s="10">
        <v>100</v>
      </c>
      <c r="AC13" s="10">
        <v>102.93851828329956</v>
      </c>
      <c r="AE13" s="83">
        <v>114141.378</v>
      </c>
      <c r="AF13" s="28">
        <f t="shared" si="2"/>
        <v>11.645193116910761</v>
      </c>
      <c r="AG13" s="95">
        <v>9.8133987177544419</v>
      </c>
      <c r="AH13" s="87">
        <f t="shared" si="3"/>
        <v>1.831794399156319</v>
      </c>
      <c r="AJ13" s="6">
        <f t="shared" si="4"/>
        <v>182615.68299999999</v>
      </c>
    </row>
    <row r="14" spans="1:45" x14ac:dyDescent="0.25">
      <c r="A14" s="7">
        <v>42156</v>
      </c>
      <c r="B14" s="10">
        <v>36176.557000000001</v>
      </c>
      <c r="C14" s="10">
        <v>5166</v>
      </c>
      <c r="D14" s="10">
        <v>11862</v>
      </c>
      <c r="E14" s="10">
        <v>5995.0839999999998</v>
      </c>
      <c r="F14" s="10">
        <v>525</v>
      </c>
      <c r="G14" s="10">
        <v>1</v>
      </c>
      <c r="H14" s="10">
        <v>81.132000000000005</v>
      </c>
      <c r="I14" s="10">
        <v>148</v>
      </c>
      <c r="J14" s="10">
        <v>8033</v>
      </c>
      <c r="K14" s="10">
        <v>823</v>
      </c>
      <c r="L14" s="10">
        <v>2</v>
      </c>
      <c r="M14" s="10">
        <v>5466.1370000000006</v>
      </c>
      <c r="N14" s="12">
        <f t="shared" si="0"/>
        <v>74278.91</v>
      </c>
      <c r="O14" s="11">
        <f t="shared" si="5"/>
        <v>8.4770557364547416E-2</v>
      </c>
      <c r="P14" s="6">
        <f t="shared" si="1"/>
        <v>74278.91</v>
      </c>
      <c r="R14" s="10">
        <v>127.50911474485306</v>
      </c>
      <c r="S14" s="10">
        <v>101.2086956521739</v>
      </c>
      <c r="T14" s="10">
        <v>155.08900515656023</v>
      </c>
      <c r="U14" s="10">
        <v>104.41376420070327</v>
      </c>
      <c r="V14" s="10">
        <v>104.76318424973741</v>
      </c>
      <c r="W14" s="10">
        <v>104.76318424973739</v>
      </c>
      <c r="X14" s="10">
        <v>118.69810694121556</v>
      </c>
      <c r="Y14" s="10">
        <v>104.76318424973741</v>
      </c>
      <c r="Z14" s="10">
        <v>104.76318424973742</v>
      </c>
      <c r="AA14" s="10">
        <v>104.76318424973739</v>
      </c>
      <c r="AB14" s="10">
        <v>100</v>
      </c>
      <c r="AC14" s="10">
        <v>104.76318424973742</v>
      </c>
      <c r="AE14" s="83">
        <v>117397.591</v>
      </c>
      <c r="AF14" s="28">
        <f t="shared" si="2"/>
        <v>11.673321666574463</v>
      </c>
      <c r="AG14" s="95">
        <v>9.8214637170575365</v>
      </c>
      <c r="AH14" s="87">
        <f t="shared" si="3"/>
        <v>1.8518579495169263</v>
      </c>
      <c r="AJ14" s="6">
        <f t="shared" si="4"/>
        <v>191676.50099999999</v>
      </c>
    </row>
    <row r="15" spans="1:45" x14ac:dyDescent="0.25">
      <c r="A15" s="7">
        <v>42522</v>
      </c>
      <c r="B15" s="10">
        <v>37418.621999999996</v>
      </c>
      <c r="C15" s="10">
        <v>3843</v>
      </c>
      <c r="D15" s="10">
        <v>12326</v>
      </c>
      <c r="E15" s="10">
        <v>7942.89</v>
      </c>
      <c r="F15" s="10">
        <v>391</v>
      </c>
      <c r="G15" s="10">
        <v>10</v>
      </c>
      <c r="H15" s="10">
        <v>55</v>
      </c>
      <c r="I15" s="10">
        <v>88</v>
      </c>
      <c r="J15" s="10">
        <v>8141</v>
      </c>
      <c r="K15" s="10">
        <v>495</v>
      </c>
      <c r="L15" s="10">
        <v>2</v>
      </c>
      <c r="M15" s="10">
        <v>5336.4920000000002</v>
      </c>
      <c r="N15" s="12">
        <f t="shared" si="0"/>
        <v>76049.003999999986</v>
      </c>
      <c r="O15" s="11">
        <f t="shared" si="5"/>
        <v>2.3830371231887693E-2</v>
      </c>
      <c r="P15" s="6">
        <f t="shared" si="1"/>
        <v>76049.003999999986</v>
      </c>
      <c r="R15" s="10">
        <v>127.24925335620235</v>
      </c>
      <c r="S15" s="10">
        <v>98.7883152173913</v>
      </c>
      <c r="T15" s="10">
        <v>168.78637778404951</v>
      </c>
      <c r="U15" s="10">
        <v>109.73272175365003</v>
      </c>
      <c r="V15" s="10">
        <v>108.03878941840296</v>
      </c>
      <c r="W15" s="10">
        <v>108.03878941840296</v>
      </c>
      <c r="X15" s="10">
        <v>116.12974648511018</v>
      </c>
      <c r="Y15" s="10">
        <v>108.03878941840297</v>
      </c>
      <c r="Z15" s="10">
        <v>108.03878941840298</v>
      </c>
      <c r="AA15" s="10">
        <v>108.03878941840296</v>
      </c>
      <c r="AB15" s="10">
        <v>100</v>
      </c>
      <c r="AC15" s="10">
        <v>108.03878941840298</v>
      </c>
      <c r="AE15" s="83">
        <v>119247.33200000002</v>
      </c>
      <c r="AF15" s="28">
        <f t="shared" si="2"/>
        <v>11.688955035334686</v>
      </c>
      <c r="AG15" s="95">
        <v>9.8544023448456368</v>
      </c>
      <c r="AH15" s="87">
        <f t="shared" si="3"/>
        <v>1.8345526904890495</v>
      </c>
      <c r="AJ15" s="6">
        <f t="shared" si="4"/>
        <v>195296.33600000001</v>
      </c>
    </row>
    <row r="16" spans="1:45" x14ac:dyDescent="0.25">
      <c r="A16" s="7">
        <v>42887</v>
      </c>
      <c r="B16" s="10">
        <v>36549.131999999998</v>
      </c>
      <c r="C16" s="10">
        <v>3241.2130000000002</v>
      </c>
      <c r="D16" s="10">
        <v>11649.147000000001</v>
      </c>
      <c r="E16" s="10">
        <v>7754.8029999999999</v>
      </c>
      <c r="F16" s="10">
        <v>504</v>
      </c>
      <c r="G16" s="10">
        <v>1</v>
      </c>
      <c r="H16" s="10">
        <v>25</v>
      </c>
      <c r="I16" s="10">
        <v>47</v>
      </c>
      <c r="J16" s="10">
        <v>8728.3029999999999</v>
      </c>
      <c r="K16" s="10">
        <v>514</v>
      </c>
      <c r="L16" s="10">
        <v>2</v>
      </c>
      <c r="M16" s="10">
        <v>5271.2460000000001</v>
      </c>
      <c r="N16" s="12">
        <f t="shared" si="0"/>
        <v>74286.843999999997</v>
      </c>
      <c r="O16" s="11">
        <f t="shared" si="5"/>
        <v>-2.3171375130698446E-2</v>
      </c>
      <c r="P16" s="40">
        <f t="shared" si="1"/>
        <v>74286.843999999997</v>
      </c>
      <c r="R16" s="10">
        <v>134.84517242479058</v>
      </c>
      <c r="S16" s="10">
        <v>106.80760869565218</v>
      </c>
      <c r="T16" s="10">
        <v>176.02616909177206</v>
      </c>
      <c r="U16" s="10">
        <v>106.47119743487335</v>
      </c>
      <c r="V16" s="10">
        <v>107.74078507047066</v>
      </c>
      <c r="W16" s="10">
        <v>107.74078507047066</v>
      </c>
      <c r="X16" s="10">
        <v>109.9745378058231</v>
      </c>
      <c r="Y16" s="10">
        <v>107.74078507047068</v>
      </c>
      <c r="Z16" s="10">
        <v>107.74078507047069</v>
      </c>
      <c r="AA16" s="10">
        <v>107.74078507047066</v>
      </c>
      <c r="AB16" s="10">
        <v>100</v>
      </c>
      <c r="AC16" s="10">
        <v>107.74078507047069</v>
      </c>
      <c r="AE16" s="83">
        <v>115984.01300000001</v>
      </c>
      <c r="AF16" s="28">
        <f t="shared" si="2"/>
        <v>11.661207641625078</v>
      </c>
      <c r="AG16" s="95">
        <v>9.8597968639113951</v>
      </c>
      <c r="AH16" s="87">
        <f t="shared" si="3"/>
        <v>1.8014107777136825</v>
      </c>
      <c r="AJ16" s="14">
        <v>195296.33600000001</v>
      </c>
    </row>
    <row r="17" spans="1:36" x14ac:dyDescent="0.25">
      <c r="A17" s="7">
        <v>43252</v>
      </c>
      <c r="B17" s="10">
        <v>43561.159999999996</v>
      </c>
      <c r="C17" s="10">
        <v>2706.8519999999999</v>
      </c>
      <c r="D17" s="10">
        <v>11689</v>
      </c>
      <c r="E17" s="10">
        <v>7194.0159999999996</v>
      </c>
      <c r="F17" s="10">
        <v>432</v>
      </c>
      <c r="G17" s="10">
        <v>2</v>
      </c>
      <c r="H17" s="10">
        <v>18</v>
      </c>
      <c r="I17" s="10">
        <v>50</v>
      </c>
      <c r="J17" s="10">
        <v>8092</v>
      </c>
      <c r="K17" s="10">
        <v>778</v>
      </c>
      <c r="L17" s="10">
        <v>1</v>
      </c>
      <c r="M17" s="10">
        <v>1919.4259999999999</v>
      </c>
      <c r="N17" s="12">
        <f t="shared" si="0"/>
        <v>76443.453999999998</v>
      </c>
      <c r="O17" s="11">
        <f t="shared" si="5"/>
        <v>2.9030846969350321E-2</v>
      </c>
      <c r="P17" s="40">
        <f t="shared" si="1"/>
        <v>76443.453999999998</v>
      </c>
      <c r="R17" s="10">
        <v>133.94716604470355</v>
      </c>
      <c r="S17" s="10">
        <v>116.84782608695652</v>
      </c>
      <c r="T17" s="10">
        <v>186.63394930788536</v>
      </c>
      <c r="U17" s="10">
        <v>106.22575386755391</v>
      </c>
      <c r="V17" s="10">
        <v>109.86310657319423</v>
      </c>
      <c r="W17" s="10">
        <v>109.86310657319423</v>
      </c>
      <c r="X17" s="10">
        <v>119.14092770950958</v>
      </c>
      <c r="Y17" s="10">
        <v>109.86310657319424</v>
      </c>
      <c r="Z17" s="10">
        <v>109.86310657319426</v>
      </c>
      <c r="AA17" s="10">
        <v>109.86310657319423</v>
      </c>
      <c r="AB17" s="10">
        <v>100</v>
      </c>
      <c r="AC17" s="10">
        <v>109.86310657319426</v>
      </c>
      <c r="AE17" s="83">
        <v>122383.32399999999</v>
      </c>
      <c r="AF17" s="28">
        <f t="shared" si="2"/>
        <v>11.714913397948536</v>
      </c>
      <c r="AG17" s="95">
        <v>9.8983242455792482</v>
      </c>
      <c r="AH17" s="87">
        <f t="shared" si="3"/>
        <v>1.8165891523692874</v>
      </c>
      <c r="AJ17" s="14">
        <f>AE17+P17</f>
        <v>198826.77799999999</v>
      </c>
    </row>
    <row r="18" spans="1:36" s="13" customFormat="1" ht="15.75" thickBot="1" x14ac:dyDescent="0.3">
      <c r="A18" s="7">
        <v>43617</v>
      </c>
      <c r="B18" s="15">
        <v>42461.48599999999</v>
      </c>
      <c r="C18" s="15">
        <v>2052.114</v>
      </c>
      <c r="D18" s="15">
        <v>11226</v>
      </c>
      <c r="E18" s="15">
        <v>11810.687999999998</v>
      </c>
      <c r="F18" s="15">
        <v>624</v>
      </c>
      <c r="G18" s="15">
        <v>224</v>
      </c>
      <c r="H18" s="15">
        <v>635.6049999999999</v>
      </c>
      <c r="I18" s="15">
        <v>34</v>
      </c>
      <c r="J18" s="15">
        <v>7475</v>
      </c>
      <c r="K18" s="15">
        <v>520</v>
      </c>
      <c r="L18" s="15">
        <v>0</v>
      </c>
      <c r="M18" s="15">
        <v>1787.4749999999999</v>
      </c>
      <c r="N18" s="17">
        <f t="shared" si="0"/>
        <v>78850.367999999988</v>
      </c>
      <c r="O18" s="16">
        <f>N18/N17-1</f>
        <v>3.1486201552326287E-2</v>
      </c>
      <c r="P18" s="55">
        <f t="shared" si="1"/>
        <v>78850.367999999988</v>
      </c>
      <c r="R18" s="15">
        <v>144.00055065782487</v>
      </c>
      <c r="S18" s="15">
        <v>116.93939961837262</v>
      </c>
      <c r="T18" s="15">
        <v>202.71582247675224</v>
      </c>
      <c r="U18" s="15">
        <v>112.48436877047389</v>
      </c>
      <c r="V18" s="15">
        <v>115.36615082830551</v>
      </c>
      <c r="W18" s="15">
        <v>115.36615082830551</v>
      </c>
      <c r="X18" s="15">
        <v>129.86361120336545</v>
      </c>
      <c r="Y18" s="15">
        <v>115.36615082830552</v>
      </c>
      <c r="Z18" s="15">
        <v>107.74643907375133</v>
      </c>
      <c r="AA18" s="15">
        <v>115.22549524132312</v>
      </c>
      <c r="AB18" s="15">
        <v>0</v>
      </c>
      <c r="AC18" s="15">
        <v>115.36615082830551</v>
      </c>
      <c r="AE18" s="83">
        <v>123340.08899999999</v>
      </c>
      <c r="AF18" s="29">
        <f>AG18+AH18</f>
        <v>11.85857614123649</v>
      </c>
      <c r="AG18" s="96">
        <v>9.8938565673877488</v>
      </c>
      <c r="AH18" s="88">
        <v>1.9647195738487406</v>
      </c>
      <c r="AJ18" s="6">
        <f>AE18+P18</f>
        <v>202190.45699999999</v>
      </c>
    </row>
    <row r="19" spans="1:36" x14ac:dyDescent="0.25">
      <c r="A19" s="7">
        <v>43983</v>
      </c>
      <c r="B19" s="12">
        <f>R19/R18*B18</f>
        <v>40288.710409999992</v>
      </c>
      <c r="C19" s="12">
        <f t="shared" ref="C19:C20" si="6">S19/S18*C18</f>
        <v>2228.4236799999999</v>
      </c>
      <c r="D19" s="12">
        <f t="shared" ref="D19:D20" si="7">T19/T18*D18</f>
        <v>11246.179999999998</v>
      </c>
      <c r="E19" s="12">
        <f t="shared" ref="E19:E20" si="8">U19/U18*E18</f>
        <v>12479.3992</v>
      </c>
      <c r="F19" s="12">
        <f t="shared" ref="F19:F20" si="9">V19/V18*F18</f>
        <v>646.99</v>
      </c>
      <c r="G19" s="12">
        <f t="shared" ref="G19:G20" si="10">W19/W18*G18</f>
        <v>329.8</v>
      </c>
      <c r="H19" s="12">
        <f t="shared" ref="H19:H20" si="11">X19/X18*H18</f>
        <v>712.01006999999993</v>
      </c>
      <c r="I19" s="12">
        <f t="shared" ref="I19:I20" si="12">Y19/Y18*I18</f>
        <v>19.399999999999999</v>
      </c>
      <c r="J19" s="12">
        <f t="shared" ref="J19:J20" si="13">Z19/Z18*J18</f>
        <v>6494.15</v>
      </c>
      <c r="K19" s="12">
        <f t="shared" ref="K19:K20" si="14">AA19/AA18*K18</f>
        <v>328.83</v>
      </c>
      <c r="L19" s="12">
        <v>0</v>
      </c>
      <c r="M19" s="12">
        <f t="shared" ref="M19:M20" si="15">AC19/AC18*M18</f>
        <v>1442.3899999999999</v>
      </c>
      <c r="N19" s="12">
        <f t="shared" si="0"/>
        <v>76216.283359999987</v>
      </c>
      <c r="O19" s="11">
        <f t="shared" si="5"/>
        <v>-3.3406117267582025E-2</v>
      </c>
      <c r="P19" s="6">
        <f t="shared" si="1"/>
        <v>76216.283359999987</v>
      </c>
      <c r="R19" s="10">
        <v>136.63197007126982</v>
      </c>
      <c r="S19" s="10">
        <v>126.98637952597394</v>
      </c>
      <c r="T19" s="10">
        <v>203.08022701065394</v>
      </c>
      <c r="U19" s="10">
        <v>118.85313892355441</v>
      </c>
      <c r="V19" s="10">
        <v>119.61658000705989</v>
      </c>
      <c r="W19" s="10">
        <v>169.85605599631765</v>
      </c>
      <c r="X19" s="10">
        <v>145.47431015073988</v>
      </c>
      <c r="Y19" s="10">
        <v>65.826568413797858</v>
      </c>
      <c r="Z19" s="10">
        <v>93.608232416160831</v>
      </c>
      <c r="AA19" s="10">
        <v>72.864614615777455</v>
      </c>
      <c r="AB19" s="10">
        <v>0</v>
      </c>
      <c r="AC19" s="10">
        <v>93.093879519008425</v>
      </c>
      <c r="AE19" s="84">
        <f>EXP(AF19)</f>
        <v>109647.46850151614</v>
      </c>
      <c r="AF19" s="85">
        <f>SUM(AG19:AH19)</f>
        <v>11.605025666498047</v>
      </c>
      <c r="AG19" s="95">
        <v>9.6403060926493076</v>
      </c>
      <c r="AH19" s="57">
        <v>1.9647195738487406</v>
      </c>
      <c r="AJ19" s="58">
        <f>AE19+P19</f>
        <v>185863.75186151612</v>
      </c>
    </row>
    <row r="20" spans="1:36" x14ac:dyDescent="0.25">
      <c r="A20" s="7">
        <v>44348</v>
      </c>
      <c r="B20" s="12">
        <f t="shared" ref="B20" si="16">R20/R19*B19</f>
        <v>42697.466249215293</v>
      </c>
      <c r="C20" s="12">
        <f t="shared" si="6"/>
        <v>2324.1195710955708</v>
      </c>
      <c r="D20" s="12">
        <f t="shared" si="7"/>
        <v>11959.1975</v>
      </c>
      <c r="E20" s="12">
        <f t="shared" si="8"/>
        <v>13487.341098542833</v>
      </c>
      <c r="F20" s="12">
        <f t="shared" si="9"/>
        <v>703.26676671389998</v>
      </c>
      <c r="G20" s="12">
        <f t="shared" si="10"/>
        <v>358.48680762027874</v>
      </c>
      <c r="H20" s="12">
        <f t="shared" si="11"/>
        <v>786.88123199999995</v>
      </c>
      <c r="I20" s="12">
        <f t="shared" si="12"/>
        <v>21.087459271781107</v>
      </c>
      <c r="J20" s="12">
        <f t="shared" si="13"/>
        <v>7059.0269912287249</v>
      </c>
      <c r="K20" s="12">
        <f t="shared" si="14"/>
        <v>357.43243465668974</v>
      </c>
      <c r="L20" s="12">
        <v>0</v>
      </c>
      <c r="M20" s="12">
        <f t="shared" si="15"/>
        <v>1567.8525968569252</v>
      </c>
      <c r="N20" s="12">
        <f t="shared" ref="N20" si="17">SUM(B20:M20)</f>
        <v>81322.158707202005</v>
      </c>
      <c r="O20" s="11">
        <f t="shared" ref="O20" si="18">N20/N19-1</f>
        <v>6.6991922488333966E-2</v>
      </c>
      <c r="P20" s="6">
        <f t="shared" si="1"/>
        <v>81322.158707202005</v>
      </c>
      <c r="R20" s="10">
        <v>144.80083555203171</v>
      </c>
      <c r="S20" s="10">
        <v>132.43959511275969</v>
      </c>
      <c r="T20" s="10">
        <v>215.95568834619806</v>
      </c>
      <c r="U20" s="10">
        <v>128.45272433423528</v>
      </c>
      <c r="V20" s="10">
        <v>130.02112160456812</v>
      </c>
      <c r="W20" s="10">
        <v>184.63054963338757</v>
      </c>
      <c r="X20" s="10">
        <v>160.77160874391049</v>
      </c>
      <c r="Y20" s="10">
        <v>71.552323733354385</v>
      </c>
      <c r="Z20" s="10">
        <v>101.75050456593874</v>
      </c>
      <c r="AA20" s="10">
        <v>79.202556343517188</v>
      </c>
      <c r="AB20" s="10">
        <v>0</v>
      </c>
      <c r="AC20" s="10">
        <v>101.19141200047359</v>
      </c>
      <c r="AE20" s="69">
        <f>EXP(AF20)</f>
        <v>107052.43218258406</v>
      </c>
      <c r="AF20" s="85">
        <f>SUM(AG20:AH20)</f>
        <v>11.581074013821237</v>
      </c>
      <c r="AG20" s="95">
        <v>9.6163544399724969</v>
      </c>
      <c r="AH20" s="57">
        <v>1.9647195738487406</v>
      </c>
      <c r="AJ20" s="6">
        <f>AE20+P20</f>
        <v>188374.59088978608</v>
      </c>
    </row>
    <row r="21" spans="1:36" x14ac:dyDescent="0.25">
      <c r="P21"/>
      <c r="AF21" s="4"/>
      <c r="AG21" s="4"/>
    </row>
    <row r="22" spans="1:36" x14ac:dyDescent="0.25">
      <c r="P22"/>
    </row>
    <row r="23" spans="1:36" x14ac:dyDescent="0.25">
      <c r="P23"/>
    </row>
    <row r="24" spans="1:36" x14ac:dyDescent="0.25">
      <c r="P24"/>
    </row>
    <row r="25" spans="1:36" x14ac:dyDescent="0.25">
      <c r="P25"/>
    </row>
    <row r="26" spans="1:36" x14ac:dyDescent="0.25">
      <c r="P26"/>
    </row>
    <row r="27" spans="1:36" x14ac:dyDescent="0.25">
      <c r="P27"/>
    </row>
    <row r="28" spans="1:36" x14ac:dyDescent="0.25">
      <c r="P28"/>
    </row>
  </sheetData>
  <mergeCells count="3">
    <mergeCell ref="B1:P1"/>
    <mergeCell ref="R1:AC1"/>
    <mergeCell ref="AE1:A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70" zoomScaleNormal="70" workbookViewId="0"/>
  </sheetViews>
  <sheetFormatPr defaultRowHeight="15" x14ac:dyDescent="0.25"/>
  <cols>
    <col min="2" max="2" width="15.7109375" style="24" customWidth="1"/>
    <col min="3" max="3" width="15.7109375" customWidth="1"/>
    <col min="5" max="6" width="15.7109375" customWidth="1"/>
    <col min="8" max="8" width="15" customWidth="1"/>
  </cols>
  <sheetData>
    <row r="1" spans="1:11" x14ac:dyDescent="0.25">
      <c r="B1" s="113" t="s">
        <v>106</v>
      </c>
      <c r="C1" s="113"/>
      <c r="E1" s="113" t="s">
        <v>107</v>
      </c>
      <c r="F1" s="113"/>
    </row>
    <row r="2" spans="1:11" ht="45" x14ac:dyDescent="0.25">
      <c r="B2" s="27" t="s">
        <v>40</v>
      </c>
      <c r="C2" s="27" t="s">
        <v>39</v>
      </c>
      <c r="E2" s="27" t="s">
        <v>44</v>
      </c>
      <c r="F2" s="27" t="s">
        <v>41</v>
      </c>
      <c r="G2" s="27"/>
      <c r="H2" s="27" t="s">
        <v>77</v>
      </c>
    </row>
    <row r="3" spans="1:11" x14ac:dyDescent="0.25">
      <c r="B3"/>
    </row>
    <row r="4" spans="1:11" x14ac:dyDescent="0.25">
      <c r="B4"/>
    </row>
    <row r="5" spans="1:11" x14ac:dyDescent="0.25">
      <c r="A5" s="7">
        <v>38869</v>
      </c>
      <c r="B5" s="90">
        <v>1196667.0639999998</v>
      </c>
      <c r="C5" s="90">
        <v>934859.25300000003</v>
      </c>
      <c r="E5" s="90">
        <v>1174690.8800000006</v>
      </c>
      <c r="F5" s="90">
        <v>2070457.8390000002</v>
      </c>
      <c r="H5" s="4">
        <f t="shared" ref="H5:H20" si="0">SUM(B5:C5,E5:F5)</f>
        <v>5376675.0360000003</v>
      </c>
    </row>
    <row r="6" spans="1:11" x14ac:dyDescent="0.25">
      <c r="A6" s="7">
        <v>39234</v>
      </c>
      <c r="B6" s="90">
        <v>1368908.5090000001</v>
      </c>
      <c r="C6" s="90">
        <v>1148232.9879999999</v>
      </c>
      <c r="E6" s="90">
        <v>1216858.2650000004</v>
      </c>
      <c r="F6" s="90">
        <v>1897983.9599999995</v>
      </c>
      <c r="H6" s="4">
        <f t="shared" si="0"/>
        <v>5631983.7219999991</v>
      </c>
    </row>
    <row r="7" spans="1:11" x14ac:dyDescent="0.25">
      <c r="A7" s="7">
        <v>39600</v>
      </c>
      <c r="B7" s="90">
        <v>1661415.828</v>
      </c>
      <c r="C7" s="90">
        <v>1366317.3159999999</v>
      </c>
      <c r="E7" s="90">
        <v>1200475.6089999995</v>
      </c>
      <c r="F7" s="90">
        <v>2103183.6650000005</v>
      </c>
      <c r="H7" s="4">
        <f t="shared" si="0"/>
        <v>6331392.4179999996</v>
      </c>
    </row>
    <row r="8" spans="1:11" x14ac:dyDescent="0.25">
      <c r="A8" s="7">
        <v>39965</v>
      </c>
      <c r="B8" s="90">
        <v>1694021.304</v>
      </c>
      <c r="C8" s="90">
        <v>1373978.2590000001</v>
      </c>
      <c r="E8" s="90">
        <v>1337235.2959999996</v>
      </c>
      <c r="F8" s="90">
        <v>1913159.3929999999</v>
      </c>
      <c r="H8" s="4">
        <f t="shared" si="0"/>
        <v>6318394.2519999994</v>
      </c>
    </row>
    <row r="9" spans="1:11" x14ac:dyDescent="0.25">
      <c r="A9" s="7">
        <v>40330</v>
      </c>
      <c r="B9" s="90">
        <v>1749748.5739999998</v>
      </c>
      <c r="C9" s="90">
        <v>1471189.584</v>
      </c>
      <c r="E9" s="90">
        <v>1116469.655</v>
      </c>
      <c r="F9" s="90">
        <v>1830932.5010000004</v>
      </c>
      <c r="H9" s="4">
        <f t="shared" si="0"/>
        <v>6168340.3140000002</v>
      </c>
    </row>
    <row r="10" spans="1:11" x14ac:dyDescent="0.25">
      <c r="A10" s="7">
        <v>40695</v>
      </c>
      <c r="B10" s="90">
        <v>1821316.5260000001</v>
      </c>
      <c r="C10" s="90">
        <v>1539613.5530000001</v>
      </c>
      <c r="E10" s="90">
        <v>1255150.1870000002</v>
      </c>
      <c r="F10" s="90">
        <v>1890389.9230000007</v>
      </c>
      <c r="H10" s="4">
        <f t="shared" si="0"/>
        <v>6506470.1890000002</v>
      </c>
    </row>
    <row r="11" spans="1:11" x14ac:dyDescent="0.25">
      <c r="A11" s="7">
        <v>41061</v>
      </c>
      <c r="B11" s="90">
        <v>1881188.3689999995</v>
      </c>
      <c r="C11" s="90">
        <v>1617832.0350000001</v>
      </c>
      <c r="E11" s="90">
        <v>1187042.1840000001</v>
      </c>
      <c r="F11" s="90">
        <v>2033634.426</v>
      </c>
      <c r="H11" s="4">
        <f t="shared" si="0"/>
        <v>6719697.0139999995</v>
      </c>
    </row>
    <row r="12" spans="1:11" x14ac:dyDescent="0.25">
      <c r="A12" s="7">
        <v>41426</v>
      </c>
      <c r="B12" s="90">
        <v>1832653.1310000003</v>
      </c>
      <c r="C12" s="90">
        <v>1624902.7109999999</v>
      </c>
      <c r="E12" s="90">
        <v>1072551.8560000004</v>
      </c>
      <c r="F12" s="90">
        <v>1989736.4129999999</v>
      </c>
      <c r="H12" s="4">
        <f t="shared" si="0"/>
        <v>6519844.1110000005</v>
      </c>
    </row>
    <row r="13" spans="1:11" x14ac:dyDescent="0.25">
      <c r="A13" s="7">
        <v>41791</v>
      </c>
      <c r="B13" s="90">
        <v>1995652.59</v>
      </c>
      <c r="C13" s="90">
        <v>1603240.675</v>
      </c>
      <c r="E13" s="90">
        <v>1087715.2030000002</v>
      </c>
      <c r="F13" s="90">
        <v>1528507.6020000002</v>
      </c>
      <c r="H13" s="4">
        <f t="shared" si="0"/>
        <v>6215116.0700000003</v>
      </c>
    </row>
    <row r="14" spans="1:11" x14ac:dyDescent="0.25">
      <c r="A14" s="7">
        <v>42156</v>
      </c>
      <c r="B14" s="90">
        <v>2049236.1950000001</v>
      </c>
      <c r="C14" s="90">
        <v>1796085.4320000003</v>
      </c>
      <c r="E14" s="90">
        <v>1094959.9440000001</v>
      </c>
      <c r="F14" s="90">
        <v>1566380.3439999998</v>
      </c>
      <c r="H14" s="4">
        <f t="shared" si="0"/>
        <v>6506661.915</v>
      </c>
    </row>
    <row r="15" spans="1:11" x14ac:dyDescent="0.25">
      <c r="A15" s="7">
        <v>42522</v>
      </c>
      <c r="B15" s="90">
        <v>2152191.1409999998</v>
      </c>
      <c r="C15" s="90">
        <v>1836746.8880000003</v>
      </c>
      <c r="E15" s="90">
        <v>1119884.2699999996</v>
      </c>
      <c r="F15" s="90">
        <v>1712731.2669999988</v>
      </c>
      <c r="H15" s="4">
        <f t="shared" si="0"/>
        <v>6821553.5659999987</v>
      </c>
    </row>
    <row r="16" spans="1:11" x14ac:dyDescent="0.25">
      <c r="A16" s="7">
        <v>42887</v>
      </c>
      <c r="B16" s="90">
        <v>1051338.2339999999</v>
      </c>
      <c r="C16" s="90">
        <v>846840.48300000001</v>
      </c>
      <c r="E16" s="90">
        <v>74168.917000000074</v>
      </c>
      <c r="F16" s="90">
        <v>720223.79399999895</v>
      </c>
      <c r="H16" s="4">
        <f t="shared" si="0"/>
        <v>2692571.4279999989</v>
      </c>
      <c r="K16" s="4"/>
    </row>
    <row r="17" spans="1:11" x14ac:dyDescent="0.25">
      <c r="A17" s="7">
        <v>43252</v>
      </c>
      <c r="B17" s="90">
        <v>1318908.1299999999</v>
      </c>
      <c r="C17" s="90">
        <v>1011595.82</v>
      </c>
      <c r="E17" s="90">
        <v>153226.95399999997</v>
      </c>
      <c r="F17" s="90">
        <v>919374.65600000042</v>
      </c>
      <c r="H17" s="4">
        <f t="shared" si="0"/>
        <v>3403105.56</v>
      </c>
      <c r="K17" s="4"/>
    </row>
    <row r="18" spans="1:11" ht="15.75" thickBot="1" x14ac:dyDescent="0.3">
      <c r="A18" s="7">
        <v>43617</v>
      </c>
      <c r="B18" s="90">
        <v>1415046.5890000002</v>
      </c>
      <c r="C18" s="90">
        <v>1179945.2440000002</v>
      </c>
      <c r="D18" s="13"/>
      <c r="E18" s="90">
        <v>148710.20900000021</v>
      </c>
      <c r="F18" s="90">
        <v>947862.93400000071</v>
      </c>
      <c r="G18" s="13"/>
      <c r="H18" s="4">
        <f t="shared" si="0"/>
        <v>3691564.9760000017</v>
      </c>
      <c r="K18" s="4"/>
    </row>
    <row r="19" spans="1:11" x14ac:dyDescent="0.25">
      <c r="A19" s="7">
        <v>43983</v>
      </c>
      <c r="B19" s="89">
        <v>1121635.7847707851</v>
      </c>
      <c r="C19" s="89">
        <v>936939.52732417861</v>
      </c>
      <c r="E19" s="62">
        <v>156766.45498722306</v>
      </c>
      <c r="F19" s="62">
        <v>803899.39829075104</v>
      </c>
      <c r="H19" s="56">
        <f t="shared" si="0"/>
        <v>3019241.1653729379</v>
      </c>
      <c r="K19" s="4"/>
    </row>
    <row r="20" spans="1:11" x14ac:dyDescent="0.25">
      <c r="A20" s="7">
        <v>44348</v>
      </c>
      <c r="B20" s="72">
        <v>1149661.3356572334</v>
      </c>
      <c r="C20" s="72">
        <v>972230.11616623786</v>
      </c>
      <c r="E20" s="39">
        <v>156766.45498722306</v>
      </c>
      <c r="F20" s="39">
        <v>803899.39829075045</v>
      </c>
      <c r="H20" s="4">
        <f t="shared" si="0"/>
        <v>3082557.3051014449</v>
      </c>
    </row>
    <row r="22" spans="1:11" x14ac:dyDescent="0.25">
      <c r="E22" s="4"/>
      <c r="F22" s="4"/>
    </row>
  </sheetData>
  <mergeCells count="2">
    <mergeCell ref="B1:C1"/>
    <mergeCell ref="E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5" zoomScaleNormal="85" workbookViewId="0">
      <pane xSplit="1" ySplit="2" topLeftCell="B3" activePane="bottomRight" state="frozen"/>
      <selection pane="topRight"/>
      <selection pane="bottomLeft"/>
      <selection pane="bottomRight" activeCell="M27" sqref="M27:M28"/>
    </sheetView>
  </sheetViews>
  <sheetFormatPr defaultRowHeight="15" x14ac:dyDescent="0.25"/>
  <cols>
    <col min="2" max="2" width="18.28515625" style="24" customWidth="1"/>
    <col min="3" max="4" width="18.28515625" customWidth="1"/>
    <col min="5" max="5" width="18.28515625" style="24" customWidth="1"/>
    <col min="6" max="14" width="18.28515625" customWidth="1"/>
    <col min="15" max="15" width="10.5703125" bestFit="1" customWidth="1"/>
  </cols>
  <sheetData>
    <row r="1" spans="1:16" x14ac:dyDescent="0.25">
      <c r="B1" s="113" t="s">
        <v>100</v>
      </c>
      <c r="C1" s="113"/>
      <c r="E1" s="113" t="s">
        <v>101</v>
      </c>
      <c r="F1" s="113"/>
      <c r="J1" s="113" t="s">
        <v>102</v>
      </c>
      <c r="K1" s="113"/>
      <c r="M1" s="113" t="s">
        <v>103</v>
      </c>
      <c r="N1" s="113"/>
    </row>
    <row r="2" spans="1:16" ht="48.75" customHeight="1" x14ac:dyDescent="0.25">
      <c r="B2" s="27" t="s">
        <v>71</v>
      </c>
      <c r="C2" s="27" t="s">
        <v>70</v>
      </c>
      <c r="E2" s="27" t="s">
        <v>74</v>
      </c>
      <c r="F2" s="27" t="s">
        <v>73</v>
      </c>
      <c r="H2" s="27" t="s">
        <v>45</v>
      </c>
      <c r="J2" s="27" t="s">
        <v>71</v>
      </c>
      <c r="K2" s="27" t="s">
        <v>70</v>
      </c>
      <c r="M2" s="27" t="s">
        <v>74</v>
      </c>
      <c r="N2" s="27" t="s">
        <v>73</v>
      </c>
      <c r="P2" s="27" t="s">
        <v>45</v>
      </c>
    </row>
    <row r="3" spans="1:16" x14ac:dyDescent="0.25">
      <c r="H3" s="24"/>
      <c r="J3" s="24"/>
      <c r="M3" s="24"/>
      <c r="P3" s="24"/>
    </row>
    <row r="4" spans="1:16" x14ac:dyDescent="0.25">
      <c r="H4" s="24"/>
      <c r="J4" s="24"/>
      <c r="M4" s="24"/>
      <c r="P4" s="24"/>
    </row>
    <row r="5" spans="1:16" x14ac:dyDescent="0.25">
      <c r="A5" s="7">
        <v>38869</v>
      </c>
      <c r="B5" s="4">
        <f>Full_in!H6</f>
        <v>733029.60199999984</v>
      </c>
      <c r="C5" s="90">
        <v>59032.659999999996</v>
      </c>
      <c r="E5" s="4">
        <f>Full_out!P5</f>
        <v>511379.05800000008</v>
      </c>
      <c r="F5" s="90">
        <v>229516.72999999998</v>
      </c>
      <c r="H5" s="6">
        <f t="shared" ref="H5:H15" si="0">F5+C5</f>
        <v>288549.38999999996</v>
      </c>
      <c r="J5" s="4">
        <f>'Bass Strait'!P5</f>
        <v>85687.328000000009</v>
      </c>
      <c r="K5" s="90">
        <v>44296.915999999997</v>
      </c>
      <c r="M5" s="4">
        <f>'Bass Strait'!AE5</f>
        <v>105867.177</v>
      </c>
      <c r="N5" s="90">
        <v>41185.290000000008</v>
      </c>
      <c r="P5" s="6">
        <f t="shared" ref="P5:P15" si="1">N5+K5</f>
        <v>85482.206000000006</v>
      </c>
    </row>
    <row r="6" spans="1:16" x14ac:dyDescent="0.25">
      <c r="A6" s="7">
        <v>39234</v>
      </c>
      <c r="B6" s="4">
        <f>Full_in!H7</f>
        <v>802321.78699999989</v>
      </c>
      <c r="C6" s="90">
        <v>56205.540999999997</v>
      </c>
      <c r="E6" s="4">
        <f>Full_out!P6</f>
        <v>529062.17500000005</v>
      </c>
      <c r="F6" s="90">
        <v>293654.75200000004</v>
      </c>
      <c r="H6" s="6">
        <f t="shared" si="0"/>
        <v>349860.29300000006</v>
      </c>
      <c r="J6" s="4">
        <f>'Bass Strait'!P6</f>
        <v>81326.712</v>
      </c>
      <c r="K6" s="90">
        <v>43976.185000000005</v>
      </c>
      <c r="M6" s="4">
        <f>'Bass Strait'!AE6</f>
        <v>108265.91699999999</v>
      </c>
      <c r="N6" s="90">
        <v>37346.263999999996</v>
      </c>
      <c r="P6" s="6">
        <f t="shared" si="1"/>
        <v>81322.448999999993</v>
      </c>
    </row>
    <row r="7" spans="1:16" x14ac:dyDescent="0.25">
      <c r="A7" s="7">
        <v>39600</v>
      </c>
      <c r="B7" s="4">
        <f>Full_in!H8</f>
        <v>890216.28399999999</v>
      </c>
      <c r="C7" s="90">
        <v>44219.317000000003</v>
      </c>
      <c r="E7" s="4">
        <f>Full_out!P7</f>
        <v>541719.91800000006</v>
      </c>
      <c r="F7" s="90">
        <v>333459.51400000002</v>
      </c>
      <c r="H7" s="6">
        <f t="shared" si="0"/>
        <v>377678.83100000001</v>
      </c>
      <c r="J7" s="4">
        <f>'Bass Strait'!P7</f>
        <v>82461.069000000003</v>
      </c>
      <c r="K7" s="90">
        <v>43344.384000000005</v>
      </c>
      <c r="M7" s="4">
        <f>'Bass Strait'!AE7</f>
        <v>114886.914</v>
      </c>
      <c r="N7" s="90">
        <v>39686.683000000005</v>
      </c>
      <c r="P7" s="6">
        <f t="shared" si="1"/>
        <v>83031.06700000001</v>
      </c>
    </row>
    <row r="8" spans="1:16" x14ac:dyDescent="0.25">
      <c r="A8" s="7">
        <v>39965</v>
      </c>
      <c r="B8" s="4">
        <f>Full_in!H9</f>
        <v>821784.61</v>
      </c>
      <c r="C8" s="90">
        <v>49666.865999999995</v>
      </c>
      <c r="E8" s="4">
        <f>Full_out!P8</f>
        <v>523845.68500000006</v>
      </c>
      <c r="F8" s="90">
        <v>314407.10399999999</v>
      </c>
      <c r="H8" s="6">
        <f t="shared" si="0"/>
        <v>364073.97</v>
      </c>
      <c r="J8" s="4">
        <f>'Bass Strait'!P8</f>
        <v>83753.64</v>
      </c>
      <c r="K8" s="90">
        <v>49137.43</v>
      </c>
      <c r="M8" s="4">
        <f>'Bass Strait'!AE8</f>
        <v>112364.77399999998</v>
      </c>
      <c r="N8" s="90">
        <v>35227.381999999998</v>
      </c>
      <c r="P8" s="6">
        <f t="shared" si="1"/>
        <v>84364.812000000005</v>
      </c>
    </row>
    <row r="9" spans="1:16" x14ac:dyDescent="0.25">
      <c r="A9" s="7">
        <v>40330</v>
      </c>
      <c r="B9" s="4">
        <f>Full_in!H10</f>
        <v>878616.30399999989</v>
      </c>
      <c r="C9" s="90">
        <v>40078.394999999997</v>
      </c>
      <c r="E9" s="4">
        <f>Full_out!P9</f>
        <v>576091.29099999997</v>
      </c>
      <c r="F9" s="90">
        <v>294336.00099999999</v>
      </c>
      <c r="H9" s="6">
        <f t="shared" si="0"/>
        <v>334414.39600000001</v>
      </c>
      <c r="J9" s="4">
        <f>'Bass Strait'!P9</f>
        <v>85169.432000000015</v>
      </c>
      <c r="K9" s="90">
        <v>47065.605000000003</v>
      </c>
      <c r="M9" s="4">
        <f>'Bass Strait'!AE9</f>
        <v>113197.87799999998</v>
      </c>
      <c r="N9" s="90">
        <v>33066.294000000002</v>
      </c>
      <c r="P9" s="6">
        <f t="shared" si="1"/>
        <v>80131.899000000005</v>
      </c>
    </row>
    <row r="10" spans="1:16" x14ac:dyDescent="0.25">
      <c r="A10" s="7">
        <v>40695</v>
      </c>
      <c r="B10" s="4">
        <f>Full_in!H11</f>
        <v>929236.56199999992</v>
      </c>
      <c r="C10" s="90">
        <v>45418.976999999999</v>
      </c>
      <c r="E10" s="4">
        <f>Full_out!P10</f>
        <v>609532.25800000003</v>
      </c>
      <c r="F10" s="90">
        <v>331094.74599999998</v>
      </c>
      <c r="H10" s="6">
        <f t="shared" si="0"/>
        <v>376513.723</v>
      </c>
      <c r="J10" s="4">
        <f>'Bass Strait'!P10</f>
        <v>83958.891999999993</v>
      </c>
      <c r="K10" s="90">
        <v>53468.311999999998</v>
      </c>
      <c r="M10" s="4">
        <f>'Bass Strait'!AE10</f>
        <v>111642.63499999998</v>
      </c>
      <c r="N10" s="90">
        <v>42311.347000000002</v>
      </c>
      <c r="P10" s="6">
        <f t="shared" si="1"/>
        <v>95779.659</v>
      </c>
    </row>
    <row r="11" spans="1:16" x14ac:dyDescent="0.25">
      <c r="A11" s="7">
        <v>41061</v>
      </c>
      <c r="B11" s="4">
        <f>Full_in!H12</f>
        <v>974207.34199999983</v>
      </c>
      <c r="C11" s="90">
        <v>59497.945999999996</v>
      </c>
      <c r="E11" s="4">
        <f>Full_out!P11</f>
        <v>648175.18300000008</v>
      </c>
      <c r="F11" s="90">
        <v>341594.74600000004</v>
      </c>
      <c r="H11" s="6">
        <f t="shared" si="0"/>
        <v>401092.69200000004</v>
      </c>
      <c r="J11" s="4">
        <f>'Bass Strait'!P11</f>
        <v>76042.334000000017</v>
      </c>
      <c r="K11" s="90">
        <v>54085.44200000001</v>
      </c>
      <c r="M11" s="4">
        <f>'Bass Strait'!AE11</f>
        <v>112450.128</v>
      </c>
      <c r="N11" s="90">
        <v>38412.400000000001</v>
      </c>
      <c r="P11" s="6">
        <f t="shared" si="1"/>
        <v>92497.842000000004</v>
      </c>
    </row>
    <row r="12" spans="1:16" x14ac:dyDescent="0.25">
      <c r="A12" s="7">
        <v>41426</v>
      </c>
      <c r="B12" s="4">
        <f>Full_in!H13</f>
        <v>964261.5340000001</v>
      </c>
      <c r="C12" s="90">
        <v>66309.744000000006</v>
      </c>
      <c r="E12" s="4">
        <f>Full_out!P12</f>
        <v>646524.80099999974</v>
      </c>
      <c r="F12" s="90">
        <v>325991.29499999998</v>
      </c>
      <c r="H12" s="6">
        <f t="shared" si="0"/>
        <v>392301.03899999999</v>
      </c>
      <c r="J12" s="4">
        <f>'Bass Strait'!P12</f>
        <v>73694.930000000008</v>
      </c>
      <c r="K12" s="90">
        <v>49149.203000000001</v>
      </c>
      <c r="M12" s="4">
        <f>'Bass Strait'!AE12</f>
        <v>109274.81</v>
      </c>
      <c r="N12" s="90">
        <v>40013.621999999996</v>
      </c>
      <c r="P12" s="6">
        <f t="shared" si="1"/>
        <v>89162.824999999997</v>
      </c>
    </row>
    <row r="13" spans="1:16" x14ac:dyDescent="0.25">
      <c r="A13" s="7">
        <v>41791</v>
      </c>
      <c r="B13" s="4">
        <f>Full_in!H14</f>
        <v>996467.41200000001</v>
      </c>
      <c r="C13" s="90">
        <v>70372.813999999998</v>
      </c>
      <c r="E13" s="4">
        <f>Full_out!P13</f>
        <v>682731.37899999996</v>
      </c>
      <c r="F13" s="90">
        <v>343707.527</v>
      </c>
      <c r="H13" s="6">
        <f t="shared" si="0"/>
        <v>414080.34100000001</v>
      </c>
      <c r="J13" s="4">
        <f>'Bass Strait'!P13</f>
        <v>68474.304999999993</v>
      </c>
      <c r="K13" s="90">
        <v>50810.880000000005</v>
      </c>
      <c r="M13" s="4">
        <f>'Bass Strait'!AE13</f>
        <v>114141.378</v>
      </c>
      <c r="N13" s="90">
        <v>29850.488999999998</v>
      </c>
      <c r="P13" s="6">
        <f t="shared" si="1"/>
        <v>80661.369000000006</v>
      </c>
    </row>
    <row r="14" spans="1:16" x14ac:dyDescent="0.25">
      <c r="A14" s="7">
        <v>42156</v>
      </c>
      <c r="B14" s="4">
        <f>Full_in!H15</f>
        <v>1035769.9320000001</v>
      </c>
      <c r="C14" s="90">
        <v>62441.765000000007</v>
      </c>
      <c r="E14" s="4">
        <f>Full_out!P14</f>
        <v>658593.12999999989</v>
      </c>
      <c r="F14" s="90">
        <v>397711.86200000008</v>
      </c>
      <c r="H14" s="6">
        <f t="shared" si="0"/>
        <v>460153.62700000009</v>
      </c>
      <c r="J14" s="4">
        <f>'Bass Strait'!P14</f>
        <v>74278.91</v>
      </c>
      <c r="K14" s="90">
        <v>49691.091</v>
      </c>
      <c r="M14" s="4">
        <f>'Bass Strait'!AE14</f>
        <v>117397.591</v>
      </c>
      <c r="N14" s="90">
        <v>27207.118999999999</v>
      </c>
      <c r="P14" s="6">
        <f t="shared" si="1"/>
        <v>76898.209999999992</v>
      </c>
    </row>
    <row r="15" spans="1:16" x14ac:dyDescent="0.25">
      <c r="A15" s="7">
        <v>42522</v>
      </c>
      <c r="B15" s="4">
        <f>Full_in!H16</f>
        <v>1072544.6829999997</v>
      </c>
      <c r="C15" s="90">
        <v>56491.584999999999</v>
      </c>
      <c r="E15" s="4">
        <f>Full_out!P15</f>
        <v>646224.93500000006</v>
      </c>
      <c r="F15" s="90">
        <v>426203.99900000001</v>
      </c>
      <c r="H15" s="6">
        <f t="shared" si="0"/>
        <v>482695.58400000003</v>
      </c>
      <c r="J15" s="4">
        <f>'Bass Strait'!P15</f>
        <v>76049.003999999986</v>
      </c>
      <c r="K15" s="90">
        <v>48157.449000000001</v>
      </c>
      <c r="M15" s="4">
        <f>'Bass Strait'!AE15</f>
        <v>119247.33200000002</v>
      </c>
      <c r="N15" s="90">
        <v>26892.313999999998</v>
      </c>
      <c r="P15" s="6">
        <f t="shared" si="1"/>
        <v>75049.763000000006</v>
      </c>
    </row>
    <row r="16" spans="1:16" x14ac:dyDescent="0.25">
      <c r="A16" s="7">
        <v>42887</v>
      </c>
      <c r="B16" s="4">
        <f>Full_in!H17</f>
        <v>1105845</v>
      </c>
      <c r="C16" s="90">
        <v>50221.291000000005</v>
      </c>
      <c r="E16" s="4">
        <f>Full_out!P16</f>
        <v>708538</v>
      </c>
      <c r="F16" s="90">
        <v>407537.451</v>
      </c>
      <c r="H16" s="14">
        <v>454675</v>
      </c>
      <c r="J16" s="4">
        <f>'Bass Strait'!P16</f>
        <v>74286.843999999997</v>
      </c>
      <c r="K16" s="90">
        <v>46261.580000000009</v>
      </c>
      <c r="M16" s="4">
        <f>'Bass Strait'!AE16</f>
        <v>115984.01300000001</v>
      </c>
      <c r="N16" s="90">
        <v>26023.614999999998</v>
      </c>
      <c r="P16" s="6">
        <f t="shared" ref="P16:P18" si="2">N16+K16</f>
        <v>72285.195000000007</v>
      </c>
    </row>
    <row r="17" spans="1:17" s="103" customFormat="1" x14ac:dyDescent="0.25">
      <c r="A17" s="105">
        <v>43252</v>
      </c>
      <c r="B17" s="106">
        <f>Full_in!H18</f>
        <v>1199795</v>
      </c>
      <c r="C17" s="107">
        <v>54766.506999999998</v>
      </c>
      <c r="E17" s="106">
        <f>Full_out!P17</f>
        <v>759946</v>
      </c>
      <c r="F17" s="107">
        <v>442536.15399999998</v>
      </c>
      <c r="H17" s="108">
        <v>495962</v>
      </c>
      <c r="J17" s="106">
        <f>'Bass Strait'!P17</f>
        <v>76443.453999999998</v>
      </c>
      <c r="K17" s="107">
        <v>55963.509000000013</v>
      </c>
      <c r="M17" s="106">
        <f>'Bass Strait'!AE17</f>
        <v>122383.32399999999</v>
      </c>
      <c r="N17" s="107">
        <v>34750.606000000007</v>
      </c>
      <c r="P17" s="6">
        <f t="shared" si="2"/>
        <v>90714.11500000002</v>
      </c>
      <c r="Q17" s="109"/>
    </row>
    <row r="18" spans="1:17" ht="15.75" thickBot="1" x14ac:dyDescent="0.3">
      <c r="A18" s="7">
        <v>43617</v>
      </c>
      <c r="B18" s="4">
        <f>Full_in!H19</f>
        <v>1219638.0660000001</v>
      </c>
      <c r="C18" s="90">
        <v>59121.763000000006</v>
      </c>
      <c r="D18" s="13"/>
      <c r="E18" s="4">
        <f>Full_out!P18</f>
        <v>689727.47400000005</v>
      </c>
      <c r="F18" s="90">
        <v>556010.32700000005</v>
      </c>
      <c r="G18" s="13"/>
      <c r="H18" s="14">
        <f>F18+C18</f>
        <v>615132.09000000008</v>
      </c>
      <c r="I18" s="13"/>
      <c r="J18" s="4">
        <f>'Bass Strait'!P18</f>
        <v>78850.367999999988</v>
      </c>
      <c r="K18" s="90">
        <v>53138.112999999998</v>
      </c>
      <c r="L18" s="13"/>
      <c r="M18" s="4">
        <f>'Bass Strait'!AE18</f>
        <v>123340.08899999999</v>
      </c>
      <c r="N18" s="90">
        <v>29819.477999999999</v>
      </c>
      <c r="O18" s="13"/>
      <c r="P18" s="6">
        <f t="shared" si="2"/>
        <v>82957.591</v>
      </c>
      <c r="Q18" s="104"/>
    </row>
    <row r="19" spans="1:17" x14ac:dyDescent="0.25">
      <c r="A19" s="7">
        <v>43983</v>
      </c>
      <c r="B19" s="56">
        <f>Full_in!H20</f>
        <v>1111448.90320136</v>
      </c>
      <c r="C19" s="89">
        <f>C18*1.2</f>
        <v>70946.115600000005</v>
      </c>
      <c r="E19" s="56">
        <f>Full_out!P19</f>
        <v>656354.70068594825</v>
      </c>
      <c r="F19" s="89">
        <v>636982.910079072</v>
      </c>
      <c r="H19" s="58">
        <f>F19+C19</f>
        <v>707929.02567907202</v>
      </c>
      <c r="J19" s="56">
        <f>'Bass Strait'!P19</f>
        <v>76216.283359999987</v>
      </c>
      <c r="K19" s="89">
        <v>51093.33636076597</v>
      </c>
      <c r="M19" s="56">
        <f>'Bass Strait'!AE19</f>
        <v>109647.46850151614</v>
      </c>
      <c r="N19" s="89">
        <v>45114.327210625066</v>
      </c>
      <c r="P19" s="58">
        <f>N19+K19</f>
        <v>96207.663571391036</v>
      </c>
      <c r="Q19" s="104"/>
    </row>
    <row r="20" spans="1:17" x14ac:dyDescent="0.25">
      <c r="A20" s="7">
        <v>44348</v>
      </c>
      <c r="B20" s="4">
        <f>Full_in!H21</f>
        <v>1110835.4437926027</v>
      </c>
      <c r="C20" s="72">
        <f>C19</f>
        <v>70946.115600000005</v>
      </c>
      <c r="E20" s="4">
        <f>Full_out!P20</f>
        <v>658926.4693353388</v>
      </c>
      <c r="F20" s="72">
        <v>702917.2830579119</v>
      </c>
      <c r="H20" s="6">
        <f>F20+C20</f>
        <v>773863.39865791192</v>
      </c>
      <c r="J20" s="4">
        <f>'Bass Strait'!P20</f>
        <v>81322.158707202005</v>
      </c>
      <c r="K20" s="72">
        <v>41391.546095829995</v>
      </c>
      <c r="M20" s="4">
        <f>'Bass Strait'!AE20</f>
        <v>107052.43218258406</v>
      </c>
      <c r="N20" s="72">
        <v>55520.523291630714</v>
      </c>
      <c r="P20" s="6">
        <f>N20+K20</f>
        <v>96912.06938746071</v>
      </c>
      <c r="Q20" s="104"/>
    </row>
    <row r="21" spans="1:17" x14ac:dyDescent="0.25">
      <c r="N21" s="4"/>
      <c r="Q21" s="104"/>
    </row>
    <row r="23" spans="1:17" x14ac:dyDescent="0.25">
      <c r="F23" s="4"/>
    </row>
  </sheetData>
  <mergeCells count="4">
    <mergeCell ref="B1:C1"/>
    <mergeCell ref="E1:F1"/>
    <mergeCell ref="J1:K1"/>
    <mergeCell ref="M1:N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A4" zoomScale="70" zoomScaleNormal="70" workbookViewId="0"/>
  </sheetViews>
  <sheetFormatPr defaultRowHeight="15" x14ac:dyDescent="0.25"/>
  <cols>
    <col min="2" max="3" width="12.7109375" style="24" customWidth="1"/>
    <col min="4" max="11" width="12.7109375" customWidth="1"/>
    <col min="12" max="13" width="11.140625" bestFit="1" customWidth="1"/>
    <col min="14" max="14" width="9.28515625" customWidth="1"/>
    <col min="15" max="15" width="25.28515625" bestFit="1" customWidth="1"/>
    <col min="16" max="16" width="25.5703125" customWidth="1"/>
    <col min="18" max="27" width="12.7109375" customWidth="1"/>
  </cols>
  <sheetData>
    <row r="1" spans="1:27" s="27" customFormat="1" ht="30" x14ac:dyDescent="0.25">
      <c r="B1" s="114" t="s">
        <v>104</v>
      </c>
      <c r="C1" s="114"/>
      <c r="D1" s="114"/>
      <c r="E1" s="114"/>
      <c r="F1" s="114"/>
      <c r="G1" s="114"/>
      <c r="H1" s="114"/>
      <c r="I1" s="114"/>
      <c r="J1" s="114"/>
      <c r="L1" s="114" t="s">
        <v>151</v>
      </c>
      <c r="M1" s="114"/>
      <c r="N1" s="114"/>
      <c r="O1" s="112" t="s">
        <v>149</v>
      </c>
      <c r="P1" s="112" t="s">
        <v>150</v>
      </c>
      <c r="R1" s="114" t="s">
        <v>105</v>
      </c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75" x14ac:dyDescent="0.25">
      <c r="B2" s="27" t="s">
        <v>78</v>
      </c>
      <c r="C2" s="27"/>
      <c r="D2" s="27" t="s">
        <v>79</v>
      </c>
      <c r="E2" s="27" t="s">
        <v>80</v>
      </c>
      <c r="F2" s="27" t="s">
        <v>84</v>
      </c>
      <c r="G2" s="27" t="s">
        <v>81</v>
      </c>
      <c r="I2" s="27" t="s">
        <v>83</v>
      </c>
      <c r="J2" s="27" t="s">
        <v>82</v>
      </c>
      <c r="L2" s="27" t="s">
        <v>22</v>
      </c>
      <c r="M2" t="s">
        <v>41</v>
      </c>
      <c r="N2" t="s">
        <v>44</v>
      </c>
      <c r="R2" s="27" t="s">
        <v>22</v>
      </c>
      <c r="S2" s="27"/>
      <c r="T2" t="s">
        <v>41</v>
      </c>
      <c r="U2" s="27" t="s">
        <v>85</v>
      </c>
      <c r="V2" t="s">
        <v>23</v>
      </c>
      <c r="X2" t="s">
        <v>44</v>
      </c>
      <c r="Y2" t="s">
        <v>43</v>
      </c>
      <c r="Z2" t="s">
        <v>42</v>
      </c>
      <c r="AA2" t="s">
        <v>23</v>
      </c>
    </row>
    <row r="3" spans="1:27" x14ac:dyDescent="0.25">
      <c r="B3"/>
      <c r="C3"/>
    </row>
    <row r="4" spans="1:27" x14ac:dyDescent="0.25">
      <c r="B4"/>
      <c r="C4"/>
    </row>
    <row r="5" spans="1:27" x14ac:dyDescent="0.25">
      <c r="A5" s="7">
        <v>38869</v>
      </c>
      <c r="B5" s="72">
        <f t="shared" ref="B5:B20" si="0">SUM(D5,G5,I5:J5)</f>
        <v>4872119.7019999996</v>
      </c>
      <c r="C5" s="4"/>
      <c r="D5" s="90">
        <v>2407465.4610000001</v>
      </c>
      <c r="E5" s="90">
        <v>250189</v>
      </c>
      <c r="F5" s="92">
        <f>D5/E5</f>
        <v>9.6225871681009156</v>
      </c>
      <c r="G5" s="90">
        <v>808203.96799999999</v>
      </c>
      <c r="I5" s="90">
        <v>1395069.5789999999</v>
      </c>
      <c r="J5" s="90">
        <v>261380.69399999996</v>
      </c>
      <c r="L5" s="72">
        <f t="shared" ref="L5:L19" si="1">SUM(M5:N5)</f>
        <v>2705497.7960000006</v>
      </c>
      <c r="M5" s="90">
        <v>2545741.4310000008</v>
      </c>
      <c r="N5" s="90">
        <v>159756.36499999996</v>
      </c>
      <c r="O5" s="90">
        <v>2114209.2319999998</v>
      </c>
      <c r="P5" s="90">
        <v>104349.44700000001</v>
      </c>
      <c r="R5" s="72">
        <f>SUM(T5,X5)</f>
        <v>2955197.4400000004</v>
      </c>
      <c r="S5" s="4"/>
      <c r="T5" s="90">
        <v>2463721.2600000002</v>
      </c>
      <c r="U5" s="90">
        <v>1308072</v>
      </c>
      <c r="V5" s="72">
        <f>T5-U5</f>
        <v>1155649.2600000002</v>
      </c>
      <c r="W5" s="4"/>
      <c r="X5" s="90">
        <v>491476.18</v>
      </c>
      <c r="Y5" s="90">
        <v>376437.12</v>
      </c>
      <c r="Z5" s="90">
        <v>32888.990000000005</v>
      </c>
      <c r="AA5" s="72">
        <f>X5-Y5-Z5</f>
        <v>82150.069999999992</v>
      </c>
    </row>
    <row r="6" spans="1:27" x14ac:dyDescent="0.25">
      <c r="A6" s="7">
        <v>39234</v>
      </c>
      <c r="B6" s="72">
        <f t="shared" si="0"/>
        <v>5341050.4269999992</v>
      </c>
      <c r="C6" s="4"/>
      <c r="D6" s="90">
        <v>2544647.0999999996</v>
      </c>
      <c r="E6" s="90">
        <v>252521</v>
      </c>
      <c r="F6" s="92">
        <f t="shared" ref="F6:F17" si="2">D6/E6</f>
        <v>10.076972212212052</v>
      </c>
      <c r="G6" s="90">
        <v>966431.42799999996</v>
      </c>
      <c r="I6" s="90">
        <v>1514064.882</v>
      </c>
      <c r="J6" s="90">
        <v>315907.01699999999</v>
      </c>
      <c r="L6" s="72">
        <f t="shared" si="1"/>
        <v>2699516.9469999978</v>
      </c>
      <c r="M6" s="90">
        <v>2583308.2189999977</v>
      </c>
      <c r="N6" s="90">
        <v>116208.72799999997</v>
      </c>
      <c r="O6" s="90">
        <v>2332947.3800000004</v>
      </c>
      <c r="P6" s="90">
        <v>120633.932</v>
      </c>
      <c r="R6" s="72">
        <f t="shared" ref="R6:R19" si="3">SUM(T6,X6)</f>
        <v>3196028.4109999994</v>
      </c>
      <c r="S6" s="4"/>
      <c r="T6" s="90">
        <v>2874399.4209999992</v>
      </c>
      <c r="U6" s="90">
        <v>1441480.13</v>
      </c>
      <c r="V6" s="72">
        <f t="shared" ref="V6:V18" si="4">T6-U6</f>
        <v>1432919.2909999993</v>
      </c>
      <c r="W6" s="4"/>
      <c r="X6" s="90">
        <v>321628.99000000005</v>
      </c>
      <c r="Y6" s="90">
        <v>164568.70000000001</v>
      </c>
      <c r="Z6" s="90">
        <v>134857.73000000001</v>
      </c>
      <c r="AA6" s="72">
        <f t="shared" ref="AA6:AA17" si="5">X6-Y6-Z6</f>
        <v>22202.560000000027</v>
      </c>
    </row>
    <row r="7" spans="1:27" x14ac:dyDescent="0.25">
      <c r="A7" s="7">
        <v>39600</v>
      </c>
      <c r="B7" s="72">
        <f t="shared" si="0"/>
        <v>6151925.983</v>
      </c>
      <c r="C7" s="4"/>
      <c r="D7" s="90">
        <v>2920608.8790000002</v>
      </c>
      <c r="E7" s="90">
        <v>276891</v>
      </c>
      <c r="F7" s="92">
        <f t="shared" si="2"/>
        <v>10.547864968525522</v>
      </c>
      <c r="G7" s="90">
        <v>1152160.625</v>
      </c>
      <c r="I7" s="90">
        <v>1734946.345</v>
      </c>
      <c r="J7" s="90">
        <v>344210.13399999996</v>
      </c>
      <c r="L7" s="72">
        <f t="shared" si="1"/>
        <v>2494159.7179999985</v>
      </c>
      <c r="M7" s="90">
        <v>2304351.8709999984</v>
      </c>
      <c r="N7" s="90">
        <v>189807.84699999995</v>
      </c>
      <c r="O7" s="90">
        <v>2391694.1660000002</v>
      </c>
      <c r="P7" s="90">
        <v>136649.929</v>
      </c>
      <c r="R7" s="72">
        <f t="shared" si="3"/>
        <v>3064807.7380000008</v>
      </c>
      <c r="S7" s="4"/>
      <c r="T7" s="90">
        <v>3050526.0780000007</v>
      </c>
      <c r="U7" s="90">
        <v>1514194.5</v>
      </c>
      <c r="V7" s="72">
        <f t="shared" si="4"/>
        <v>1536331.5780000007</v>
      </c>
      <c r="W7" s="4"/>
      <c r="X7" s="90">
        <v>14281.66</v>
      </c>
      <c r="Y7" s="90">
        <v>0</v>
      </c>
      <c r="Z7" s="90">
        <v>9979.48</v>
      </c>
      <c r="AA7" s="72">
        <f t="shared" si="5"/>
        <v>4302.18</v>
      </c>
    </row>
    <row r="8" spans="1:27" x14ac:dyDescent="0.25">
      <c r="A8" s="7">
        <v>39965</v>
      </c>
      <c r="B8" s="72">
        <f t="shared" si="0"/>
        <v>4780432.3500000006</v>
      </c>
      <c r="C8" s="4"/>
      <c r="D8" s="90">
        <v>2306340.8280000002</v>
      </c>
      <c r="E8" s="90">
        <v>243378</v>
      </c>
      <c r="F8" s="92">
        <f t="shared" si="2"/>
        <v>9.4763734930848322</v>
      </c>
      <c r="G8" s="90">
        <v>888932.78700000001</v>
      </c>
      <c r="I8" s="90">
        <v>1274208.2959999999</v>
      </c>
      <c r="J8" s="90">
        <v>310950.43900000001</v>
      </c>
      <c r="L8" s="72">
        <f t="shared" si="1"/>
        <v>1966869.4089999981</v>
      </c>
      <c r="M8" s="90">
        <v>1752981.822999998</v>
      </c>
      <c r="N8" s="90">
        <v>213887.5860000001</v>
      </c>
      <c r="O8" s="90">
        <v>2414836.3459999999</v>
      </c>
      <c r="P8" s="90">
        <v>118121.43100000001</v>
      </c>
      <c r="R8" s="72">
        <f t="shared" si="3"/>
        <v>3029158.7939999988</v>
      </c>
      <c r="S8" s="4"/>
      <c r="T8" s="90">
        <v>2962356.1439999989</v>
      </c>
      <c r="U8" s="90">
        <v>1516803</v>
      </c>
      <c r="V8" s="72">
        <f t="shared" si="4"/>
        <v>1445553.1439999989</v>
      </c>
      <c r="W8" s="4"/>
      <c r="X8" s="90">
        <v>66802.649999999994</v>
      </c>
      <c r="Y8" s="90">
        <v>66802.649999999994</v>
      </c>
      <c r="Z8" s="90">
        <v>0</v>
      </c>
      <c r="AA8" s="72">
        <f t="shared" si="5"/>
        <v>0</v>
      </c>
    </row>
    <row r="9" spans="1:27" x14ac:dyDescent="0.25">
      <c r="A9" s="7">
        <v>40330</v>
      </c>
      <c r="B9" s="72">
        <f t="shared" si="0"/>
        <v>5628725.0530000003</v>
      </c>
      <c r="C9" s="4"/>
      <c r="D9" s="90">
        <v>3044946.6169999996</v>
      </c>
      <c r="E9" s="90">
        <v>272289</v>
      </c>
      <c r="F9" s="92">
        <f t="shared" si="2"/>
        <v>11.18277498172897</v>
      </c>
      <c r="G9" s="90">
        <v>910356.85400000005</v>
      </c>
      <c r="I9" s="90">
        <v>1372749.7980000002</v>
      </c>
      <c r="J9" s="90">
        <v>300671.78399999999</v>
      </c>
      <c r="L9" s="72">
        <f t="shared" si="1"/>
        <v>1994263.0659999975</v>
      </c>
      <c r="M9" s="90">
        <v>1751620.8169999977</v>
      </c>
      <c r="N9" s="90">
        <v>242642.24899999992</v>
      </c>
      <c r="O9" s="90">
        <v>2741613.5190000003</v>
      </c>
      <c r="P9" s="90">
        <v>179638.59800000003</v>
      </c>
      <c r="R9" s="72">
        <f t="shared" si="3"/>
        <v>3014324.35</v>
      </c>
      <c r="S9" s="4"/>
      <c r="T9" s="90">
        <v>2685968.5</v>
      </c>
      <c r="U9" s="90">
        <v>1479675</v>
      </c>
      <c r="V9" s="72">
        <f t="shared" si="4"/>
        <v>1206293.5</v>
      </c>
      <c r="W9" s="4"/>
      <c r="X9" s="90">
        <v>328355.85000000003</v>
      </c>
      <c r="Y9" s="90">
        <v>277385.46000000002</v>
      </c>
      <c r="Z9" s="90">
        <v>16390</v>
      </c>
      <c r="AA9" s="72">
        <f t="shared" si="5"/>
        <v>34580.390000000014</v>
      </c>
    </row>
    <row r="10" spans="1:27" x14ac:dyDescent="0.25">
      <c r="A10" s="7">
        <v>40695</v>
      </c>
      <c r="B10" s="72">
        <f t="shared" si="0"/>
        <v>5537218.2820000006</v>
      </c>
      <c r="C10" s="4"/>
      <c r="D10" s="90">
        <v>3060625.5460000001</v>
      </c>
      <c r="E10" s="90">
        <v>269288</v>
      </c>
      <c r="F10" s="92">
        <f t="shared" si="2"/>
        <v>11.365621735836726</v>
      </c>
      <c r="G10" s="90">
        <v>941490.804</v>
      </c>
      <c r="I10" s="90">
        <v>1205073.4610000004</v>
      </c>
      <c r="J10" s="90">
        <v>330028.47100000002</v>
      </c>
      <c r="L10" s="72">
        <f t="shared" si="1"/>
        <v>2310695.9960000003</v>
      </c>
      <c r="M10" s="90">
        <v>1853754.317</v>
      </c>
      <c r="N10" s="90">
        <v>456941.679</v>
      </c>
      <c r="O10" s="90">
        <v>2759599.6030000001</v>
      </c>
      <c r="P10" s="90">
        <v>163388.66399999999</v>
      </c>
      <c r="R10" s="72">
        <f t="shared" si="3"/>
        <v>3382522.9800000004</v>
      </c>
      <c r="S10" s="4"/>
      <c r="T10" s="90">
        <v>2816917.4800000004</v>
      </c>
      <c r="U10" s="90">
        <v>1526066</v>
      </c>
      <c r="V10" s="72">
        <f t="shared" si="4"/>
        <v>1290851.4800000004</v>
      </c>
      <c r="W10" s="4"/>
      <c r="X10" s="90">
        <v>565605.5</v>
      </c>
      <c r="Y10" s="90">
        <v>491999.49</v>
      </c>
      <c r="Z10" s="90">
        <v>34473.01</v>
      </c>
      <c r="AA10" s="72">
        <f t="shared" si="5"/>
        <v>39133.000000000007</v>
      </c>
    </row>
    <row r="11" spans="1:27" x14ac:dyDescent="0.25">
      <c r="A11" s="7">
        <v>41061</v>
      </c>
      <c r="B11" s="72">
        <f t="shared" si="0"/>
        <v>5766512.9210000001</v>
      </c>
      <c r="C11" s="4"/>
      <c r="D11" s="90">
        <v>3138005.523</v>
      </c>
      <c r="E11" s="90">
        <v>280193</v>
      </c>
      <c r="F11" s="92">
        <f t="shared" si="2"/>
        <v>11.199442966098369</v>
      </c>
      <c r="G11" s="90">
        <v>1196577.675</v>
      </c>
      <c r="I11" s="90">
        <v>1085470.085</v>
      </c>
      <c r="J11" s="90">
        <v>346459.63800000004</v>
      </c>
      <c r="L11" s="72">
        <f t="shared" si="1"/>
        <v>3100006.6159999999</v>
      </c>
      <c r="M11" s="90">
        <v>2678573.79</v>
      </c>
      <c r="N11" s="90">
        <v>421432.826</v>
      </c>
      <c r="O11" s="90">
        <v>3064731.3859999999</v>
      </c>
      <c r="P11" s="90">
        <v>192339.68599999999</v>
      </c>
      <c r="R11" s="72">
        <f t="shared" si="3"/>
        <v>4012182.7649999992</v>
      </c>
      <c r="S11" s="4"/>
      <c r="T11" s="90">
        <v>2875641.5599999991</v>
      </c>
      <c r="U11" s="90">
        <v>1606387</v>
      </c>
      <c r="V11" s="72">
        <f t="shared" si="4"/>
        <v>1269254.5599999991</v>
      </c>
      <c r="W11" s="4"/>
      <c r="X11" s="90">
        <v>1136541.2050000001</v>
      </c>
      <c r="Y11" s="90">
        <v>971443.13199999998</v>
      </c>
      <c r="Z11" s="90">
        <v>47679.92</v>
      </c>
      <c r="AA11" s="72">
        <f t="shared" si="5"/>
        <v>117418.15300000009</v>
      </c>
    </row>
    <row r="12" spans="1:27" x14ac:dyDescent="0.25">
      <c r="A12" s="7">
        <v>41426</v>
      </c>
      <c r="B12" s="72">
        <f t="shared" si="0"/>
        <v>6212587.5420000013</v>
      </c>
      <c r="C12" s="4"/>
      <c r="D12" s="90">
        <v>3279673.4380000005</v>
      </c>
      <c r="E12" s="90">
        <v>302250</v>
      </c>
      <c r="F12" s="92">
        <f t="shared" si="2"/>
        <v>10.850863318444997</v>
      </c>
      <c r="G12" s="90">
        <v>1426012.1590000002</v>
      </c>
      <c r="I12" s="90">
        <v>1158926.2650000001</v>
      </c>
      <c r="J12" s="90">
        <v>347975.67999999999</v>
      </c>
      <c r="L12" s="72">
        <f t="shared" si="1"/>
        <v>2445954.1199999973</v>
      </c>
      <c r="M12" s="90">
        <v>1922256.6459999969</v>
      </c>
      <c r="N12" s="90">
        <v>523697.47400000016</v>
      </c>
      <c r="O12" s="90">
        <v>3844875.2260000003</v>
      </c>
      <c r="P12" s="90">
        <v>243700.71699999998</v>
      </c>
      <c r="R12" s="72">
        <f t="shared" si="3"/>
        <v>4094259.4009999996</v>
      </c>
      <c r="S12" s="4"/>
      <c r="T12" s="90">
        <v>2767081.3499999996</v>
      </c>
      <c r="U12" s="90">
        <v>1483529</v>
      </c>
      <c r="V12" s="72">
        <f t="shared" si="4"/>
        <v>1283552.3499999996</v>
      </c>
      <c r="W12" s="4"/>
      <c r="X12" s="90">
        <v>1327178.051</v>
      </c>
      <c r="Y12" s="90">
        <v>1051436.4620000001</v>
      </c>
      <c r="Z12" s="90">
        <v>92493.93</v>
      </c>
      <c r="AA12" s="72">
        <f t="shared" si="5"/>
        <v>183247.65899999993</v>
      </c>
    </row>
    <row r="13" spans="1:27" x14ac:dyDescent="0.25">
      <c r="A13" s="7">
        <v>41791</v>
      </c>
      <c r="B13" s="72">
        <f t="shared" si="0"/>
        <v>6140357.3439999996</v>
      </c>
      <c r="C13" s="4"/>
      <c r="D13" s="90">
        <v>3391515.7760000001</v>
      </c>
      <c r="E13" s="90">
        <v>304536</v>
      </c>
      <c r="F13" s="92">
        <f t="shared" si="2"/>
        <v>11.136666193816167</v>
      </c>
      <c r="G13" s="90">
        <v>1268757.8959999999</v>
      </c>
      <c r="I13" s="90">
        <v>1126653.2589999998</v>
      </c>
      <c r="J13" s="90">
        <v>353430.413</v>
      </c>
      <c r="L13" s="72">
        <f t="shared" si="1"/>
        <v>2453643.9049999998</v>
      </c>
      <c r="M13" s="90">
        <v>1855454.7759999998</v>
      </c>
      <c r="N13" s="90">
        <v>598189.12899999996</v>
      </c>
      <c r="O13" s="90">
        <v>3781970.1039999998</v>
      </c>
      <c r="P13" s="90">
        <v>229088.18499999997</v>
      </c>
      <c r="R13" s="72">
        <f t="shared" si="3"/>
        <v>3827104.2349999994</v>
      </c>
      <c r="S13" s="4"/>
      <c r="T13" s="90">
        <v>2666866.2399999998</v>
      </c>
      <c r="U13" s="90">
        <v>1468805</v>
      </c>
      <c r="V13" s="72">
        <f t="shared" si="4"/>
        <v>1198061.2399999998</v>
      </c>
      <c r="W13" s="4"/>
      <c r="X13" s="90">
        <v>1160237.9949999999</v>
      </c>
      <c r="Y13" s="90">
        <v>834425.46600000013</v>
      </c>
      <c r="Z13" s="90">
        <v>78367.78</v>
      </c>
      <c r="AA13" s="72">
        <f t="shared" si="5"/>
        <v>247444.74899999975</v>
      </c>
    </row>
    <row r="14" spans="1:27" x14ac:dyDescent="0.25">
      <c r="A14" s="7">
        <v>42156</v>
      </c>
      <c r="B14" s="72">
        <f t="shared" si="0"/>
        <v>6414454.818</v>
      </c>
      <c r="C14" s="4"/>
      <c r="D14" s="90">
        <v>3565956.0109999999</v>
      </c>
      <c r="E14" s="90">
        <v>308729</v>
      </c>
      <c r="F14" s="92">
        <f t="shared" si="2"/>
        <v>11.550440713376457</v>
      </c>
      <c r="G14" s="90">
        <v>1315695.723</v>
      </c>
      <c r="I14" s="90">
        <v>1119491.0869999998</v>
      </c>
      <c r="J14" s="90">
        <v>413311.99699999997</v>
      </c>
      <c r="L14" s="72">
        <f t="shared" si="1"/>
        <v>2269351.8570000017</v>
      </c>
      <c r="M14" s="90">
        <v>1681960.3610000012</v>
      </c>
      <c r="N14" s="90">
        <v>587391.49600000028</v>
      </c>
      <c r="O14" s="90">
        <v>3605219.1269999999</v>
      </c>
      <c r="P14" s="90">
        <v>231477.12600000002</v>
      </c>
      <c r="R14" s="72">
        <f t="shared" si="3"/>
        <v>3907371.8190000001</v>
      </c>
      <c r="S14" s="4"/>
      <c r="T14" s="90">
        <v>3244077.21</v>
      </c>
      <c r="U14" s="90">
        <v>1861535</v>
      </c>
      <c r="V14" s="72">
        <f t="shared" si="4"/>
        <v>1382542.21</v>
      </c>
      <c r="W14" s="4"/>
      <c r="X14" s="90">
        <v>663294.60900000005</v>
      </c>
      <c r="Y14" s="90">
        <v>386470.78</v>
      </c>
      <c r="Z14" s="90">
        <v>63131.61</v>
      </c>
      <c r="AA14" s="72">
        <f t="shared" si="5"/>
        <v>213692.21900000004</v>
      </c>
    </row>
    <row r="15" spans="1:27" x14ac:dyDescent="0.25">
      <c r="A15" s="7">
        <v>42522</v>
      </c>
      <c r="B15" s="72">
        <f t="shared" si="0"/>
        <v>6867543.544999999</v>
      </c>
      <c r="C15" s="4"/>
      <c r="D15" s="90">
        <v>3984968.4639999997</v>
      </c>
      <c r="E15" s="90">
        <v>321182</v>
      </c>
      <c r="F15" s="92">
        <f t="shared" si="2"/>
        <v>12.407197364734012</v>
      </c>
      <c r="G15" s="90">
        <v>1335401.1410000001</v>
      </c>
      <c r="I15" s="90">
        <v>1097340.675</v>
      </c>
      <c r="J15" s="90">
        <v>449833.26500000001</v>
      </c>
      <c r="L15" s="72">
        <f t="shared" si="1"/>
        <v>2639465.6739999983</v>
      </c>
      <c r="M15" s="90">
        <v>1957927.342999998</v>
      </c>
      <c r="N15" s="90">
        <v>681538.33100000012</v>
      </c>
      <c r="O15" s="90">
        <v>3444972.6809999999</v>
      </c>
      <c r="P15" s="90">
        <v>176060.30600000001</v>
      </c>
      <c r="R15" s="72">
        <f t="shared" si="3"/>
        <v>3705274.4400000004</v>
      </c>
      <c r="S15" s="4"/>
      <c r="T15" s="90">
        <v>3443631.6300000004</v>
      </c>
      <c r="U15" s="90">
        <v>2088793</v>
      </c>
      <c r="V15" s="72">
        <f t="shared" si="4"/>
        <v>1354838.6300000004</v>
      </c>
      <c r="W15" s="4"/>
      <c r="X15" s="90">
        <v>261642.81</v>
      </c>
      <c r="Y15" s="90">
        <v>220982.46</v>
      </c>
      <c r="Z15" s="90">
        <v>40660.35</v>
      </c>
      <c r="AA15" s="72">
        <f t="shared" si="5"/>
        <v>0</v>
      </c>
    </row>
    <row r="16" spans="1:27" x14ac:dyDescent="0.25">
      <c r="A16" s="7">
        <v>42887</v>
      </c>
      <c r="B16" s="72">
        <f t="shared" si="0"/>
        <v>6802604.1189999999</v>
      </c>
      <c r="C16" s="4"/>
      <c r="D16" s="90">
        <v>4065122.6130000004</v>
      </c>
      <c r="E16" s="90">
        <v>333309</v>
      </c>
      <c r="F16" s="92">
        <f t="shared" si="2"/>
        <v>12.196258165846109</v>
      </c>
      <c r="G16" s="90">
        <v>1347474.5489999999</v>
      </c>
      <c r="H16" s="4"/>
      <c r="I16" s="90">
        <v>975804.43</v>
      </c>
      <c r="J16" s="90">
        <v>414202.52699999994</v>
      </c>
      <c r="K16" s="4"/>
      <c r="L16" s="72">
        <f t="shared" si="1"/>
        <v>2614230.038999998</v>
      </c>
      <c r="M16" s="90">
        <v>2149662.6559999986</v>
      </c>
      <c r="N16" s="90">
        <v>464567.38299999968</v>
      </c>
      <c r="O16" s="90">
        <v>3458707.6470000003</v>
      </c>
      <c r="P16" s="90">
        <v>212510.30700000003</v>
      </c>
      <c r="R16" s="72">
        <f t="shared" si="3"/>
        <v>4298411.1169999996</v>
      </c>
      <c r="S16" s="4"/>
      <c r="T16" s="90">
        <v>3324601.8059999999</v>
      </c>
      <c r="U16" s="90">
        <v>2057691</v>
      </c>
      <c r="V16" s="72">
        <f t="shared" si="4"/>
        <v>1266910.8059999999</v>
      </c>
      <c r="W16" s="4"/>
      <c r="X16" s="90">
        <v>973809.31099999999</v>
      </c>
      <c r="Y16" s="90">
        <v>581969.22</v>
      </c>
      <c r="Z16" s="90">
        <v>366319.58</v>
      </c>
      <c r="AA16" s="72">
        <f t="shared" si="5"/>
        <v>25520.510999999999</v>
      </c>
    </row>
    <row r="17" spans="1:27" x14ac:dyDescent="0.25">
      <c r="A17" s="7">
        <v>43252</v>
      </c>
      <c r="B17" s="72">
        <f t="shared" si="0"/>
        <v>7271295.5770000005</v>
      </c>
      <c r="C17" s="4"/>
      <c r="D17" s="90">
        <v>4416104.2390000001</v>
      </c>
      <c r="E17" s="90">
        <v>345101</v>
      </c>
      <c r="F17" s="92">
        <f t="shared" si="2"/>
        <v>12.796555903923778</v>
      </c>
      <c r="G17" s="90">
        <v>1905936.8090000004</v>
      </c>
      <c r="H17" s="4"/>
      <c r="I17" s="90">
        <v>472216.08700000006</v>
      </c>
      <c r="J17" s="90">
        <v>477038.44199999998</v>
      </c>
      <c r="K17" s="4"/>
      <c r="L17" s="72">
        <f t="shared" si="1"/>
        <v>2868746.904000001</v>
      </c>
      <c r="M17" s="90">
        <v>2424935.648000001</v>
      </c>
      <c r="N17" s="90">
        <v>443811.25600000005</v>
      </c>
      <c r="O17" s="90">
        <v>3197018.2849999997</v>
      </c>
      <c r="P17" s="90">
        <v>185494.36599999998</v>
      </c>
      <c r="R17" s="72">
        <f t="shared" si="3"/>
        <v>4682100.79</v>
      </c>
      <c r="S17" s="4"/>
      <c r="T17" s="90">
        <v>3770035.92</v>
      </c>
      <c r="U17" s="90">
        <v>2318382</v>
      </c>
      <c r="V17" s="72">
        <f t="shared" si="4"/>
        <v>1451653.92</v>
      </c>
      <c r="W17" s="4"/>
      <c r="X17" s="90">
        <v>912064.87</v>
      </c>
      <c r="Y17" s="90">
        <v>515260.38</v>
      </c>
      <c r="Z17" s="90">
        <v>391555.91</v>
      </c>
      <c r="AA17" s="72">
        <f t="shared" si="5"/>
        <v>5248.5800000000163</v>
      </c>
    </row>
    <row r="18" spans="1:27" ht="15.75" thickBot="1" x14ac:dyDescent="0.3">
      <c r="A18" s="7">
        <v>43617</v>
      </c>
      <c r="B18" s="72">
        <f t="shared" si="0"/>
        <v>6809667.5120000001</v>
      </c>
      <c r="C18" s="4"/>
      <c r="D18" s="90">
        <v>4119153.3630000004</v>
      </c>
      <c r="E18" s="90">
        <v>317106</v>
      </c>
      <c r="F18" s="92">
        <f>D18/E18</f>
        <v>12.989831043878073</v>
      </c>
      <c r="G18" s="90">
        <v>1871336.8630000001</v>
      </c>
      <c r="H18" s="4"/>
      <c r="I18" s="90">
        <v>286032.511</v>
      </c>
      <c r="J18" s="90">
        <v>533144.77499999991</v>
      </c>
      <c r="K18" s="4"/>
      <c r="L18" s="72">
        <f t="shared" si="1"/>
        <v>2526669.4570000013</v>
      </c>
      <c r="M18" s="90">
        <v>2098163.7890000017</v>
      </c>
      <c r="N18" s="90">
        <v>428505.66799999983</v>
      </c>
      <c r="O18" s="90">
        <v>3802458.892</v>
      </c>
      <c r="P18" s="90">
        <v>196043.28499999997</v>
      </c>
      <c r="R18" s="72">
        <f t="shared" si="3"/>
        <v>3979318.4650000008</v>
      </c>
      <c r="S18" s="4"/>
      <c r="T18" s="90">
        <v>3932321.6050000009</v>
      </c>
      <c r="U18" s="90">
        <v>2351719</v>
      </c>
      <c r="V18" s="72">
        <f t="shared" si="4"/>
        <v>1580602.6050000009</v>
      </c>
      <c r="W18" s="4"/>
      <c r="X18" s="90">
        <v>46996.86</v>
      </c>
      <c r="Y18" s="90">
        <v>13998.55</v>
      </c>
      <c r="Z18" s="90">
        <v>32998.31</v>
      </c>
      <c r="AA18" s="72">
        <v>0</v>
      </c>
    </row>
    <row r="19" spans="1:27" x14ac:dyDescent="0.25">
      <c r="A19" s="7">
        <v>43983</v>
      </c>
      <c r="B19" s="89">
        <f t="shared" si="0"/>
        <v>5356357.263275207</v>
      </c>
      <c r="C19" s="4"/>
      <c r="D19" s="89">
        <f>E19*F19</f>
        <v>3193611.7962217228</v>
      </c>
      <c r="E19" s="91">
        <v>245854.76019157522</v>
      </c>
      <c r="F19" s="65">
        <v>12.989831043878073</v>
      </c>
      <c r="G19" s="62">
        <v>1374378.4821347897</v>
      </c>
      <c r="H19" s="56"/>
      <c r="I19" s="62">
        <v>310094.90413877973</v>
      </c>
      <c r="J19" s="62">
        <v>478272.08077991439</v>
      </c>
      <c r="K19" s="4"/>
      <c r="L19" s="89">
        <f t="shared" si="1"/>
        <v>2585455.788328765</v>
      </c>
      <c r="M19" s="91">
        <v>2166919.400054459</v>
      </c>
      <c r="N19" s="62">
        <v>418536.38827430573</v>
      </c>
      <c r="O19" s="91">
        <v>3195190.8559999992</v>
      </c>
      <c r="P19" s="91">
        <v>177354.34733333334</v>
      </c>
      <c r="R19" s="89">
        <f t="shared" si="3"/>
        <v>3686020.5515739224</v>
      </c>
      <c r="S19" s="56"/>
      <c r="T19" s="89">
        <f>U19+V19</f>
        <v>3622243.4210393261</v>
      </c>
      <c r="U19" s="91">
        <v>2160311.4090371057</v>
      </c>
      <c r="V19" s="62">
        <v>1461932.0120022204</v>
      </c>
      <c r="W19" s="56"/>
      <c r="X19" s="89">
        <f>SUM(Y19:AA19)</f>
        <v>63777.130534596392</v>
      </c>
      <c r="Y19" s="91">
        <v>0</v>
      </c>
      <c r="Z19" s="91">
        <v>63777.130534596392</v>
      </c>
      <c r="AA19" s="62">
        <v>0</v>
      </c>
    </row>
    <row r="20" spans="1:27" x14ac:dyDescent="0.25">
      <c r="A20" s="7">
        <v>44348</v>
      </c>
      <c r="B20" s="72">
        <f t="shared" si="0"/>
        <v>6282305.2770834966</v>
      </c>
      <c r="C20" s="4"/>
      <c r="D20" s="72">
        <f>E20*F20</f>
        <v>3743860.3502601627</v>
      </c>
      <c r="E20" s="90">
        <v>288214.70715160627</v>
      </c>
      <c r="F20" s="63">
        <v>12.989831043878073</v>
      </c>
      <c r="G20" s="39">
        <v>1794501.6809427156</v>
      </c>
      <c r="H20" s="4"/>
      <c r="I20" s="39">
        <v>313195.81318016752</v>
      </c>
      <c r="J20" s="39">
        <v>430747.4327004503</v>
      </c>
      <c r="K20" s="4"/>
      <c r="L20" s="72">
        <f t="shared" ref="L20" si="6">SUM(M20:N20)</f>
        <v>1900850.3642374906</v>
      </c>
      <c r="M20" s="90">
        <v>1452989.8163039931</v>
      </c>
      <c r="N20" s="39">
        <v>447860.54793349747</v>
      </c>
      <c r="O20" s="90">
        <v>4180034.133028572</v>
      </c>
      <c r="P20" s="90">
        <v>196043.28499999997</v>
      </c>
      <c r="R20" s="72"/>
      <c r="S20" s="4"/>
      <c r="T20" s="72">
        <f>U20+V20</f>
        <v>3233079.7513883621</v>
      </c>
      <c r="U20" s="90">
        <v>2073612.8750116406</v>
      </c>
      <c r="V20" s="39">
        <v>1159466.8763767215</v>
      </c>
      <c r="W20" s="4"/>
      <c r="X20" s="72">
        <f>SUM(Y20:AA20)</f>
        <v>465937.58482859936</v>
      </c>
      <c r="Y20" s="90">
        <v>378202.32319758181</v>
      </c>
      <c r="Z20" s="90">
        <v>87735.261631017551</v>
      </c>
      <c r="AA20" s="39">
        <v>0</v>
      </c>
    </row>
    <row r="21" spans="1:27" x14ac:dyDescent="0.25">
      <c r="C21" s="4"/>
    </row>
    <row r="22" spans="1:27" x14ac:dyDescent="0.25">
      <c r="U22" s="4"/>
    </row>
  </sheetData>
  <mergeCells count="3">
    <mergeCell ref="B1:J1"/>
    <mergeCell ref="L1:N1"/>
    <mergeCell ref="R1:AA1"/>
  </mergeCells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zoomScale="85" zoomScaleNormal="85" workbookViewId="0">
      <pane xSplit="1" ySplit="2" topLeftCell="B3" activePane="bottomRight" state="frozen"/>
      <selection pane="topRight"/>
      <selection pane="bottomLeft"/>
      <selection pane="bottomRight" activeCell="Y19" sqref="Y19"/>
    </sheetView>
  </sheetViews>
  <sheetFormatPr defaultRowHeight="15" x14ac:dyDescent="0.25"/>
  <cols>
    <col min="2" max="2" width="12.7109375" style="24" customWidth="1"/>
    <col min="3" max="4" width="12.7109375" customWidth="1"/>
    <col min="6" max="6" width="12.7109375" style="24" customWidth="1"/>
    <col min="7" max="8" width="12.7109375" customWidth="1"/>
    <col min="11" max="13" width="12.7109375" customWidth="1"/>
    <col min="15" max="17" width="12.7109375" customWidth="1"/>
    <col min="21" max="23" width="12.7109375" customWidth="1"/>
    <col min="25" max="27" width="12.7109375" customWidth="1"/>
    <col min="29" max="31" width="12.7109375" customWidth="1"/>
  </cols>
  <sheetData>
    <row r="1" spans="1:34" x14ac:dyDescent="0.25">
      <c r="B1" s="113" t="s">
        <v>108</v>
      </c>
      <c r="C1" s="113"/>
      <c r="D1" s="113"/>
      <c r="F1" s="113" t="s">
        <v>109</v>
      </c>
      <c r="G1" s="113"/>
      <c r="H1" s="113"/>
      <c r="K1" s="113" t="s">
        <v>110</v>
      </c>
      <c r="L1" s="113"/>
      <c r="M1" s="113"/>
      <c r="O1" s="113" t="s">
        <v>111</v>
      </c>
      <c r="P1" s="113"/>
      <c r="Q1" s="113"/>
      <c r="U1" s="113" t="s">
        <v>112</v>
      </c>
      <c r="V1" s="113"/>
      <c r="W1" s="113"/>
      <c r="Y1" s="113" t="s">
        <v>113</v>
      </c>
      <c r="Z1" s="113"/>
      <c r="AA1" s="113"/>
      <c r="AC1" s="113" t="s">
        <v>114</v>
      </c>
      <c r="AD1" s="113"/>
      <c r="AE1" s="113"/>
    </row>
    <row r="2" spans="1:34" ht="48.75" customHeight="1" x14ac:dyDescent="0.25">
      <c r="B2" s="27" t="s">
        <v>71</v>
      </c>
      <c r="C2" s="27" t="s">
        <v>86</v>
      </c>
      <c r="D2" s="27" t="s">
        <v>72</v>
      </c>
      <c r="F2" s="27" t="s">
        <v>71</v>
      </c>
      <c r="G2" s="27" t="s">
        <v>87</v>
      </c>
      <c r="H2" s="27" t="s">
        <v>75</v>
      </c>
      <c r="J2" s="27"/>
      <c r="K2" s="27" t="s">
        <v>71</v>
      </c>
      <c r="L2" s="27" t="s">
        <v>88</v>
      </c>
      <c r="M2" s="27" t="s">
        <v>72</v>
      </c>
      <c r="O2" s="27" t="s">
        <v>74</v>
      </c>
      <c r="P2" s="27" t="s">
        <v>87</v>
      </c>
      <c r="Q2" s="27" t="s">
        <v>75</v>
      </c>
      <c r="S2" s="27" t="s">
        <v>89</v>
      </c>
      <c r="U2" s="27" t="s">
        <v>22</v>
      </c>
      <c r="V2" s="27" t="s">
        <v>91</v>
      </c>
      <c r="W2" s="27" t="s">
        <v>90</v>
      </c>
      <c r="Y2" s="27" t="s">
        <v>22</v>
      </c>
      <c r="Z2" s="27" t="s">
        <v>91</v>
      </c>
      <c r="AA2" s="27" t="s">
        <v>90</v>
      </c>
      <c r="AC2" s="27" t="s">
        <v>22</v>
      </c>
      <c r="AD2" s="27" t="s">
        <v>91</v>
      </c>
      <c r="AE2" s="27" t="s">
        <v>90</v>
      </c>
    </row>
    <row r="3" spans="1:34" x14ac:dyDescent="0.25">
      <c r="J3" s="24"/>
      <c r="K3" s="24"/>
      <c r="O3" s="24"/>
      <c r="S3" s="24"/>
      <c r="V3" s="24"/>
      <c r="Z3" s="24"/>
      <c r="AD3" s="24"/>
    </row>
    <row r="4" spans="1:34" x14ac:dyDescent="0.25">
      <c r="J4" s="24"/>
      <c r="K4" s="24"/>
      <c r="O4" s="24"/>
      <c r="S4" s="24"/>
      <c r="V4" s="24"/>
      <c r="Z4" s="24"/>
      <c r="AD4" s="24"/>
    </row>
    <row r="5" spans="1:34" x14ac:dyDescent="0.25">
      <c r="A5" s="7">
        <v>38869</v>
      </c>
      <c r="B5" s="4">
        <f>Full_in!H6</f>
        <v>733029.60199999984</v>
      </c>
      <c r="C5" s="72">
        <f>B5*D5</f>
        <v>41764.417000000009</v>
      </c>
      <c r="D5" s="93">
        <v>5.6975075612294326E-2</v>
      </c>
      <c r="F5" s="4">
        <f>B5</f>
        <v>733029.60199999984</v>
      </c>
      <c r="G5" s="72">
        <f>F5*H5</f>
        <v>29345.996000000006</v>
      </c>
      <c r="H5" s="93">
        <v>4.0033848455686256E-2</v>
      </c>
      <c r="J5" s="6"/>
      <c r="K5" s="4">
        <f>'Bass Strait'!P5</f>
        <v>85687.328000000009</v>
      </c>
      <c r="L5" s="72">
        <f>K5*M5</f>
        <v>24602</v>
      </c>
      <c r="M5" s="93">
        <v>0.28711363248484068</v>
      </c>
      <c r="O5" s="4">
        <f>F5</f>
        <v>733029.60199999984</v>
      </c>
      <c r="P5" s="72">
        <f>O5*Q5</f>
        <v>5246.0000000000009</v>
      </c>
      <c r="Q5" s="94">
        <v>7.1566004779163089E-3</v>
      </c>
      <c r="S5" s="6">
        <f>P5+L5</f>
        <v>29848</v>
      </c>
      <c r="U5" s="72">
        <f>V5+W5</f>
        <v>6430</v>
      </c>
      <c r="V5" s="90">
        <v>3365</v>
      </c>
      <c r="W5" s="90">
        <v>3065</v>
      </c>
      <c r="Y5" s="72">
        <f>Z5+AA5</f>
        <v>328603.48199999996</v>
      </c>
      <c r="Z5" s="90">
        <v>168572.66399999999</v>
      </c>
      <c r="AA5" s="90">
        <v>160030.81799999994</v>
      </c>
      <c r="AC5" s="72">
        <f>AD5+AE5</f>
        <v>30510.114999999998</v>
      </c>
      <c r="AD5" s="90">
        <v>17889.061999999998</v>
      </c>
      <c r="AE5" s="90">
        <v>12621.053000000002</v>
      </c>
    </row>
    <row r="6" spans="1:34" x14ac:dyDescent="0.25">
      <c r="A6" s="7">
        <v>39234</v>
      </c>
      <c r="B6" s="4">
        <f>Full_in!H7</f>
        <v>802321.78699999989</v>
      </c>
      <c r="C6" s="72">
        <f t="shared" ref="C6:C17" si="0">B6*D6</f>
        <v>49899.997000000003</v>
      </c>
      <c r="D6" s="93">
        <v>6.2194493292502359E-2</v>
      </c>
      <c r="F6" s="4">
        <f t="shared" ref="F6:F17" si="1">B6</f>
        <v>802321.78699999989</v>
      </c>
      <c r="G6" s="72">
        <f t="shared" ref="G6:G17" si="2">F6*H6</f>
        <v>39966.020999999993</v>
      </c>
      <c r="H6" s="93">
        <v>4.9812957403835276E-2</v>
      </c>
      <c r="J6" s="6"/>
      <c r="K6" s="4">
        <f>'Bass Strait'!P6</f>
        <v>81326.712</v>
      </c>
      <c r="L6" s="72">
        <f t="shared" ref="L6:L17" si="3">K6*M6</f>
        <v>25149.077000000005</v>
      </c>
      <c r="M6" s="93">
        <v>0.30923513789663604</v>
      </c>
      <c r="O6" s="4">
        <f t="shared" ref="O6:O17" si="4">F6</f>
        <v>802321.78699999989</v>
      </c>
      <c r="P6" s="72">
        <f t="shared" ref="P6:P17" si="5">O6*Q6</f>
        <v>5951.0010000000002</v>
      </c>
      <c r="Q6" s="94">
        <v>7.4172247300570947E-3</v>
      </c>
      <c r="S6" s="6">
        <f t="shared" ref="S6:S17" si="6">P6+L6</f>
        <v>31100.078000000005</v>
      </c>
      <c r="U6" s="72">
        <f t="shared" ref="U6:U17" si="7">V6+W6</f>
        <v>6941</v>
      </c>
      <c r="V6" s="90">
        <v>4292</v>
      </c>
      <c r="W6" s="90">
        <v>2649</v>
      </c>
      <c r="Y6" s="72">
        <f t="shared" ref="Y6:Y17" si="8">Z6+AA6</f>
        <v>319442.16599999997</v>
      </c>
      <c r="Z6" s="90">
        <v>159727.592</v>
      </c>
      <c r="AA6" s="90">
        <v>159714.57399999999</v>
      </c>
      <c r="AC6" s="72">
        <f t="shared" ref="AC6:AC17" si="9">AD6+AE6</f>
        <v>15379.360999999997</v>
      </c>
      <c r="AD6" s="90">
        <v>7113.9589999999971</v>
      </c>
      <c r="AE6" s="90">
        <v>8265.402</v>
      </c>
    </row>
    <row r="7" spans="1:34" x14ac:dyDescent="0.25">
      <c r="A7" s="7">
        <v>39600</v>
      </c>
      <c r="B7" s="4">
        <f>Full_in!H8</f>
        <v>890216.28399999999</v>
      </c>
      <c r="C7" s="72">
        <f t="shared" si="0"/>
        <v>60203.000999999997</v>
      </c>
      <c r="D7" s="93">
        <v>6.7627386829513442E-2</v>
      </c>
      <c r="F7" s="4">
        <f t="shared" si="1"/>
        <v>890216.28399999999</v>
      </c>
      <c r="G7" s="72">
        <f t="shared" si="2"/>
        <v>46995.990999999995</v>
      </c>
      <c r="H7" s="93">
        <v>5.2791655067051094E-2</v>
      </c>
      <c r="J7" s="6"/>
      <c r="K7" s="4">
        <f>'Bass Strait'!P7</f>
        <v>82461.069000000003</v>
      </c>
      <c r="L7" s="72">
        <f t="shared" si="3"/>
        <v>30406.050999999999</v>
      </c>
      <c r="M7" s="93">
        <v>0.36873219531024998</v>
      </c>
      <c r="O7" s="4">
        <f t="shared" si="4"/>
        <v>890216.28399999999</v>
      </c>
      <c r="P7" s="72">
        <f t="shared" si="5"/>
        <v>5885.3770000000004</v>
      </c>
      <c r="Q7" s="94">
        <v>6.6111765261755205E-3</v>
      </c>
      <c r="S7" s="6">
        <f t="shared" si="6"/>
        <v>36291.428</v>
      </c>
      <c r="U7" s="72">
        <f t="shared" si="7"/>
        <v>10088</v>
      </c>
      <c r="V7" s="90">
        <v>4320</v>
      </c>
      <c r="W7" s="90">
        <v>5768</v>
      </c>
      <c r="Y7" s="72">
        <f t="shared" si="8"/>
        <v>441540.21400000004</v>
      </c>
      <c r="Z7" s="90">
        <v>225739.80200000005</v>
      </c>
      <c r="AA7" s="90">
        <v>215800.41200000001</v>
      </c>
      <c r="AC7" s="72">
        <f t="shared" si="9"/>
        <v>26825.283999999989</v>
      </c>
      <c r="AD7" s="90">
        <v>13820.669999999996</v>
      </c>
      <c r="AE7" s="90">
        <v>13004.613999999992</v>
      </c>
    </row>
    <row r="8" spans="1:34" x14ac:dyDescent="0.25">
      <c r="A8" s="7">
        <v>39965</v>
      </c>
      <c r="B8" s="4">
        <f>Full_in!H9</f>
        <v>821784.61</v>
      </c>
      <c r="C8" s="72">
        <f t="shared" si="0"/>
        <v>66732.772999999986</v>
      </c>
      <c r="D8" s="93">
        <v>8.120470034112709E-2</v>
      </c>
      <c r="F8" s="4">
        <f t="shared" si="1"/>
        <v>821784.61</v>
      </c>
      <c r="G8" s="72">
        <f t="shared" si="2"/>
        <v>54570.275000000001</v>
      </c>
      <c r="H8" s="93">
        <v>6.6404595968279329E-2</v>
      </c>
      <c r="J8" s="6"/>
      <c r="K8" s="4">
        <f>'Bass Strait'!P8</f>
        <v>83753.64</v>
      </c>
      <c r="L8" s="72">
        <f t="shared" si="3"/>
        <v>20313.999999999996</v>
      </c>
      <c r="M8" s="93">
        <v>0.24254468223709438</v>
      </c>
      <c r="O8" s="4">
        <f t="shared" si="4"/>
        <v>821784.61</v>
      </c>
      <c r="P8" s="72">
        <f t="shared" si="5"/>
        <v>5837.0149999999994</v>
      </c>
      <c r="Q8" s="94">
        <v>7.1028526562452897E-3</v>
      </c>
      <c r="S8" s="6">
        <f t="shared" si="6"/>
        <v>26151.014999999996</v>
      </c>
      <c r="U8" s="72">
        <f t="shared" si="7"/>
        <v>9543</v>
      </c>
      <c r="V8" s="90">
        <v>4986</v>
      </c>
      <c r="W8" s="90">
        <v>4557</v>
      </c>
      <c r="Y8" s="72">
        <f t="shared" si="8"/>
        <v>312646.95199999993</v>
      </c>
      <c r="Z8" s="90">
        <v>163074.28599999999</v>
      </c>
      <c r="AA8" s="90">
        <v>149572.66599999997</v>
      </c>
      <c r="AC8" s="72">
        <f t="shared" si="9"/>
        <v>54244.258999999991</v>
      </c>
      <c r="AD8" s="90">
        <v>29444.930999999997</v>
      </c>
      <c r="AE8" s="90">
        <v>24799.32799999999</v>
      </c>
    </row>
    <row r="9" spans="1:34" x14ac:dyDescent="0.25">
      <c r="A9" s="7">
        <v>40330</v>
      </c>
      <c r="B9" s="4">
        <f>Full_in!H10</f>
        <v>878616.30399999989</v>
      </c>
      <c r="C9" s="72">
        <f t="shared" si="0"/>
        <v>62917.001999999986</v>
      </c>
      <c r="D9" s="93">
        <v>7.1609190170456929E-2</v>
      </c>
      <c r="F9" s="4">
        <f t="shared" si="1"/>
        <v>878616.30399999989</v>
      </c>
      <c r="G9" s="72">
        <f t="shared" si="2"/>
        <v>54693.994999999988</v>
      </c>
      <c r="H9" s="93">
        <v>6.2250148046421858E-2</v>
      </c>
      <c r="J9" s="6"/>
      <c r="K9" s="4">
        <f>'Bass Strait'!P9</f>
        <v>85169.432000000015</v>
      </c>
      <c r="L9" s="72">
        <f t="shared" si="3"/>
        <v>16229.000000000004</v>
      </c>
      <c r="M9" s="93">
        <v>0.19054958591246682</v>
      </c>
      <c r="O9" s="4">
        <f t="shared" si="4"/>
        <v>878616.30399999989</v>
      </c>
      <c r="P9" s="72">
        <f t="shared" si="5"/>
        <v>5343</v>
      </c>
      <c r="Q9" s="94">
        <v>6.0811528031922343E-3</v>
      </c>
      <c r="S9" s="6">
        <f t="shared" si="6"/>
        <v>21572.000000000004</v>
      </c>
      <c r="U9" s="72">
        <f t="shared" si="7"/>
        <v>13763</v>
      </c>
      <c r="V9" s="90">
        <v>6706</v>
      </c>
      <c r="W9" s="90">
        <v>7057</v>
      </c>
      <c r="Y9" s="72">
        <f t="shared" si="8"/>
        <v>560655.47400000005</v>
      </c>
      <c r="Z9" s="90">
        <v>287884.739</v>
      </c>
      <c r="AA9" s="90">
        <v>272770.73500000004</v>
      </c>
      <c r="AC9" s="72">
        <f t="shared" si="9"/>
        <v>18834.574999999997</v>
      </c>
      <c r="AD9" s="90">
        <v>10462.075999999992</v>
      </c>
      <c r="AE9" s="90">
        <v>8372.4990000000034</v>
      </c>
    </row>
    <row r="10" spans="1:34" x14ac:dyDescent="0.25">
      <c r="A10" s="7">
        <v>40695</v>
      </c>
      <c r="B10" s="4">
        <f>Full_in!H11</f>
        <v>929236.56199999992</v>
      </c>
      <c r="C10" s="72">
        <f t="shared" si="0"/>
        <v>70153.999999999985</v>
      </c>
      <c r="D10" s="93">
        <v>7.549638366467977E-2</v>
      </c>
      <c r="F10" s="4">
        <f t="shared" si="1"/>
        <v>929236.56199999992</v>
      </c>
      <c r="G10" s="72">
        <f t="shared" si="2"/>
        <v>59763.011999999973</v>
      </c>
      <c r="H10" s="93">
        <v>6.4314098738615905E-2</v>
      </c>
      <c r="J10" s="6"/>
      <c r="K10" s="4">
        <f>'Bass Strait'!P10</f>
        <v>83958.891999999993</v>
      </c>
      <c r="L10" s="72">
        <f t="shared" si="3"/>
        <v>17265.999999999996</v>
      </c>
      <c r="M10" s="93">
        <v>0.20564825938865414</v>
      </c>
      <c r="O10" s="4">
        <f t="shared" si="4"/>
        <v>929236.56199999992</v>
      </c>
      <c r="P10" s="72">
        <f t="shared" si="5"/>
        <v>5395.3379999999988</v>
      </c>
      <c r="Q10" s="94">
        <v>5.8062050296294725E-3</v>
      </c>
      <c r="S10" s="6">
        <f t="shared" si="6"/>
        <v>22661.337999999996</v>
      </c>
      <c r="U10" s="72">
        <f t="shared" si="7"/>
        <v>17727</v>
      </c>
      <c r="V10" s="90">
        <v>9138</v>
      </c>
      <c r="W10" s="90">
        <v>8589</v>
      </c>
      <c r="Y10" s="72">
        <f t="shared" si="8"/>
        <v>505755.48700000002</v>
      </c>
      <c r="Z10" s="90">
        <v>261927.04000000004</v>
      </c>
      <c r="AA10" s="90">
        <v>243828.44699999999</v>
      </c>
      <c r="AC10" s="72">
        <f t="shared" si="9"/>
        <v>3167.726999999999</v>
      </c>
      <c r="AD10" s="90">
        <v>1384.271999999999</v>
      </c>
      <c r="AE10" s="90">
        <v>1783.4549999999999</v>
      </c>
    </row>
    <row r="11" spans="1:34" x14ac:dyDescent="0.25">
      <c r="A11" s="7">
        <v>41061</v>
      </c>
      <c r="B11" s="4">
        <f>Full_in!H12</f>
        <v>974207.34199999983</v>
      </c>
      <c r="C11" s="72">
        <f t="shared" si="0"/>
        <v>103808.99900000004</v>
      </c>
      <c r="D11" s="93">
        <v>0.10655739751138116</v>
      </c>
      <c r="F11" s="4">
        <f t="shared" si="1"/>
        <v>974207.34199999983</v>
      </c>
      <c r="G11" s="72">
        <f t="shared" si="2"/>
        <v>89476.020999999979</v>
      </c>
      <c r="H11" s="93">
        <v>9.1844946288651558E-2</v>
      </c>
      <c r="J11" s="6"/>
      <c r="K11" s="4">
        <f>'Bass Strait'!P11</f>
        <v>76042.334000000017</v>
      </c>
      <c r="L11" s="72">
        <f t="shared" si="3"/>
        <v>27421.459000000003</v>
      </c>
      <c r="M11" s="93">
        <v>0.36060780301667222</v>
      </c>
      <c r="O11" s="4">
        <f t="shared" si="4"/>
        <v>974207.34199999983</v>
      </c>
      <c r="P11" s="72">
        <f t="shared" si="5"/>
        <v>11140.886000000002</v>
      </c>
      <c r="Q11" s="94">
        <v>1.1435846887715206E-2</v>
      </c>
      <c r="S11" s="6">
        <f t="shared" si="6"/>
        <v>38562.345000000001</v>
      </c>
      <c r="U11" s="72">
        <f t="shared" si="7"/>
        <v>26461</v>
      </c>
      <c r="V11" s="90">
        <v>13667</v>
      </c>
      <c r="W11" s="90">
        <v>12794</v>
      </c>
      <c r="Y11" s="72">
        <f t="shared" si="8"/>
        <v>563786.95900000003</v>
      </c>
      <c r="Z11" s="90">
        <v>293139.55100000004</v>
      </c>
      <c r="AA11" s="90">
        <v>270647.40799999994</v>
      </c>
      <c r="AC11" s="72">
        <f t="shared" si="9"/>
        <v>30349.232000000004</v>
      </c>
      <c r="AD11" s="90">
        <v>17774.701000000005</v>
      </c>
      <c r="AE11" s="90">
        <v>12574.530999999997</v>
      </c>
    </row>
    <row r="12" spans="1:34" x14ac:dyDescent="0.25">
      <c r="A12" s="7">
        <v>41426</v>
      </c>
      <c r="B12" s="4">
        <f>Full_in!H13</f>
        <v>964261.5340000001</v>
      </c>
      <c r="C12" s="72">
        <f t="shared" si="0"/>
        <v>86354.99</v>
      </c>
      <c r="D12" s="93">
        <v>8.9555568645134809E-2</v>
      </c>
      <c r="F12" s="4">
        <f t="shared" si="1"/>
        <v>964261.5340000001</v>
      </c>
      <c r="G12" s="72">
        <f t="shared" si="2"/>
        <v>63468.794000000002</v>
      </c>
      <c r="H12" s="93">
        <v>6.5821140595244354E-2</v>
      </c>
      <c r="J12" s="6"/>
      <c r="K12" s="4">
        <f>'Bass Strait'!P12</f>
        <v>73694.930000000008</v>
      </c>
      <c r="L12" s="72">
        <f t="shared" si="3"/>
        <v>33230</v>
      </c>
      <c r="M12" s="93">
        <v>0.45091297325338386</v>
      </c>
      <c r="O12" s="4">
        <f t="shared" si="4"/>
        <v>964261.5340000001</v>
      </c>
      <c r="P12" s="72">
        <f t="shared" si="5"/>
        <v>11620</v>
      </c>
      <c r="Q12" s="94">
        <v>1.205067255124998E-2</v>
      </c>
      <c r="S12" s="6">
        <f t="shared" si="6"/>
        <v>44850</v>
      </c>
      <c r="U12" s="72">
        <f t="shared" si="7"/>
        <v>25309</v>
      </c>
      <c r="V12" s="90">
        <v>13666</v>
      </c>
      <c r="W12" s="90">
        <v>11643</v>
      </c>
      <c r="Y12" s="72">
        <f t="shared" si="8"/>
        <v>461644.32800000004</v>
      </c>
      <c r="Z12" s="90">
        <v>225595.693</v>
      </c>
      <c r="AA12" s="90">
        <v>236048.63500000004</v>
      </c>
      <c r="AC12" s="72">
        <f t="shared" si="9"/>
        <v>35181.286999999997</v>
      </c>
      <c r="AD12" s="90">
        <v>23699.638999999992</v>
      </c>
      <c r="AE12" s="90">
        <v>11481.648000000005</v>
      </c>
    </row>
    <row r="13" spans="1:34" x14ac:dyDescent="0.25">
      <c r="A13" s="7">
        <v>41791</v>
      </c>
      <c r="B13" s="4">
        <f>Full_in!H14</f>
        <v>996467.41200000001</v>
      </c>
      <c r="C13" s="72">
        <f t="shared" si="0"/>
        <v>60533.999999999985</v>
      </c>
      <c r="D13" s="93">
        <v>6.074859977458047E-2</v>
      </c>
      <c r="F13" s="4">
        <f t="shared" si="1"/>
        <v>996467.41200000001</v>
      </c>
      <c r="G13" s="72">
        <f t="shared" si="2"/>
        <v>36835.991999999984</v>
      </c>
      <c r="H13" s="93">
        <v>3.6966579695834535E-2</v>
      </c>
      <c r="J13" s="6"/>
      <c r="K13" s="4">
        <f>'Bass Strait'!P13</f>
        <v>68474.304999999993</v>
      </c>
      <c r="L13" s="72">
        <f t="shared" si="3"/>
        <v>30971</v>
      </c>
      <c r="M13" s="93">
        <v>0.45230104927680542</v>
      </c>
      <c r="O13" s="4">
        <f t="shared" si="4"/>
        <v>996467.41200000001</v>
      </c>
      <c r="P13" s="72">
        <f t="shared" si="5"/>
        <v>11330.722999999998</v>
      </c>
      <c r="Q13" s="94">
        <v>1.1370891675482105E-2</v>
      </c>
      <c r="S13" s="6">
        <f t="shared" si="6"/>
        <v>42301.722999999998</v>
      </c>
      <c r="U13" s="72">
        <f t="shared" si="7"/>
        <v>21038.46</v>
      </c>
      <c r="V13" s="90">
        <v>10442.262999999999</v>
      </c>
      <c r="W13" s="90">
        <v>10596.197</v>
      </c>
      <c r="Y13" s="72">
        <f t="shared" si="8"/>
        <v>404281.375</v>
      </c>
      <c r="Z13" s="90">
        <v>203761.04100000003</v>
      </c>
      <c r="AA13" s="90">
        <v>200520.334</v>
      </c>
      <c r="AC13" s="72">
        <f t="shared" si="9"/>
        <v>12066.875000000009</v>
      </c>
      <c r="AD13" s="90">
        <v>9920.4110000000037</v>
      </c>
      <c r="AE13" s="90">
        <v>2146.4640000000059</v>
      </c>
    </row>
    <row r="14" spans="1:34" x14ac:dyDescent="0.25">
      <c r="A14" s="7">
        <v>42156</v>
      </c>
      <c r="B14" s="4">
        <f>Full_in!H15</f>
        <v>1035769.9320000001</v>
      </c>
      <c r="C14" s="72">
        <f t="shared" si="0"/>
        <v>57019.992999999995</v>
      </c>
      <c r="D14" s="93">
        <v>5.5050828604281191E-2</v>
      </c>
      <c r="F14" s="4">
        <f t="shared" si="1"/>
        <v>1035769.9320000001</v>
      </c>
      <c r="G14" s="72">
        <f t="shared" si="2"/>
        <v>36296.995999999992</v>
      </c>
      <c r="H14" s="93">
        <v>3.5043492650837046E-2</v>
      </c>
      <c r="J14" s="6"/>
      <c r="K14" s="4">
        <f>'Bass Strait'!P14</f>
        <v>74278.91</v>
      </c>
      <c r="L14" s="72">
        <f t="shared" si="3"/>
        <v>25400</v>
      </c>
      <c r="M14" s="93">
        <v>0.34195439863078225</v>
      </c>
      <c r="O14" s="4">
        <f t="shared" si="4"/>
        <v>1035769.9320000001</v>
      </c>
      <c r="P14" s="72">
        <f t="shared" si="5"/>
        <v>12915.705999999998</v>
      </c>
      <c r="Q14" s="94">
        <v>1.246966686420474E-2</v>
      </c>
      <c r="S14" s="6">
        <f t="shared" si="6"/>
        <v>38315.705999999998</v>
      </c>
      <c r="U14" s="72">
        <f t="shared" si="7"/>
        <v>11131</v>
      </c>
      <c r="V14" s="90">
        <v>6430</v>
      </c>
      <c r="W14" s="90">
        <v>4701</v>
      </c>
      <c r="Y14" s="72">
        <f t="shared" si="8"/>
        <v>17979.280999999999</v>
      </c>
      <c r="Z14" s="90">
        <v>11616.963999999998</v>
      </c>
      <c r="AA14" s="90">
        <v>6362.3170000000009</v>
      </c>
      <c r="AC14" s="72">
        <f t="shared" si="9"/>
        <v>6383.1129999999994</v>
      </c>
      <c r="AD14" s="90">
        <v>5648.1710000000003</v>
      </c>
      <c r="AE14" s="90">
        <v>734.94199999999933</v>
      </c>
    </row>
    <row r="15" spans="1:34" x14ac:dyDescent="0.25">
      <c r="A15" s="7">
        <v>42522</v>
      </c>
      <c r="B15" s="4">
        <f>Full_in!H16</f>
        <v>1072544.6829999997</v>
      </c>
      <c r="C15" s="72">
        <f t="shared" si="0"/>
        <v>57246.001000000011</v>
      </c>
      <c r="D15" s="93">
        <v>5.3374001015862593E-2</v>
      </c>
      <c r="F15" s="4">
        <f t="shared" si="1"/>
        <v>1072544.6829999997</v>
      </c>
      <c r="G15" s="72">
        <f t="shared" si="2"/>
        <v>40154.000000000007</v>
      </c>
      <c r="H15" s="93">
        <v>3.7438067277239973E-2</v>
      </c>
      <c r="J15" s="6"/>
      <c r="K15" s="4">
        <f>'Bass Strait'!P15</f>
        <v>76049.003999999986</v>
      </c>
      <c r="L15" s="72">
        <f t="shared" si="3"/>
        <v>23573</v>
      </c>
      <c r="M15" s="93">
        <v>0.30997118647339555</v>
      </c>
      <c r="O15" s="4">
        <f t="shared" si="4"/>
        <v>1072544.6829999997</v>
      </c>
      <c r="P15" s="72">
        <f t="shared" si="5"/>
        <v>12563.148000000005</v>
      </c>
      <c r="Q15" s="94">
        <v>1.1713402899783903E-2</v>
      </c>
      <c r="S15" s="40">
        <f t="shared" si="6"/>
        <v>36136.148000000001</v>
      </c>
      <c r="U15" s="72">
        <f t="shared" si="7"/>
        <v>15991</v>
      </c>
      <c r="V15" s="90">
        <v>8535</v>
      </c>
      <c r="W15" s="90">
        <v>7456</v>
      </c>
      <c r="Y15" s="72">
        <f t="shared" si="8"/>
        <v>8364.5</v>
      </c>
      <c r="Z15" s="90">
        <v>3514.0879999999997</v>
      </c>
      <c r="AA15" s="90">
        <v>4850.4120000000003</v>
      </c>
      <c r="AC15" s="72">
        <f t="shared" si="9"/>
        <v>3217.0660000000007</v>
      </c>
      <c r="AD15" s="90">
        <v>3201.0660000000007</v>
      </c>
      <c r="AE15" s="90">
        <v>15.999999999999929</v>
      </c>
    </row>
    <row r="16" spans="1:34" x14ac:dyDescent="0.25">
      <c r="A16" s="7">
        <v>42887</v>
      </c>
      <c r="B16" s="4">
        <f>Full_in!H17</f>
        <v>1105845</v>
      </c>
      <c r="C16" s="72">
        <f t="shared" si="0"/>
        <v>60370.354477290835</v>
      </c>
      <c r="D16" s="93">
        <v>5.459205808887397E-2</v>
      </c>
      <c r="F16" s="4">
        <f t="shared" si="1"/>
        <v>1105845</v>
      </c>
      <c r="G16" s="72">
        <f t="shared" si="2"/>
        <v>42083.972997779812</v>
      </c>
      <c r="H16" s="93">
        <v>3.8055941834325618E-2</v>
      </c>
      <c r="J16" s="14"/>
      <c r="K16" s="4">
        <f>'Bass Strait'!P16</f>
        <v>74286.843999999997</v>
      </c>
      <c r="L16" s="72">
        <f t="shared" si="3"/>
        <v>24254</v>
      </c>
      <c r="M16" s="93">
        <v>0.32649118866861543</v>
      </c>
      <c r="O16" s="4">
        <f t="shared" si="4"/>
        <v>1105845</v>
      </c>
      <c r="P16" s="72">
        <f t="shared" si="5"/>
        <v>12951.286190184688</v>
      </c>
      <c r="Q16" s="94">
        <v>1.1711665007469119E-2</v>
      </c>
      <c r="S16" s="40">
        <f t="shared" si="6"/>
        <v>37205.286190184692</v>
      </c>
      <c r="U16" s="72">
        <f t="shared" si="7"/>
        <v>15952.382</v>
      </c>
      <c r="V16" s="90">
        <v>8559</v>
      </c>
      <c r="W16" s="90">
        <v>7393.3819999999996</v>
      </c>
      <c r="Y16" s="72">
        <f t="shared" si="8"/>
        <v>14234.400999999998</v>
      </c>
      <c r="Z16" s="90">
        <v>11544.003999999999</v>
      </c>
      <c r="AA16" s="90">
        <v>2690.3969999999995</v>
      </c>
      <c r="AC16" s="72">
        <f t="shared" si="9"/>
        <v>1071.7159999999999</v>
      </c>
      <c r="AD16" s="90">
        <v>180.756</v>
      </c>
      <c r="AE16" s="90">
        <v>890.95999999999992</v>
      </c>
      <c r="AH16" s="4"/>
    </row>
    <row r="17" spans="1:34" x14ac:dyDescent="0.25">
      <c r="A17" s="7">
        <v>43252</v>
      </c>
      <c r="B17" s="4">
        <f>Full_in!H18</f>
        <v>1199795</v>
      </c>
      <c r="C17" s="72">
        <f t="shared" si="0"/>
        <v>71366.760994555982</v>
      </c>
      <c r="D17" s="93">
        <v>5.9482462416126078E-2</v>
      </c>
      <c r="F17" s="4">
        <f t="shared" si="1"/>
        <v>1199795</v>
      </c>
      <c r="G17" s="72">
        <f t="shared" si="2"/>
        <v>45788.200463621521</v>
      </c>
      <c r="H17" s="93">
        <v>3.816335329253874E-2</v>
      </c>
      <c r="J17" s="14"/>
      <c r="K17" s="4">
        <f>'Bass Strait'!P17</f>
        <v>76443.453999999998</v>
      </c>
      <c r="L17" s="72">
        <f t="shared" si="3"/>
        <v>30352</v>
      </c>
      <c r="M17" s="93">
        <v>0.39705165598613584</v>
      </c>
      <c r="O17" s="4">
        <f t="shared" si="4"/>
        <v>1199795</v>
      </c>
      <c r="P17" s="72">
        <f t="shared" si="5"/>
        <v>12462.893389742776</v>
      </c>
      <c r="Q17" s="94">
        <v>1.038751902595258E-2</v>
      </c>
      <c r="S17" s="40">
        <f t="shared" si="6"/>
        <v>42814.893389742778</v>
      </c>
      <c r="U17" s="72">
        <f t="shared" si="7"/>
        <v>16239</v>
      </c>
      <c r="V17" s="90">
        <v>8693</v>
      </c>
      <c r="W17" s="90">
        <v>7546</v>
      </c>
      <c r="Y17" s="72">
        <f t="shared" si="8"/>
        <v>133892.64300000004</v>
      </c>
      <c r="Z17" s="90">
        <v>90423.560000000027</v>
      </c>
      <c r="AA17" s="90">
        <v>43469.083000000006</v>
      </c>
      <c r="AC17" s="72">
        <f t="shared" si="9"/>
        <v>8388.5239999999976</v>
      </c>
      <c r="AD17" s="90">
        <v>4455.748999999998</v>
      </c>
      <c r="AE17" s="90">
        <v>3932.7750000000001</v>
      </c>
      <c r="AH17" s="4"/>
    </row>
    <row r="18" spans="1:34" s="13" customFormat="1" ht="15.75" thickBot="1" x14ac:dyDescent="0.3">
      <c r="A18" s="7">
        <v>43617</v>
      </c>
      <c r="B18" s="4">
        <f>Full_in!H19</f>
        <v>1219638.0660000001</v>
      </c>
      <c r="C18" s="72">
        <f t="shared" ref="C18:C19" si="10">B18*D18</f>
        <v>78218.829704048752</v>
      </c>
      <c r="D18" s="93">
        <v>6.4132820944643051E-2</v>
      </c>
      <c r="F18" s="4">
        <f t="shared" ref="F18:F19" si="11">B18</f>
        <v>1219638.0660000001</v>
      </c>
      <c r="G18" s="72">
        <f t="shared" ref="G18:G19" si="12">F18*H18</f>
        <v>52199.131218586808</v>
      </c>
      <c r="H18" s="93">
        <v>4.2798870151521493E-2</v>
      </c>
      <c r="J18" s="14"/>
      <c r="K18" s="4">
        <f>'Bass Strait'!P18</f>
        <v>78850.367999999988</v>
      </c>
      <c r="L18" s="72">
        <f t="shared" ref="L18:L19" si="13">K18*M18</f>
        <v>-9691.8304873504057</v>
      </c>
      <c r="M18" s="93">
        <f>(M24-P18)/K18</f>
        <v>-0.12291420741816204</v>
      </c>
      <c r="O18" s="4">
        <f t="shared" ref="O18:O19" si="14">F18</f>
        <v>1219638.0660000001</v>
      </c>
      <c r="P18" s="72">
        <f t="shared" ref="P18:P19" si="15">O18*Q18</f>
        <v>9691.8304873504057</v>
      </c>
      <c r="Q18" s="94">
        <v>7.946480810603368E-3</v>
      </c>
      <c r="S18" s="40">
        <f t="shared" ref="S18:S19" si="16">P18+L18</f>
        <v>0</v>
      </c>
      <c r="U18" s="72">
        <f t="shared" ref="U18:U19" si="17">V18+W18</f>
        <v>20350.498</v>
      </c>
      <c r="V18" s="90">
        <v>9682.2489999999998</v>
      </c>
      <c r="W18" s="90">
        <v>10668.249</v>
      </c>
      <c r="Y18" s="72">
        <f t="shared" ref="Y18:Y19" si="18">Z18+AA18</f>
        <v>181139.726</v>
      </c>
      <c r="Z18" s="90">
        <v>122556.989</v>
      </c>
      <c r="AA18" s="90">
        <v>58582.737000000001</v>
      </c>
      <c r="AC18" s="72">
        <f t="shared" ref="AC18:AC19" si="19">AD18+AE18</f>
        <v>11849.832</v>
      </c>
      <c r="AD18" s="90">
        <v>5624.9500000000007</v>
      </c>
      <c r="AE18" s="90">
        <v>6224.8819999999996</v>
      </c>
    </row>
    <row r="19" spans="1:34" x14ac:dyDescent="0.25">
      <c r="A19" s="7">
        <v>43983</v>
      </c>
      <c r="B19" s="56">
        <f>Full_in!H20</f>
        <v>1111448.90320136</v>
      </c>
      <c r="C19" s="89">
        <f t="shared" si="10"/>
        <v>64959.321008103492</v>
      </c>
      <c r="D19" s="61">
        <v>5.8445620685753541E-2</v>
      </c>
      <c r="F19" s="56">
        <f t="shared" si="11"/>
        <v>1111448.90320136</v>
      </c>
      <c r="G19" s="89">
        <f t="shared" si="12"/>
        <v>39380.760477169017</v>
      </c>
      <c r="H19" s="61">
        <v>3.5431912671593548E-2</v>
      </c>
      <c r="J19" s="58"/>
      <c r="K19" s="56">
        <f>'Bass Strait'!P19</f>
        <v>76216.283359999987</v>
      </c>
      <c r="L19" s="89">
        <f t="shared" si="13"/>
        <v>24209.249975874856</v>
      </c>
      <c r="M19" s="61">
        <v>0.3176388155996126</v>
      </c>
      <c r="O19" s="56">
        <f t="shared" si="14"/>
        <v>1111448.90320136</v>
      </c>
      <c r="P19" s="89">
        <f t="shared" si="15"/>
        <v>9610.3119093314908</v>
      </c>
      <c r="Q19" s="66">
        <v>8.6466520248033394E-3</v>
      </c>
      <c r="S19" s="68">
        <f t="shared" si="16"/>
        <v>33819.561885206349</v>
      </c>
      <c r="U19" s="89">
        <f t="shared" si="17"/>
        <v>22453.498</v>
      </c>
      <c r="V19" s="62">
        <v>10502.249</v>
      </c>
      <c r="W19" s="62">
        <v>11951.249</v>
      </c>
      <c r="Y19" s="89">
        <f t="shared" si="18"/>
        <v>181139.726</v>
      </c>
      <c r="Z19" s="62">
        <v>122556.989</v>
      </c>
      <c r="AA19" s="62">
        <v>58582.737000000001</v>
      </c>
      <c r="AC19" s="89">
        <f t="shared" si="19"/>
        <v>11849.832</v>
      </c>
      <c r="AD19" s="62">
        <v>5624.9500000000007</v>
      </c>
      <c r="AE19" s="62">
        <v>6224.8819999999996</v>
      </c>
    </row>
    <row r="20" spans="1:34" x14ac:dyDescent="0.25">
      <c r="A20" s="7">
        <v>44348</v>
      </c>
      <c r="B20" s="4">
        <f>Full_in!H21</f>
        <v>1110835.4437926027</v>
      </c>
      <c r="C20" s="72">
        <f t="shared" ref="C20" si="20">B20*D20</f>
        <v>64923.466992193156</v>
      </c>
      <c r="D20" s="60">
        <v>5.8445620685753541E-2</v>
      </c>
      <c r="F20" s="4">
        <f t="shared" ref="F20" si="21">B20</f>
        <v>1110835.4437926027</v>
      </c>
      <c r="G20" s="72">
        <f t="shared" ref="G20" si="22">F20*H20</f>
        <v>39344.906461258681</v>
      </c>
      <c r="H20" s="60">
        <v>3.5419203340260476E-2</v>
      </c>
      <c r="J20" s="6"/>
      <c r="K20" s="4">
        <f>'Bass Strait'!P20</f>
        <v>81322.158707202005</v>
      </c>
      <c r="L20" s="72">
        <f t="shared" ref="L20" si="23">K20*M20</f>
        <v>25229.892882440923</v>
      </c>
      <c r="M20" s="60">
        <v>0.31024622665613683</v>
      </c>
      <c r="O20" s="4">
        <f t="shared" ref="O20" si="24">F20</f>
        <v>1110835.4437926027</v>
      </c>
      <c r="P20" s="72">
        <f t="shared" ref="P20" si="25">O20*Q20</f>
        <v>9605.0075392926246</v>
      </c>
      <c r="Q20" s="67">
        <v>8.6466520248033394E-3</v>
      </c>
      <c r="S20" s="40">
        <f t="shared" ref="S20" si="26">P20+L20</f>
        <v>34834.900421733546</v>
      </c>
      <c r="U20" s="72">
        <f t="shared" ref="U20" si="27">V20+W20</f>
        <v>22453.498</v>
      </c>
      <c r="V20" s="39">
        <v>10502.249</v>
      </c>
      <c r="W20" s="39">
        <v>11951.249</v>
      </c>
      <c r="Y20" s="72">
        <f t="shared" ref="Y20" si="28">Z20+AA20</f>
        <v>181139.726</v>
      </c>
      <c r="Z20" s="39">
        <v>122556.989</v>
      </c>
      <c r="AA20" s="39">
        <v>58582.737000000001</v>
      </c>
      <c r="AC20" s="72">
        <f t="shared" ref="AC20" si="29">AD20+AE20</f>
        <v>11849.832</v>
      </c>
      <c r="AD20" s="39">
        <v>5624.9500000000007</v>
      </c>
      <c r="AE20" s="39">
        <v>6224.8819999999996</v>
      </c>
    </row>
    <row r="21" spans="1:34" x14ac:dyDescent="0.25">
      <c r="D21" s="4"/>
      <c r="E21" s="4"/>
    </row>
    <row r="22" spans="1:34" x14ac:dyDescent="0.25">
      <c r="D22" s="4"/>
      <c r="E22" s="4"/>
      <c r="R22" s="4"/>
      <c r="S22" s="4"/>
    </row>
    <row r="23" spans="1:34" x14ac:dyDescent="0.25">
      <c r="D23" s="4"/>
      <c r="E23" s="4"/>
      <c r="F23" s="6"/>
      <c r="G23" s="4"/>
      <c r="H23" s="4"/>
      <c r="I23" s="4"/>
    </row>
    <row r="24" spans="1:34" x14ac:dyDescent="0.25">
      <c r="D24" s="4"/>
      <c r="E24" s="110"/>
      <c r="F24" s="111"/>
      <c r="G24" s="110"/>
      <c r="H24" s="4"/>
      <c r="I24" s="4"/>
    </row>
    <row r="25" spans="1:34" x14ac:dyDescent="0.25">
      <c r="D25" s="4"/>
      <c r="E25" s="110"/>
      <c r="F25" s="111"/>
      <c r="G25" s="110"/>
      <c r="H25" s="4"/>
      <c r="I25" s="4"/>
    </row>
    <row r="26" spans="1:34" x14ac:dyDescent="0.25">
      <c r="D26" s="4"/>
      <c r="E26" s="110"/>
      <c r="F26" s="111"/>
      <c r="G26" s="110"/>
      <c r="H26" s="4"/>
      <c r="I26" s="4"/>
    </row>
    <row r="27" spans="1:34" x14ac:dyDescent="0.25">
      <c r="D27" s="4"/>
      <c r="E27" s="110"/>
      <c r="F27" s="111"/>
      <c r="G27" s="110"/>
      <c r="H27" s="4"/>
      <c r="I27" s="4"/>
    </row>
    <row r="28" spans="1:34" x14ac:dyDescent="0.25">
      <c r="D28" s="4"/>
    </row>
  </sheetData>
  <mergeCells count="7">
    <mergeCell ref="Y1:AA1"/>
    <mergeCell ref="AC1:AE1"/>
    <mergeCell ref="B1:D1"/>
    <mergeCell ref="F1:H1"/>
    <mergeCell ref="K1:M1"/>
    <mergeCell ref="O1:Q1"/>
    <mergeCell ref="U1:W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/>
  </sheetViews>
  <sheetFormatPr defaultRowHeight="15" x14ac:dyDescent="0.25"/>
  <cols>
    <col min="1" max="1" width="8" bestFit="1" customWidth="1"/>
    <col min="2" max="2" width="46.5703125" customWidth="1"/>
    <col min="3" max="3" width="65.42578125" customWidth="1"/>
  </cols>
  <sheetData>
    <row r="2" spans="1:3" ht="15.75" thickBot="1" x14ac:dyDescent="0.3">
      <c r="A2" s="24" t="s">
        <v>142</v>
      </c>
    </row>
    <row r="3" spans="1:3" ht="15.75" thickBot="1" x14ac:dyDescent="0.3">
      <c r="A3" s="97" t="s">
        <v>115</v>
      </c>
      <c r="B3" s="97" t="s">
        <v>116</v>
      </c>
      <c r="C3" s="97" t="s">
        <v>117</v>
      </c>
    </row>
    <row r="4" spans="1:3" ht="16.5" thickTop="1" thickBot="1" x14ac:dyDescent="0.3">
      <c r="A4" s="98" t="s">
        <v>118</v>
      </c>
      <c r="B4" s="98" t="s">
        <v>119</v>
      </c>
      <c r="C4" s="98" t="s">
        <v>120</v>
      </c>
    </row>
    <row r="5" spans="1:3" ht="26.25" thickBot="1" x14ac:dyDescent="0.3">
      <c r="A5" s="99" t="s">
        <v>121</v>
      </c>
      <c r="B5" s="99" t="s">
        <v>122</v>
      </c>
      <c r="C5" s="99" t="s">
        <v>123</v>
      </c>
    </row>
    <row r="6" spans="1:3" ht="15.75" thickBot="1" x14ac:dyDescent="0.3">
      <c r="A6" s="100" t="s">
        <v>124</v>
      </c>
      <c r="B6" s="100" t="s">
        <v>125</v>
      </c>
      <c r="C6" s="100" t="s">
        <v>126</v>
      </c>
    </row>
    <row r="7" spans="1:3" ht="26.25" thickBot="1" x14ac:dyDescent="0.3">
      <c r="A7" s="99" t="s">
        <v>127</v>
      </c>
      <c r="B7" s="99" t="s">
        <v>128</v>
      </c>
      <c r="C7" s="99" t="s">
        <v>129</v>
      </c>
    </row>
    <row r="8" spans="1:3" ht="26.25" thickBot="1" x14ac:dyDescent="0.3">
      <c r="A8" s="100" t="s">
        <v>130</v>
      </c>
      <c r="B8" s="100" t="s">
        <v>131</v>
      </c>
      <c r="C8" s="100" t="s">
        <v>132</v>
      </c>
    </row>
    <row r="9" spans="1:3" ht="15.75" thickBot="1" x14ac:dyDescent="0.3">
      <c r="A9" s="99" t="s">
        <v>133</v>
      </c>
      <c r="B9" s="99" t="s">
        <v>134</v>
      </c>
      <c r="C9" s="99" t="s">
        <v>135</v>
      </c>
    </row>
    <row r="10" spans="1:3" ht="26.25" thickBot="1" x14ac:dyDescent="0.3">
      <c r="A10" s="100" t="s">
        <v>136</v>
      </c>
      <c r="B10" s="100" t="s">
        <v>137</v>
      </c>
      <c r="C10" s="100" t="s">
        <v>138</v>
      </c>
    </row>
    <row r="11" spans="1:3" ht="26.25" thickBot="1" x14ac:dyDescent="0.3">
      <c r="A11" s="99" t="s">
        <v>139</v>
      </c>
      <c r="B11" s="99" t="s">
        <v>140</v>
      </c>
      <c r="C11" s="99" t="s">
        <v>141</v>
      </c>
    </row>
    <row r="13" spans="1:3" x14ac:dyDescent="0.25">
      <c r="A13" s="24" t="s">
        <v>143</v>
      </c>
    </row>
    <row r="14" spans="1:3" x14ac:dyDescent="0.25">
      <c r="A14" s="115" t="s">
        <v>144</v>
      </c>
      <c r="B14" s="115"/>
      <c r="C14" s="115"/>
    </row>
    <row r="15" spans="1:3" ht="33" customHeight="1" x14ac:dyDescent="0.25">
      <c r="A15" s="115" t="s">
        <v>145</v>
      </c>
      <c r="B15" s="115"/>
      <c r="C15" s="115"/>
    </row>
    <row r="16" spans="1:3" ht="59.25" customHeight="1" x14ac:dyDescent="0.25">
      <c r="A16" s="115" t="s">
        <v>146</v>
      </c>
      <c r="B16" s="115"/>
      <c r="C16" s="115"/>
    </row>
  </sheetData>
  <mergeCells count="3">
    <mergeCell ref="A16:C16"/>
    <mergeCell ref="A15:C15"/>
    <mergeCell ref="A14:C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3 o 8 T s O A R S a m A A A A + A A A A B I A H A B D b 2 5 m a W c v U G F j a 2 F n Z S 5 4 b W w g o h g A K K A U A A A A A A A A A A A A A A A A A A A A A A A A A A A A h Y / N C o J A G E V f R W b v / C i G y O d I t E 0 I o m g 7 T J M O 6 R j O 2 P h u L X q k X i G h r H Y t 7 + E s z n 3 c 7 l C M b R N c V W 9 1 Z 3 L E M E W B M r I 7 a l P l a H C n M E U F h 4 2 Q Z 1 G p Y J K N z U Z 7 z F H t 3 C U j x H u P f Y y 7 v i I R p Y w c y v V W 1 q o V 6 C P r / 3 K o j X X C S I U 4 7 F 8 x P M K L B C c x i z F L G Z A Z Q 6 n N V 4 m m Y k y B / E B Y D Y 0 b e s W V C Z c 7 I P M E 8 n 7 B n 1 B L A w Q U A A I A C A A L e j x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3 o 8 T i i K R 7 g O A A A A E Q A A A B M A H A B G b 3 J t d W x h c y 9 T Z W N 0 a W 9 u M S 5 t I K I Y A C i g F A A A A A A A A A A A A A A A A A A A A A A A A A A A A C t O T S 7 J z M 9 T C I b Q h t Y A U E s B A i 0 A F A A C A A g A C 3 o 8 T s O A R S a m A A A A + A A A A B I A A A A A A A A A A A A A A A A A A A A A A E N v b m Z p Z y 9 Q Y W N r Y W d l L n h t b F B L A Q I t A B Q A A g A I A A t 6 P E 4 P y u m r p A A A A O k A A A A T A A A A A A A A A A A A A A A A A P I A A A B b Q 2 9 u d G V u d F 9 U e X B l c 1 0 u e G 1 s U E s B A i 0 A F A A C A A g A C 3 o 8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h I O O 7 b g 0 d N g 5 h D y O H Q c z s A A A A A A g A A A A A A A 2 Y A A M A A A A A Q A A A A H e v N P e c O x J 5 b i Z s R D O W t h g A A A A A E g A A A o A A A A B A A A A B l O M 1 V z U H C f / M i 0 f V A U W 9 C U A A A A C 3 3 P l K B s 3 F 7 1 v j Z z x P M G i j J M T z 1 M J g R h Z s n h K o K r 6 8 q G 1 O z M Z / i C A P W 0 z 5 P B A 9 Q a Y 9 K h P P C + 6 R V y K Z T J / S M U 1 f d I H 8 h f o r F 1 G i s v 8 r P 2 w 5 Y F A A A A A b d J r j O B y O + N S 5 w x I S l a W 0 w J y w / < / D a t a M a s h u p > 
</file>

<file path=customXml/itemProps1.xml><?xml version="1.0" encoding="utf-8"?>
<ds:datastoreItem xmlns:ds="http://schemas.openxmlformats.org/officeDocument/2006/customXml" ds:itemID="{6EB92104-7BAC-458F-ADC9-448438DDC3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Revenue</vt:lpstr>
      <vt:lpstr>Full_out</vt:lpstr>
      <vt:lpstr>Full_in</vt:lpstr>
      <vt:lpstr>Bass Strait</vt:lpstr>
      <vt:lpstr>General Cargo</vt:lpstr>
      <vt:lpstr>Empty</vt:lpstr>
      <vt:lpstr>Other Bulk</vt:lpstr>
      <vt:lpstr>Transhipments</vt:lpstr>
      <vt:lpstr>Data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2020-06-01T01:49:49Z</dcterms:modified>
</cp:coreProperties>
</file>